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6-2017\2016-17 AFR Summaries\Consolidate 16-17 ADA Compliant\"/>
    </mc:Choice>
  </mc:AlternateContent>
  <bookViews>
    <workbookView xWindow="480" yWindow="150" windowWidth="27795" windowHeight="12270" tabRatio="931" firstSheet="1" activeTab="1"/>
  </bookViews>
  <sheets>
    <sheet name="FCS SNP" sheetId="31" state="hidden" r:id="rId1"/>
    <sheet name="FCS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ARRA">[1]List!$C$1:$C$2</definedName>
    <definedName name="ff" localSheetId="1">#REF!</definedName>
    <definedName name="ff">#REF!</definedName>
    <definedName name="ga">#REF!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1">FCS!$C$1:$Q$68</definedName>
    <definedName name="_xlnm.Print_Area" localSheetId="0">'FCS SNP'!$A$1:$O$125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4">STPETE!#REF!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1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1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P4" i="1" l="1"/>
  <c r="P4" i="2"/>
  <c r="P4" i="3"/>
  <c r="P4" i="4"/>
  <c r="P4" i="5"/>
  <c r="P4" i="6"/>
  <c r="P4" i="7"/>
  <c r="P4" i="8"/>
  <c r="P4" i="9"/>
  <c r="P4" i="10"/>
  <c r="P4" i="11"/>
  <c r="P4" i="12"/>
  <c r="P4" i="13"/>
  <c r="P4" i="14"/>
  <c r="P4" i="15"/>
  <c r="P4" i="16"/>
  <c r="P4" i="17"/>
  <c r="P4" i="18"/>
  <c r="P4" i="19"/>
  <c r="P4" i="20"/>
  <c r="P4" i="21"/>
  <c r="P4" i="22"/>
  <c r="P4" i="23"/>
  <c r="P4" i="24"/>
  <c r="P4" i="25"/>
  <c r="P4" i="26"/>
  <c r="P4" i="27"/>
  <c r="P4" i="28"/>
  <c r="C41" i="28" l="1"/>
  <c r="N7" i="28"/>
  <c r="C43" i="28" l="1"/>
  <c r="C55" i="28"/>
  <c r="O69" i="28" l="1"/>
  <c r="D34" i="28" l="1"/>
  <c r="C49" i="28" l="1"/>
  <c r="N69" i="28"/>
  <c r="C59" i="28" l="1"/>
  <c r="L69" i="28" l="1"/>
  <c r="C55" i="27" l="1"/>
  <c r="N7" i="27"/>
  <c r="C43" i="27" l="1"/>
  <c r="C41" i="27"/>
  <c r="O69" i="27" l="1"/>
  <c r="D34" i="27" l="1"/>
  <c r="N69" i="27" l="1"/>
  <c r="C49" i="27"/>
  <c r="C59" i="27" l="1"/>
  <c r="L69" i="27" l="1"/>
  <c r="C55" i="26" l="1"/>
  <c r="N7" i="26"/>
  <c r="C41" i="26" l="1"/>
  <c r="C43" i="26"/>
  <c r="O69" i="26" l="1"/>
  <c r="D34" i="26" l="1"/>
  <c r="N69" i="26" l="1"/>
  <c r="C49" i="26"/>
  <c r="C59" i="26" l="1"/>
  <c r="L69" i="26" l="1"/>
  <c r="C55" i="25" l="1"/>
  <c r="N7" i="25"/>
  <c r="C41" i="25" l="1"/>
  <c r="C43" i="25"/>
  <c r="O69" i="25" l="1"/>
  <c r="D34" i="25" l="1"/>
  <c r="C49" i="25" l="1"/>
  <c r="N69" i="25"/>
  <c r="C59" i="25" l="1"/>
  <c r="L69" i="25" l="1"/>
  <c r="C55" i="24" l="1"/>
  <c r="N7" i="24"/>
  <c r="C41" i="24" l="1"/>
  <c r="C43" i="24"/>
  <c r="O69" i="24" l="1"/>
  <c r="D34" i="24" l="1"/>
  <c r="N69" i="24" l="1"/>
  <c r="C49" i="24"/>
  <c r="C59" i="24" l="1"/>
  <c r="L69" i="24" l="1"/>
  <c r="N7" i="23" l="1"/>
  <c r="C55" i="23" l="1"/>
  <c r="C43" i="23"/>
  <c r="C41" i="23"/>
  <c r="O69" i="23" l="1"/>
  <c r="D34" i="23"/>
  <c r="N69" i="23" l="1"/>
  <c r="C49" i="23"/>
  <c r="C59" i="23" l="1"/>
  <c r="L69" i="23" l="1"/>
  <c r="C55" i="22" l="1"/>
  <c r="N7" i="22"/>
  <c r="C41" i="22" l="1"/>
  <c r="C43" i="22"/>
  <c r="O69" i="22" l="1"/>
  <c r="D34" i="22"/>
  <c r="C49" i="22" l="1"/>
  <c r="N69" i="22" l="1"/>
  <c r="C59" i="22"/>
  <c r="L69" i="22" l="1"/>
  <c r="C55" i="21" l="1"/>
  <c r="N7" i="21"/>
  <c r="C43" i="21" l="1"/>
  <c r="C41" i="21"/>
  <c r="O69" i="21" l="1"/>
  <c r="D34" i="21" l="1"/>
  <c r="N7" i="20"/>
  <c r="C49" i="21" l="1"/>
  <c r="N69" i="21"/>
  <c r="C43" i="20"/>
  <c r="C41" i="20"/>
  <c r="C55" i="20"/>
  <c r="C59" i="21" l="1"/>
  <c r="D34" i="20"/>
  <c r="L69" i="21" l="1"/>
  <c r="O69" i="20"/>
  <c r="C49" i="20"/>
  <c r="C59" i="20" l="1"/>
  <c r="N69" i="20"/>
  <c r="L69" i="20" l="1"/>
  <c r="C55" i="19" l="1"/>
  <c r="N7" i="19"/>
  <c r="C41" i="19" l="1"/>
  <c r="C43" i="19"/>
  <c r="O69" i="19" l="1"/>
  <c r="D34" i="19" l="1"/>
  <c r="C49" i="19" l="1"/>
  <c r="C59" i="19" l="1"/>
  <c r="N69" i="19"/>
  <c r="L69" i="19" l="1"/>
  <c r="C55" i="18" l="1"/>
  <c r="N7" i="18"/>
  <c r="C43" i="18" l="1"/>
  <c r="C41" i="18"/>
  <c r="O69" i="18" l="1"/>
  <c r="D34" i="18"/>
  <c r="C49" i="18" l="1"/>
  <c r="N69" i="18" l="1"/>
  <c r="C59" i="18"/>
  <c r="L69" i="18" l="1"/>
  <c r="C55" i="17" l="1"/>
  <c r="N7" i="17"/>
  <c r="C41" i="17" l="1"/>
  <c r="C43" i="17"/>
  <c r="O69" i="17" l="1"/>
  <c r="D34" i="17" l="1"/>
  <c r="C49" i="17" l="1"/>
  <c r="N69" i="17"/>
  <c r="C59" i="17" l="1"/>
  <c r="L69" i="17" l="1"/>
  <c r="C55" i="16" l="1"/>
  <c r="N7" i="16"/>
  <c r="C41" i="16" l="1"/>
  <c r="C43" i="16"/>
  <c r="D34" i="16" l="1"/>
  <c r="O69" i="16"/>
  <c r="C49" i="16" l="1"/>
  <c r="C59" i="16" l="1"/>
  <c r="N69" i="16" l="1"/>
  <c r="L69" i="16"/>
  <c r="C55" i="15" l="1"/>
  <c r="N7" i="15"/>
  <c r="C41" i="15" l="1"/>
  <c r="C43" i="15"/>
  <c r="O69" i="15" l="1"/>
  <c r="D34" i="15" l="1"/>
  <c r="C49" i="15" l="1"/>
  <c r="N69" i="15"/>
  <c r="C59" i="15" l="1"/>
  <c r="L69" i="15" l="1"/>
  <c r="C55" i="14" l="1"/>
  <c r="C41" i="14"/>
  <c r="N7" i="14"/>
  <c r="C43" i="14" l="1"/>
  <c r="O69" i="14" l="1"/>
  <c r="D34" i="14" l="1"/>
  <c r="C49" i="14" l="1"/>
  <c r="N69" i="14" l="1"/>
  <c r="C59" i="14"/>
  <c r="L69" i="14" l="1"/>
  <c r="C41" i="13" l="1"/>
  <c r="N7" i="13"/>
  <c r="C55" i="13" l="1"/>
  <c r="C43" i="13"/>
  <c r="O69" i="13" l="1"/>
  <c r="D34" i="13" l="1"/>
  <c r="N69" i="13" l="1"/>
  <c r="C49" i="13"/>
  <c r="C59" i="13" l="1"/>
  <c r="L69" i="13" l="1"/>
  <c r="C55" i="12" l="1"/>
  <c r="N7" i="12"/>
  <c r="C41" i="12" l="1"/>
  <c r="C43" i="12"/>
  <c r="O69" i="12" l="1"/>
  <c r="D34" i="12" l="1"/>
  <c r="N69" i="12" l="1"/>
  <c r="C49" i="12"/>
  <c r="C59" i="12" l="1"/>
  <c r="L69" i="12" l="1"/>
  <c r="C55" i="11" l="1"/>
  <c r="N7" i="11"/>
  <c r="C41" i="11" l="1"/>
  <c r="C43" i="11"/>
  <c r="O69" i="11" l="1"/>
  <c r="D34" i="11" l="1"/>
  <c r="N69" i="11" l="1"/>
  <c r="C49" i="11"/>
  <c r="C59" i="11" l="1"/>
  <c r="L69" i="11" l="1"/>
  <c r="C55" i="10" l="1"/>
  <c r="N7" i="10"/>
  <c r="C41" i="10" l="1"/>
  <c r="C43" i="10"/>
  <c r="O69" i="10" l="1"/>
  <c r="D34" i="10" l="1"/>
  <c r="N69" i="10" l="1"/>
  <c r="C49" i="10"/>
  <c r="C59" i="10" l="1"/>
  <c r="L69" i="10" l="1"/>
  <c r="C55" i="9" l="1"/>
  <c r="N7" i="9"/>
  <c r="C41" i="9" l="1"/>
  <c r="C43" i="9"/>
  <c r="O69" i="9" l="1"/>
  <c r="D34" i="9" l="1"/>
  <c r="N69" i="9" l="1"/>
  <c r="C49" i="9"/>
  <c r="C59" i="9" l="1"/>
  <c r="L69" i="9" l="1"/>
  <c r="N7" i="8" l="1"/>
  <c r="C55" i="8" l="1"/>
  <c r="C41" i="8"/>
  <c r="C43" i="8"/>
  <c r="O69" i="8" l="1"/>
  <c r="D34" i="8" l="1"/>
  <c r="C49" i="8" l="1"/>
  <c r="N69" i="8"/>
  <c r="C59" i="8" l="1"/>
  <c r="L69" i="8" l="1"/>
  <c r="C55" i="7" l="1"/>
  <c r="N7" i="7"/>
  <c r="C41" i="7" l="1"/>
  <c r="C43" i="7"/>
  <c r="O69" i="7" l="1"/>
  <c r="D34" i="7" l="1"/>
  <c r="C49" i="7" l="1"/>
  <c r="C59" i="7" l="1"/>
  <c r="L69" i="7" l="1"/>
  <c r="N69" i="7"/>
  <c r="C55" i="6" l="1"/>
  <c r="N7" i="6"/>
  <c r="C41" i="6" l="1"/>
  <c r="C43" i="6"/>
  <c r="O69" i="6" l="1"/>
  <c r="D34" i="6" l="1"/>
  <c r="N69" i="6" l="1"/>
  <c r="C49" i="6"/>
  <c r="C59" i="6" l="1"/>
  <c r="L69" i="6" l="1"/>
  <c r="O62" i="5" l="1"/>
  <c r="N61" i="5"/>
  <c r="N64" i="5" s="1" a="1"/>
  <c r="N64" i="5" s="1"/>
  <c r="N57" i="5" a="1"/>
  <c r="N57" i="5" s="1"/>
  <c r="K57" i="5"/>
  <c r="L55" i="5"/>
  <c r="C55" i="5" s="1"/>
  <c r="L54" i="5"/>
  <c r="L53" i="5"/>
  <c r="L52" i="5"/>
  <c r="N47" i="5" a="1"/>
  <c r="N47" i="5" s="1"/>
  <c r="K47" i="5"/>
  <c r="L45" i="5"/>
  <c r="O45" i="5" s="1"/>
  <c r="L44" i="5"/>
  <c r="O44" i="5" s="1"/>
  <c r="L43" i="5"/>
  <c r="L42" i="5"/>
  <c r="L41" i="5"/>
  <c r="L40" i="5"/>
  <c r="L39" i="5"/>
  <c r="L38" i="5"/>
  <c r="O38" i="5" s="1"/>
  <c r="N32" i="5" a="1"/>
  <c r="N32" i="5" s="1"/>
  <c r="L30" i="5"/>
  <c r="O30" i="5" s="1"/>
  <c r="K29" i="5"/>
  <c r="K32" i="5" s="1"/>
  <c r="L29" i="5"/>
  <c r="L28" i="5"/>
  <c r="L27" i="5"/>
  <c r="L26" i="5"/>
  <c r="L25" i="5"/>
  <c r="O25" i="5" s="1"/>
  <c r="N20" i="5" a="1"/>
  <c r="N20" i="5" s="1"/>
  <c r="K20" i="5" a="1"/>
  <c r="K20" i="5" s="1"/>
  <c r="L18" i="5"/>
  <c r="L17" i="5"/>
  <c r="L15" i="5"/>
  <c r="L14" i="5"/>
  <c r="O14" i="5" s="1"/>
  <c r="L13" i="5"/>
  <c r="L12" i="5"/>
  <c r="N7" i="5"/>
  <c r="L61" i="5"/>
  <c r="K34" i="5" l="1"/>
  <c r="K50" i="5" s="1"/>
  <c r="K59" i="5" s="1"/>
  <c r="J32" i="5"/>
  <c r="J47" i="5"/>
  <c r="J20" i="5"/>
  <c r="L24" i="5"/>
  <c r="O24" i="5" s="1"/>
  <c r="L37" i="5"/>
  <c r="O37" i="5" s="1"/>
  <c r="O55" i="5"/>
  <c r="O53" i="5"/>
  <c r="O12" i="5"/>
  <c r="O27" i="5"/>
  <c r="O41" i="5"/>
  <c r="C41" i="5"/>
  <c r="L57" i="5" a="1"/>
  <c r="L57" i="5" s="1"/>
  <c r="O52" i="5"/>
  <c r="O17" i="5"/>
  <c r="O26" i="5"/>
  <c r="L64" i="5" a="1"/>
  <c r="L64" i="5" s="1"/>
  <c r="O15" i="5"/>
  <c r="O40" i="5"/>
  <c r="O39" i="5"/>
  <c r="O18" i="5"/>
  <c r="O28" i="5"/>
  <c r="O29" i="5"/>
  <c r="N34" i="5"/>
  <c r="O42" i="5"/>
  <c r="O43" i="5"/>
  <c r="L47" i="5" a="1"/>
  <c r="L47" i="5" s="1"/>
  <c r="O54" i="5"/>
  <c r="J57" i="5"/>
  <c r="O61" i="5"/>
  <c r="O64" i="5" s="1" a="1"/>
  <c r="O64" i="5" s="1"/>
  <c r="O13" i="5"/>
  <c r="L11" i="5"/>
  <c r="C43" i="5"/>
  <c r="L32" i="5" l="1" a="1"/>
  <c r="L32" i="5" s="1"/>
  <c r="J34" i="5"/>
  <c r="J50" i="5" s="1"/>
  <c r="J59" i="5" s="1"/>
  <c r="O32" i="5" a="1"/>
  <c r="O32" i="5" s="1"/>
  <c r="O47" i="5" a="1"/>
  <c r="O47" i="5" s="1"/>
  <c r="N50" i="5"/>
  <c r="O57" i="5" a="1"/>
  <c r="O57" i="5" s="1"/>
  <c r="L20" i="5" a="1"/>
  <c r="L20" i="5" s="1"/>
  <c r="O11" i="5"/>
  <c r="O20" i="5" s="1" a="1"/>
  <c r="O20" i="5" s="1"/>
  <c r="O34" i="5" l="1"/>
  <c r="O50" i="5" s="1"/>
  <c r="O59" i="5" s="1"/>
  <c r="O66" i="5" s="1"/>
  <c r="O69" i="5" s="1"/>
  <c r="L34" i="5"/>
  <c r="N59" i="5"/>
  <c r="N66" i="5" l="1"/>
  <c r="L50" i="5"/>
  <c r="D34" i="5"/>
  <c r="L59" i="5" l="1"/>
  <c r="C49" i="5"/>
  <c r="N69" i="5"/>
  <c r="L66" i="5" l="1"/>
  <c r="C59" i="5"/>
  <c r="L69" i="5" l="1"/>
  <c r="O62" i="4" l="1"/>
  <c r="N57" i="4" a="1"/>
  <c r="N57" i="4" s="1"/>
  <c r="K57" i="4"/>
  <c r="L55" i="4"/>
  <c r="C55" i="4" s="1"/>
  <c r="L54" i="4"/>
  <c r="O54" i="4" s="1"/>
  <c r="L53" i="4"/>
  <c r="O53" i="4" s="1"/>
  <c r="L52" i="4"/>
  <c r="N47" i="4" a="1"/>
  <c r="N47" i="4" s="1"/>
  <c r="K47" i="4"/>
  <c r="L45" i="4"/>
  <c r="O45" i="4" s="1"/>
  <c r="L44" i="4"/>
  <c r="O44" i="4" s="1"/>
  <c r="L43" i="4"/>
  <c r="O43" i="4" s="1"/>
  <c r="L42" i="4"/>
  <c r="O42" i="4" s="1"/>
  <c r="L41" i="4"/>
  <c r="O41" i="4" s="1"/>
  <c r="L40" i="4"/>
  <c r="O40" i="4" s="1"/>
  <c r="L39" i="4"/>
  <c r="L38" i="4"/>
  <c r="O38" i="4" s="1"/>
  <c r="K32" i="4"/>
  <c r="L30" i="4"/>
  <c r="O30" i="4" s="1"/>
  <c r="L29" i="4"/>
  <c r="O29" i="4" s="1"/>
  <c r="N28" i="4"/>
  <c r="L28" i="4"/>
  <c r="L27" i="4"/>
  <c r="O27" i="4" s="1"/>
  <c r="L26" i="4"/>
  <c r="L25" i="4"/>
  <c r="O25" i="4" s="1"/>
  <c r="L24" i="4"/>
  <c r="O24" i="4" s="1"/>
  <c r="K20" i="4" a="1"/>
  <c r="K20" i="4" s="1"/>
  <c r="K34" i="4" s="1"/>
  <c r="K50" i="4" s="1"/>
  <c r="K59" i="4" s="1"/>
  <c r="L18" i="4"/>
  <c r="O18" i="4" s="1"/>
  <c r="L17" i="4"/>
  <c r="O17" i="4" s="1"/>
  <c r="L15" i="4"/>
  <c r="N14" i="4"/>
  <c r="N20" i="4" s="1" a="1"/>
  <c r="N20" i="4" s="1"/>
  <c r="L14" i="4"/>
  <c r="L13" i="4"/>
  <c r="O13" i="4" s="1"/>
  <c r="L12" i="4"/>
  <c r="O12" i="4" s="1"/>
  <c r="N7" i="4"/>
  <c r="N61" i="4"/>
  <c r="J47" i="4" l="1"/>
  <c r="J20" i="4"/>
  <c r="O28" i="4"/>
  <c r="O55" i="4"/>
  <c r="L37" i="4"/>
  <c r="O37" i="4" s="1"/>
  <c r="O47" i="4" s="1" a="1"/>
  <c r="L32" i="4" a="1"/>
  <c r="L32" i="4" s="1"/>
  <c r="L57" i="4" a="1"/>
  <c r="L57" i="4" s="1"/>
  <c r="O52" i="4"/>
  <c r="O26" i="4"/>
  <c r="O32" i="4" s="1" a="1"/>
  <c r="O39" i="4"/>
  <c r="O15" i="4"/>
  <c r="N64" i="4" a="1"/>
  <c r="N64" i="4" s="1"/>
  <c r="O14" i="4"/>
  <c r="L11" i="4"/>
  <c r="N32" i="4" a="1"/>
  <c r="N32" i="4" s="1"/>
  <c r="N34" i="4" s="1"/>
  <c r="J57" i="4"/>
  <c r="C41" i="4"/>
  <c r="L61" i="4"/>
  <c r="J32" i="4"/>
  <c r="C43" i="4"/>
  <c r="O57" i="4" l="1" a="1"/>
  <c r="O57" i="4" s="1"/>
  <c r="J34" i="4"/>
  <c r="J50" i="4" s="1"/>
  <c r="J59" i="4"/>
  <c r="O32" i="4"/>
  <c r="O47" i="4"/>
  <c r="L47" i="4" a="1"/>
  <c r="L47" i="4" s="1"/>
  <c r="N50" i="4"/>
  <c r="L64" i="4" a="1"/>
  <c r="L64" i="4" s="1"/>
  <c r="O11" i="4"/>
  <c r="O20" i="4" s="1" a="1"/>
  <c r="O20" i="4" s="1"/>
  <c r="L20" i="4" a="1"/>
  <c r="L20" i="4" s="1"/>
  <c r="O61" i="4"/>
  <c r="O64" i="4" s="1" a="1"/>
  <c r="O64" i="4" s="1"/>
  <c r="O34" i="4" l="1"/>
  <c r="O50" i="4" s="1"/>
  <c r="O59" i="4" s="1"/>
  <c r="O66" i="4"/>
  <c r="O69" i="4" s="1"/>
  <c r="N59" i="4"/>
  <c r="L34" i="4"/>
  <c r="N66" i="4" l="1"/>
  <c r="L50" i="4"/>
  <c r="D34" i="4"/>
  <c r="L59" i="4" l="1"/>
  <c r="C49" i="4"/>
  <c r="N69" i="4"/>
  <c r="L66" i="4" l="1"/>
  <c r="C59" i="4"/>
  <c r="L69" i="4" l="1"/>
  <c r="C55" i="3" l="1"/>
  <c r="N7" i="3"/>
  <c r="C41" i="3" l="1"/>
  <c r="C43" i="3"/>
  <c r="O69" i="3" l="1"/>
  <c r="D34" i="3" l="1"/>
  <c r="C49" i="3" l="1"/>
  <c r="N69" i="3"/>
  <c r="C59" i="3" l="1"/>
  <c r="L69" i="3" l="1"/>
  <c r="N7" i="2" l="1"/>
  <c r="C41" i="2" l="1"/>
  <c r="C55" i="2"/>
  <c r="C43" i="2"/>
  <c r="O69" i="2" l="1"/>
  <c r="N69" i="2" l="1"/>
  <c r="D34" i="2"/>
  <c r="C49" i="2" l="1"/>
  <c r="C59" i="2" l="1"/>
  <c r="L69" i="2" l="1"/>
  <c r="L53" i="29" l="1"/>
  <c r="O53" i="29"/>
  <c r="L54" i="29"/>
  <c r="O54" i="29"/>
  <c r="J55" i="29"/>
  <c r="L55" i="29"/>
  <c r="O55" i="29"/>
  <c r="O52" i="29"/>
  <c r="L52" i="29"/>
  <c r="L38" i="29"/>
  <c r="O38" i="29"/>
  <c r="L39" i="29"/>
  <c r="O39" i="29"/>
  <c r="L40" i="29"/>
  <c r="O40" i="29"/>
  <c r="L41" i="29"/>
  <c r="O41" i="29"/>
  <c r="L42" i="29"/>
  <c r="O42" i="29"/>
  <c r="O43" i="29"/>
  <c r="L44" i="29"/>
  <c r="O44" i="29"/>
  <c r="J45" i="29"/>
  <c r="L45" i="29"/>
  <c r="O45" i="29"/>
  <c r="O37" i="29"/>
  <c r="L37" i="29"/>
  <c r="L25" i="29"/>
  <c r="O25" i="29"/>
  <c r="L26" i="29"/>
  <c r="O26" i="29"/>
  <c r="L27" i="29"/>
  <c r="O27" i="29"/>
  <c r="L28" i="29"/>
  <c r="O28" i="29"/>
  <c r="L29" i="29"/>
  <c r="O29" i="29"/>
  <c r="L30" i="29"/>
  <c r="O30" i="29"/>
  <c r="O24" i="29"/>
  <c r="L24" i="29"/>
  <c r="L12" i="29"/>
  <c r="O12" i="29"/>
  <c r="L13" i="29"/>
  <c r="O13" i="29"/>
  <c r="L14" i="29"/>
  <c r="O14" i="29"/>
  <c r="L15" i="29"/>
  <c r="O15" i="29"/>
  <c r="J16" i="29"/>
  <c r="L16" i="29"/>
  <c r="M16" i="29"/>
  <c r="O16" i="29"/>
  <c r="L17" i="29"/>
  <c r="O17" i="29"/>
  <c r="L18" i="29"/>
  <c r="O18" i="29"/>
  <c r="L62" i="29"/>
  <c r="J62" i="29"/>
  <c r="L61" i="29"/>
  <c r="J61" i="29"/>
  <c r="L57" i="29" a="1"/>
  <c r="L32" i="29" a="1"/>
  <c r="L11" i="29"/>
  <c r="L20" i="29" s="1" a="1"/>
  <c r="L57" i="29" l="1"/>
  <c r="L20" i="29"/>
  <c r="L32" i="29"/>
  <c r="M62" i="29"/>
  <c r="O62" i="29"/>
  <c r="O11" i="29"/>
  <c r="O62" i="1"/>
  <c r="N57" i="1" a="1"/>
  <c r="N57" i="1" s="1"/>
  <c r="K57" i="1"/>
  <c r="L55" i="1"/>
  <c r="N47" i="1"/>
  <c r="N47" i="1" a="1"/>
  <c r="L45" i="1"/>
  <c r="K43" i="1"/>
  <c r="J37" i="29"/>
  <c r="N32" i="1" a="1"/>
  <c r="N32" i="1" s="1"/>
  <c r="K32" i="1"/>
  <c r="N20" i="1" a="1"/>
  <c r="N20" i="1" s="1"/>
  <c r="K20" i="1" a="1"/>
  <c r="K20" i="1" s="1"/>
  <c r="J11" i="29"/>
  <c r="N7" i="1"/>
  <c r="L61" i="1"/>
  <c r="M61" i="29" s="1"/>
  <c r="K34" i="1" l="1"/>
  <c r="K47" i="1"/>
  <c r="L43" i="29"/>
  <c r="L47" i="29" s="1" a="1"/>
  <c r="L47" i="29" s="1"/>
  <c r="C55" i="1"/>
  <c r="M55" i="29"/>
  <c r="O45" i="1"/>
  <c r="M45" i="29"/>
  <c r="L13" i="1"/>
  <c r="M13" i="29" s="1"/>
  <c r="J13" i="29"/>
  <c r="L18" i="1"/>
  <c r="M18" i="29" s="1"/>
  <c r="J18" i="29"/>
  <c r="L24" i="1"/>
  <c r="M24" i="29" s="1"/>
  <c r="J24" i="29"/>
  <c r="L28" i="1"/>
  <c r="M28" i="29" s="1"/>
  <c r="J28" i="29"/>
  <c r="L40" i="1"/>
  <c r="M40" i="29" s="1"/>
  <c r="J40" i="29"/>
  <c r="L12" i="1"/>
  <c r="M12" i="29" s="1"/>
  <c r="J12" i="29"/>
  <c r="J20" i="29" s="1" a="1"/>
  <c r="L39" i="1"/>
  <c r="M39" i="29" s="1"/>
  <c r="J39" i="29"/>
  <c r="L54" i="1"/>
  <c r="M54" i="29" s="1"/>
  <c r="J54" i="29"/>
  <c r="L14" i="1"/>
  <c r="M14" i="29" s="1"/>
  <c r="J14" i="29"/>
  <c r="L25" i="1"/>
  <c r="M25" i="29" s="1"/>
  <c r="J25" i="29"/>
  <c r="L29" i="1"/>
  <c r="J29" i="29"/>
  <c r="L41" i="1"/>
  <c r="M41" i="29" s="1"/>
  <c r="J41" i="29"/>
  <c r="L44" i="1"/>
  <c r="M44" i="29" s="1"/>
  <c r="J44" i="29"/>
  <c r="L52" i="1"/>
  <c r="M52" i="29" s="1"/>
  <c r="J52" i="29"/>
  <c r="L17" i="1"/>
  <c r="M17" i="29" s="1"/>
  <c r="J17" i="29"/>
  <c r="L27" i="1"/>
  <c r="M27" i="29" s="1"/>
  <c r="J27" i="29"/>
  <c r="L43" i="1"/>
  <c r="M43" i="29" s="1"/>
  <c r="J43" i="29"/>
  <c r="L15" i="1"/>
  <c r="J15" i="29"/>
  <c r="L26" i="1"/>
  <c r="L32" i="1" s="1" a="1"/>
  <c r="J26" i="29"/>
  <c r="L30" i="1"/>
  <c r="J30" i="29"/>
  <c r="L38" i="1"/>
  <c r="J38" i="29"/>
  <c r="J47" i="29" s="1" a="1"/>
  <c r="L42" i="1"/>
  <c r="M42" i="29" s="1"/>
  <c r="J42" i="29"/>
  <c r="L53" i="1"/>
  <c r="M53" i="29" s="1"/>
  <c r="J53" i="29"/>
  <c r="L34" i="29"/>
  <c r="L50" i="29" s="1"/>
  <c r="L59" i="29" s="1"/>
  <c r="O25" i="1"/>
  <c r="O44" i="1"/>
  <c r="O42" i="1"/>
  <c r="J47" i="1"/>
  <c r="N61" i="1"/>
  <c r="O61" i="29" s="1"/>
  <c r="O55" i="1"/>
  <c r="J20" i="1"/>
  <c r="O18" i="1"/>
  <c r="O28" i="1"/>
  <c r="L64" i="1" a="1"/>
  <c r="L64" i="1" s="1"/>
  <c r="J32" i="1"/>
  <c r="C41" i="1"/>
  <c r="O41" i="1"/>
  <c r="L57" i="1" a="1"/>
  <c r="L57" i="1" s="1"/>
  <c r="O52" i="1"/>
  <c r="O12" i="1"/>
  <c r="O27" i="1"/>
  <c r="O24" i="1"/>
  <c r="N34" i="1"/>
  <c r="O53" i="1"/>
  <c r="L37" i="1"/>
  <c r="M37" i="29" s="1"/>
  <c r="O54" i="1"/>
  <c r="J57" i="1"/>
  <c r="N64" i="1" a="1"/>
  <c r="L11" i="1"/>
  <c r="M11" i="29" s="1"/>
  <c r="J32" i="29" l="1" a="1"/>
  <c r="K50" i="1"/>
  <c r="K59" i="1" s="1"/>
  <c r="J57" i="29" a="1"/>
  <c r="O17" i="1"/>
  <c r="O13" i="1"/>
  <c r="O14" i="1"/>
  <c r="L32" i="1"/>
  <c r="C43" i="1"/>
  <c r="O40" i="1"/>
  <c r="O43" i="1"/>
  <c r="O39" i="1"/>
  <c r="J47" i="29"/>
  <c r="O30" i="1"/>
  <c r="M30" i="29"/>
  <c r="O15" i="1"/>
  <c r="M15" i="29"/>
  <c r="J32" i="29"/>
  <c r="O38" i="1"/>
  <c r="M38" i="29"/>
  <c r="O26" i="1"/>
  <c r="M26" i="29"/>
  <c r="O29" i="1"/>
  <c r="M29" i="29"/>
  <c r="J57" i="29"/>
  <c r="J20" i="29"/>
  <c r="N64" i="1"/>
  <c r="O61" i="1"/>
  <c r="O64" i="1" s="1" a="1"/>
  <c r="O64" i="1" s="1"/>
  <c r="O11" i="1"/>
  <c r="L20" i="1" a="1"/>
  <c r="L20" i="1" s="1"/>
  <c r="L47" i="1" a="1"/>
  <c r="L47" i="1" s="1"/>
  <c r="O37" i="1"/>
  <c r="N50" i="1"/>
  <c r="O32" i="1" a="1"/>
  <c r="O32" i="1" s="1"/>
  <c r="O57" i="1" a="1"/>
  <c r="O57" i="1" s="1"/>
  <c r="J34" i="1"/>
  <c r="J50" i="1" s="1"/>
  <c r="J59" i="1" s="1"/>
  <c r="O20" i="1" l="1" a="1"/>
  <c r="O20" i="1" s="1"/>
  <c r="O47" i="1" a="1"/>
  <c r="O47" i="1" s="1"/>
  <c r="J34" i="29"/>
  <c r="J50" i="29" s="1"/>
  <c r="J59" i="29" s="1"/>
  <c r="N59" i="1"/>
  <c r="L34" i="1"/>
  <c r="O34" i="1"/>
  <c r="O50" i="1" s="1"/>
  <c r="O59" i="1" s="1"/>
  <c r="O66" i="1" s="1"/>
  <c r="O69" i="1" s="1"/>
  <c r="L50" i="1" l="1"/>
  <c r="D34" i="1"/>
  <c r="N66" i="1"/>
  <c r="N69" i="1" l="1"/>
  <c r="C49" i="1"/>
  <c r="L59" i="1"/>
  <c r="L66" i="1" l="1"/>
  <c r="C59" i="1"/>
  <c r="L69" i="1" l="1"/>
  <c r="W119" i="31" l="1"/>
  <c r="X119" i="31" s="1"/>
  <c r="U119" i="31"/>
  <c r="V119" i="31" s="1"/>
  <c r="U118" i="31"/>
  <c r="V118" i="31" s="1"/>
  <c r="W117" i="31"/>
  <c r="X117" i="31" s="1"/>
  <c r="U117" i="31"/>
  <c r="V117" i="31" s="1"/>
  <c r="U116" i="31"/>
  <c r="V116" i="31" s="1"/>
  <c r="W115" i="31"/>
  <c r="X115" i="31" s="1"/>
  <c r="U115" i="31"/>
  <c r="V115" i="31" s="1"/>
  <c r="U114" i="31"/>
  <c r="V114" i="31" s="1"/>
  <c r="W113" i="31"/>
  <c r="X113" i="31" s="1"/>
  <c r="U113" i="31"/>
  <c r="V113" i="31" s="1"/>
  <c r="W111" i="31"/>
  <c r="X111" i="31" s="1"/>
  <c r="U111" i="31"/>
  <c r="V111" i="31" s="1"/>
  <c r="W108" i="31"/>
  <c r="U108" i="31"/>
  <c r="U104" i="31"/>
  <c r="U102" i="31"/>
  <c r="U91" i="31"/>
  <c r="V91" i="31" s="1"/>
  <c r="W90" i="31"/>
  <c r="X90" i="31" s="1"/>
  <c r="U90" i="31"/>
  <c r="V90" i="31" s="1"/>
  <c r="W87" i="31"/>
  <c r="X87" i="31" s="1"/>
  <c r="U87" i="31"/>
  <c r="V87" i="31" s="1"/>
  <c r="W86" i="31"/>
  <c r="X86" i="31" s="1"/>
  <c r="U86" i="31"/>
  <c r="V86" i="31" s="1"/>
  <c r="U85" i="31"/>
  <c r="V85" i="31" s="1"/>
  <c r="W84" i="31"/>
  <c r="X84" i="31" s="1"/>
  <c r="U84" i="31"/>
  <c r="V84" i="31" s="1"/>
  <c r="U83" i="31"/>
  <c r="V83" i="31" s="1"/>
  <c r="W82" i="31"/>
  <c r="U82" i="31"/>
  <c r="O80" i="31"/>
  <c r="D77" i="31"/>
  <c r="D74" i="31"/>
  <c r="W70" i="31"/>
  <c r="X70" i="31" s="1"/>
  <c r="U70" i="31"/>
  <c r="V70" i="31" s="1"/>
  <c r="U67" i="31"/>
  <c r="V67" i="31" s="1"/>
  <c r="W66" i="31"/>
  <c r="X66" i="31" s="1"/>
  <c r="U66" i="31"/>
  <c r="V66" i="31" s="1"/>
  <c r="U65" i="31"/>
  <c r="V65" i="31" s="1"/>
  <c r="W64" i="31"/>
  <c r="X64" i="31" s="1"/>
  <c r="U64" i="31"/>
  <c r="V64" i="31" s="1"/>
  <c r="U63" i="31"/>
  <c r="V63" i="31" s="1"/>
  <c r="W62" i="31"/>
  <c r="X62" i="31" s="1"/>
  <c r="U62" i="31"/>
  <c r="V62" i="31" s="1"/>
  <c r="W61" i="31"/>
  <c r="X61" i="31" s="1"/>
  <c r="U61" i="31"/>
  <c r="V61" i="31" s="1"/>
  <c r="U60" i="31"/>
  <c r="V60" i="31" s="1"/>
  <c r="W59" i="31"/>
  <c r="X59" i="31" s="1"/>
  <c r="U59" i="31"/>
  <c r="V59" i="31" s="1"/>
  <c r="U58" i="31"/>
  <c r="V58" i="31" s="1"/>
  <c r="W57" i="31"/>
  <c r="X57" i="31" s="1"/>
  <c r="U57" i="31"/>
  <c r="V57" i="31" s="1"/>
  <c r="U56" i="31"/>
  <c r="V56" i="31" s="1"/>
  <c r="W55" i="31"/>
  <c r="X55" i="31" s="1"/>
  <c r="U55" i="31"/>
  <c r="V55" i="31" s="1"/>
  <c r="U54" i="31"/>
  <c r="V54" i="31" s="1"/>
  <c r="W53" i="31"/>
  <c r="X53" i="31" s="1"/>
  <c r="U53" i="31"/>
  <c r="V53" i="31" s="1"/>
  <c r="W52" i="31"/>
  <c r="U52" i="31"/>
  <c r="U45" i="31"/>
  <c r="W35" i="31"/>
  <c r="X35" i="31" s="1"/>
  <c r="U35" i="31"/>
  <c r="V35" i="31" s="1"/>
  <c r="U34" i="31"/>
  <c r="V34" i="31" s="1"/>
  <c r="W34" i="31"/>
  <c r="X34" i="31" s="1"/>
  <c r="U33" i="31"/>
  <c r="V33" i="31" s="1"/>
  <c r="U32" i="31"/>
  <c r="V32" i="31" s="1"/>
  <c r="W30" i="31"/>
  <c r="X30" i="31" s="1"/>
  <c r="U30" i="31"/>
  <c r="V30" i="31" s="1"/>
  <c r="U29" i="31"/>
  <c r="V29" i="31" s="1"/>
  <c r="W29" i="31"/>
  <c r="X29" i="31" s="1"/>
  <c r="U23" i="31"/>
  <c r="V23" i="31" s="1"/>
  <c r="W22" i="31"/>
  <c r="X22" i="31" s="1"/>
  <c r="U22" i="31"/>
  <c r="V22" i="31" s="1"/>
  <c r="U21" i="31"/>
  <c r="V21" i="31" s="1"/>
  <c r="W21" i="31"/>
  <c r="X21" i="31" s="1"/>
  <c r="W20" i="31"/>
  <c r="X20" i="31" s="1"/>
  <c r="U19" i="31"/>
  <c r="V19" i="31" s="1"/>
  <c r="W18" i="31"/>
  <c r="X18" i="31" s="1"/>
  <c r="U18" i="31"/>
  <c r="V18" i="31" s="1"/>
  <c r="U17" i="31"/>
  <c r="V17" i="31" s="1"/>
  <c r="W17" i="31"/>
  <c r="X17" i="31" s="1"/>
  <c r="W16" i="31"/>
  <c r="X16" i="31" s="1"/>
  <c r="U16" i="31"/>
  <c r="V16" i="31" s="1"/>
  <c r="U15" i="31"/>
  <c r="V15" i="31" s="1"/>
  <c r="W14" i="31"/>
  <c r="X14" i="31" s="1"/>
  <c r="U14" i="31"/>
  <c r="V14" i="31" s="1"/>
  <c r="U13" i="31"/>
  <c r="V13" i="31" s="1"/>
  <c r="W13" i="31"/>
  <c r="X13" i="31" s="1"/>
  <c r="W12" i="31"/>
  <c r="X52" i="31" l="1"/>
  <c r="V82" i="31"/>
  <c r="U93" i="31"/>
  <c r="V93" i="31" s="1"/>
  <c r="X12" i="31"/>
  <c r="W15" i="31"/>
  <c r="X15" i="31" s="1"/>
  <c r="U12" i="31"/>
  <c r="U20" i="31"/>
  <c r="V20" i="31" s="1"/>
  <c r="K127" i="31"/>
  <c r="W32" i="31"/>
  <c r="X32" i="31" s="1"/>
  <c r="W83" i="31"/>
  <c r="X83" i="31" s="1"/>
  <c r="W85" i="31"/>
  <c r="X85" i="31" s="1"/>
  <c r="W19" i="31"/>
  <c r="X19" i="31" s="1"/>
  <c r="W23" i="31"/>
  <c r="X23" i="31" s="1"/>
  <c r="X82" i="31"/>
  <c r="X108" i="31"/>
  <c r="U28" i="31"/>
  <c r="L127" i="31"/>
  <c r="W54" i="31"/>
  <c r="X54" i="31" s="1"/>
  <c r="W56" i="31"/>
  <c r="X56" i="31" s="1"/>
  <c r="W58" i="31"/>
  <c r="X58" i="31" s="1"/>
  <c r="W60" i="31"/>
  <c r="X60" i="31" s="1"/>
  <c r="W91" i="31"/>
  <c r="X91" i="31" s="1"/>
  <c r="U121" i="31"/>
  <c r="V121" i="31" s="1"/>
  <c r="V108" i="31"/>
  <c r="U47" i="31"/>
  <c r="U72" i="31"/>
  <c r="V52" i="31"/>
  <c r="W28" i="31"/>
  <c r="W33" i="31"/>
  <c r="X33" i="31" s="1"/>
  <c r="W63" i="31"/>
  <c r="X63" i="31" s="1"/>
  <c r="W65" i="31"/>
  <c r="X65" i="31" s="1"/>
  <c r="W67" i="31"/>
  <c r="X67" i="31" s="1"/>
  <c r="W114" i="31"/>
  <c r="X114" i="31" s="1"/>
  <c r="W116" i="31"/>
  <c r="X116" i="31" s="1"/>
  <c r="W118" i="31"/>
  <c r="X118" i="31" s="1"/>
  <c r="W93" i="31" l="1"/>
  <c r="X93" i="31" s="1"/>
  <c r="V72" i="31"/>
  <c r="U37" i="31"/>
  <c r="V37" i="31" s="1"/>
  <c r="V28" i="31"/>
  <c r="O127" i="31"/>
  <c r="X28" i="31"/>
  <c r="W37" i="31"/>
  <c r="X37" i="31" s="1"/>
  <c r="U25" i="31"/>
  <c r="V12" i="31"/>
  <c r="W72" i="31"/>
  <c r="X72" i="31" s="1"/>
  <c r="W121" i="31"/>
  <c r="W25" i="31"/>
  <c r="U95" i="31"/>
  <c r="U123" i="31" s="1"/>
  <c r="W95" i="31" l="1"/>
  <c r="X95" i="31" s="1"/>
  <c r="W39" i="31"/>
  <c r="X25" i="31"/>
  <c r="X121" i="31"/>
  <c r="U39" i="31"/>
  <c r="U125" i="31" s="1"/>
  <c r="V25" i="31"/>
  <c r="V95" i="31"/>
  <c r="V123" i="31"/>
  <c r="W123" i="31" l="1"/>
  <c r="X123" i="31" s="1"/>
  <c r="V39" i="31"/>
  <c r="P127" i="31"/>
  <c r="M127" i="31"/>
  <c r="W125" i="31"/>
  <c r="X39" i="31"/>
  <c r="P16" i="29" l="1"/>
  <c r="F17" i="29" l="1"/>
  <c r="F11" i="29"/>
  <c r="F127" i="29"/>
  <c r="V62" i="29" l="1"/>
  <c r="W62" i="29" s="1"/>
  <c r="T62" i="29"/>
  <c r="U62" i="29" s="1"/>
  <c r="V61" i="29"/>
  <c r="G127" i="29"/>
  <c r="V53" i="29"/>
  <c r="W53" i="29" s="1"/>
  <c r="T54" i="29"/>
  <c r="U54" i="29" s="1"/>
  <c r="V54" i="29"/>
  <c r="W54" i="29" s="1"/>
  <c r="V55" i="29"/>
  <c r="W55" i="29" s="1"/>
  <c r="T38" i="29"/>
  <c r="U38" i="29" s="1"/>
  <c r="V38" i="29"/>
  <c r="W38" i="29" s="1"/>
  <c r="T39" i="29"/>
  <c r="U39" i="29" s="1"/>
  <c r="V39" i="29"/>
  <c r="W39" i="29" s="1"/>
  <c r="T40" i="29"/>
  <c r="U40" i="29" s="1"/>
  <c r="T41" i="29"/>
  <c r="U41" i="29" s="1"/>
  <c r="V41" i="29"/>
  <c r="W41" i="29" s="1"/>
  <c r="T42" i="29"/>
  <c r="U42" i="29" s="1"/>
  <c r="V42" i="29"/>
  <c r="W42" i="29" s="1"/>
  <c r="T43" i="29"/>
  <c r="U43" i="29" s="1"/>
  <c r="V43" i="29"/>
  <c r="W43" i="29" s="1"/>
  <c r="T44" i="29"/>
  <c r="U44" i="29" s="1"/>
  <c r="V44" i="29"/>
  <c r="W44" i="29" s="1"/>
  <c r="V37" i="29"/>
  <c r="W37" i="29" s="1"/>
  <c r="T25" i="29"/>
  <c r="U25" i="29" s="1"/>
  <c r="V25" i="29"/>
  <c r="W25" i="29" s="1"/>
  <c r="T26" i="29"/>
  <c r="U26" i="29" s="1"/>
  <c r="V26" i="29"/>
  <c r="W26" i="29" s="1"/>
  <c r="V27" i="29"/>
  <c r="W27" i="29" s="1"/>
  <c r="T28" i="29"/>
  <c r="U28" i="29" s="1"/>
  <c r="V28" i="29"/>
  <c r="W28" i="29" s="1"/>
  <c r="T29" i="29"/>
  <c r="U29" i="29" s="1"/>
  <c r="V29" i="29"/>
  <c r="W29" i="29" s="1"/>
  <c r="T30" i="29"/>
  <c r="U30" i="29" s="1"/>
  <c r="V24" i="29"/>
  <c r="W24" i="29" s="1"/>
  <c r="T18" i="29"/>
  <c r="U18" i="29" s="1"/>
  <c r="V18" i="29"/>
  <c r="W18" i="29" s="1"/>
  <c r="T12" i="29"/>
  <c r="U12" i="29" s="1"/>
  <c r="V12" i="29"/>
  <c r="W12" i="29" s="1"/>
  <c r="T13" i="29"/>
  <c r="U13" i="29" s="1"/>
  <c r="O20" i="29" a="1"/>
  <c r="T14" i="29"/>
  <c r="U14" i="29" s="1"/>
  <c r="T15" i="29"/>
  <c r="U15" i="29" s="1"/>
  <c r="V15" i="29"/>
  <c r="W15" i="29" s="1"/>
  <c r="T17" i="29"/>
  <c r="U17" i="29" s="1"/>
  <c r="V17" i="29"/>
  <c r="W17" i="29" s="1"/>
  <c r="V11" i="29"/>
  <c r="W11" i="29" s="1"/>
  <c r="T11" i="29"/>
  <c r="U11" i="29" s="1"/>
  <c r="T61" i="29"/>
  <c r="T55" i="29"/>
  <c r="U55" i="29" s="1"/>
  <c r="T53" i="29"/>
  <c r="U53" i="29" s="1"/>
  <c r="T45" i="29"/>
  <c r="U45" i="29" s="1"/>
  <c r="M47" i="29" a="1"/>
  <c r="O32" i="29" a="1"/>
  <c r="T27" i="29"/>
  <c r="U27" i="29" s="1"/>
  <c r="V23" i="29"/>
  <c r="W23" i="29" s="1"/>
  <c r="T23" i="29"/>
  <c r="U23" i="29" s="1"/>
  <c r="V22" i="29"/>
  <c r="W22" i="29" s="1"/>
  <c r="T22" i="29"/>
  <c r="U22" i="29" s="1"/>
  <c r="M20" i="29" a="1"/>
  <c r="O7" i="29"/>
  <c r="M57" i="29" l="1" a="1"/>
  <c r="M32" i="29" a="1"/>
  <c r="M32" i="29" s="1"/>
  <c r="O57" i="29" a="1"/>
  <c r="U24" i="29"/>
  <c r="P42" i="29"/>
  <c r="P44" i="29"/>
  <c r="P28" i="29"/>
  <c r="P40" i="29"/>
  <c r="P39" i="29"/>
  <c r="P53" i="29"/>
  <c r="P13" i="29"/>
  <c r="P30" i="29"/>
  <c r="P26" i="29"/>
  <c r="P14" i="29"/>
  <c r="P29" i="29"/>
  <c r="P45" i="29"/>
  <c r="P15" i="29"/>
  <c r="V14" i="29"/>
  <c r="W14" i="29" s="1"/>
  <c r="P27" i="29"/>
  <c r="P12" i="29"/>
  <c r="P25" i="29"/>
  <c r="P54" i="29"/>
  <c r="T52" i="29"/>
  <c r="U52" i="29" s="1"/>
  <c r="M57" i="29"/>
  <c r="V52" i="29"/>
  <c r="W52" i="29" s="1"/>
  <c r="O57" i="29"/>
  <c r="C41" i="29"/>
  <c r="V13" i="29"/>
  <c r="W13" i="29" s="1"/>
  <c r="P17" i="29"/>
  <c r="P38" i="29"/>
  <c r="C55" i="29"/>
  <c r="V30" i="29"/>
  <c r="W30" i="29" s="1"/>
  <c r="P62" i="29"/>
  <c r="O64" i="29" a="1"/>
  <c r="T32" i="29"/>
  <c r="P55" i="29"/>
  <c r="P52" i="29"/>
  <c r="P41" i="29"/>
  <c r="C43" i="29"/>
  <c r="V45" i="29"/>
  <c r="W45" i="29" s="1"/>
  <c r="P43" i="29"/>
  <c r="P37" i="29"/>
  <c r="M47" i="29"/>
  <c r="T37" i="29"/>
  <c r="O32" i="29"/>
  <c r="P18" i="29"/>
  <c r="O20" i="29"/>
  <c r="M20" i="29"/>
  <c r="P11" i="29"/>
  <c r="P61" i="29"/>
  <c r="P64" i="29" s="1" a="1"/>
  <c r="O64" i="29"/>
  <c r="V64" i="29"/>
  <c r="W61" i="29"/>
  <c r="T64" i="29"/>
  <c r="U61" i="29"/>
  <c r="V40" i="29"/>
  <c r="W40" i="29" s="1"/>
  <c r="T20" i="29"/>
  <c r="M64" i="29" a="1"/>
  <c r="M64" i="29" s="1"/>
  <c r="P24" i="29"/>
  <c r="P32" i="29" s="1" a="1"/>
  <c r="O47" i="29" a="1"/>
  <c r="O47" i="29" s="1"/>
  <c r="P57" i="29" l="1" a="1"/>
  <c r="P47" i="29" a="1"/>
  <c r="P47" i="29" s="1"/>
  <c r="P20" i="29" a="1"/>
  <c r="T57" i="29"/>
  <c r="U57" i="29" s="1"/>
  <c r="P32" i="29"/>
  <c r="V57" i="29"/>
  <c r="W57" i="29" s="1"/>
  <c r="V32" i="29"/>
  <c r="W32" i="29" s="1"/>
  <c r="T34" i="29"/>
  <c r="P64" i="29"/>
  <c r="U32" i="29"/>
  <c r="V20" i="29"/>
  <c r="W20" i="29" s="1"/>
  <c r="W64" i="29"/>
  <c r="O34" i="29"/>
  <c r="O50" i="29" s="1"/>
  <c r="P57" i="29"/>
  <c r="T47" i="29"/>
  <c r="U37" i="29"/>
  <c r="P20" i="29"/>
  <c r="U64" i="29"/>
  <c r="U20" i="29"/>
  <c r="M34" i="29"/>
  <c r="V47" i="29"/>
  <c r="W47" i="29" s="1"/>
  <c r="P34" i="29" l="1"/>
  <c r="P50" i="29" s="1"/>
  <c r="P59" i="29" s="1"/>
  <c r="P66" i="29" s="1"/>
  <c r="P69" i="29" s="1"/>
  <c r="T50" i="29"/>
  <c r="T59" i="29" s="1"/>
  <c r="T66" i="29" s="1"/>
  <c r="V34" i="29"/>
  <c r="V50" i="29" s="1"/>
  <c r="V59" i="29" s="1"/>
  <c r="V66" i="29" s="1"/>
  <c r="U47" i="29"/>
  <c r="U34" i="29"/>
  <c r="D34" i="29"/>
  <c r="M50" i="29"/>
  <c r="O59" i="29"/>
  <c r="O66" i="29" s="1"/>
  <c r="O69" i="29" s="1"/>
  <c r="W34" i="29" l="1"/>
  <c r="W50" i="29"/>
  <c r="W59" i="29"/>
  <c r="M59" i="29"/>
  <c r="C49" i="29"/>
  <c r="U50" i="29"/>
  <c r="M66" i="29" l="1"/>
  <c r="M69" i="29" s="1"/>
  <c r="W66" i="29"/>
  <c r="C59" i="29"/>
  <c r="U59" i="29"/>
  <c r="U66" i="29" l="1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U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19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2.xml><?xml version="1.0" encoding="utf-8"?>
<comments xmlns="http://schemas.openxmlformats.org/spreadsheetml/2006/main">
  <authors>
    <author>claire.cotton-watkins</author>
    <author>Dickens, Jamaal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7" authorId="1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<sst xmlns="http://schemas.openxmlformats.org/spreadsheetml/2006/main" count="3645" uniqueCount="314">
  <si>
    <t>A COMPONENT UNIT OF THE STATE OF FLORIDA</t>
  </si>
  <si>
    <t>STATEMENT OF REVENUES, EXPENSES, AND CHANGES IN NET POSITION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</si>
  <si>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</si>
  <si>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</si>
  <si>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College</t>
  </si>
  <si>
    <t>Component</t>
  </si>
  <si>
    <t>Totals</t>
  </si>
  <si>
    <t>Unlocked Work Area</t>
  </si>
  <si>
    <t>REVENUES</t>
  </si>
  <si>
    <t>DOE</t>
  </si>
  <si>
    <t>DFS</t>
  </si>
  <si>
    <t>Operating Revenues:</t>
  </si>
  <si>
    <t>Unrounded SRECNA Balances</t>
  </si>
  <si>
    <t>Student Tuition and Fees, Net of Scholarship</t>
  </si>
  <si>
    <t>Rounding</t>
  </si>
  <si>
    <t>CU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</si>
  <si>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</si>
  <si>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</si>
  <si>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</si>
  <si>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</si>
  <si>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</si>
  <si>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</si>
  <si>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</si>
  <si>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</si>
  <si>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</si>
  <si>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</si>
  <si>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</si>
  <si>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</si>
  <si>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</si>
  <si>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</si>
  <si>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</si>
  <si>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</si>
  <si>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</si>
  <si>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</si>
  <si>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</si>
  <si>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</si>
  <si>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</si>
  <si>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</si>
  <si>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</si>
  <si>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</si>
  <si>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</si>
  <si>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</si>
  <si>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</si>
  <si>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</si>
  <si>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</si>
  <si>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</si>
  <si>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</si>
  <si>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</si>
  <si>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</si>
  <si>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</si>
  <si>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</si>
  <si>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</si>
  <si>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</si>
  <si>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</si>
  <si>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</si>
  <si>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</si>
  <si>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</si>
  <si>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</si>
  <si>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</si>
  <si>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</si>
  <si>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</si>
  <si>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</si>
  <si>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</si>
  <si>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</si>
  <si>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</si>
  <si>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</si>
  <si>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</si>
  <si>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</si>
  <si>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</si>
  <si>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</si>
  <si>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</si>
  <si>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</si>
  <si>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</si>
  <si>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</si>
  <si>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</si>
  <si>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</si>
  <si>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</si>
  <si>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</si>
  <si>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</si>
  <si>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</si>
  <si>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</si>
  <si>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</si>
  <si>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</si>
  <si>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</si>
  <si>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</si>
  <si>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</si>
  <si>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</si>
  <si>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</si>
  <si>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</si>
  <si>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</si>
  <si>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</si>
  <si>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</si>
  <si>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</si>
  <si>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</si>
  <si>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</si>
  <si>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</si>
  <si>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</si>
  <si>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</si>
  <si>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</si>
  <si>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</si>
  <si>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</si>
  <si>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</si>
  <si>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</si>
  <si>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</si>
  <si>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</si>
  <si>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</si>
  <si>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</si>
  <si>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</si>
  <si>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</si>
  <si>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</si>
  <si>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</si>
  <si>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</si>
  <si>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</si>
  <si>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</si>
  <si>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</si>
  <si>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</si>
  <si>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</si>
  <si>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</si>
  <si>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</si>
  <si>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</si>
  <si>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</si>
  <si>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</si>
  <si>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</si>
  <si>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</si>
  <si>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</si>
  <si>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</si>
  <si>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</si>
  <si>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</si>
  <si>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</si>
  <si>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</si>
  <si>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</si>
  <si>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FLORIDA COLLEGE SYSTEM - ALL COLLEGES</t>
  </si>
  <si>
    <t>STATEMENT OF NET POSITION</t>
  </si>
  <si>
    <t>Unit</t>
  </si>
  <si>
    <t>Unrounded SNA Balances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</si>
  <si>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</si>
  <si>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</si>
  <si>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</si>
  <si>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</si>
  <si>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</si>
  <si>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</si>
  <si>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</si>
  <si>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</si>
  <si>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</si>
  <si>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</si>
  <si>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</si>
  <si>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</si>
  <si>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</si>
  <si>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</si>
  <si>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</si>
  <si>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</si>
  <si>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</si>
  <si>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</si>
  <si>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</si>
  <si>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</si>
  <si>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</si>
  <si>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</si>
  <si>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</si>
  <si>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</si>
  <si>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</si>
  <si>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</si>
  <si>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</si>
  <si>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</si>
  <si>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</si>
  <si>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</si>
  <si>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</si>
  <si>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</si>
  <si>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</si>
  <si>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</si>
  <si>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</si>
  <si>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</si>
  <si>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</si>
  <si>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</si>
  <si>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</si>
  <si>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</si>
  <si>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</si>
  <si>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</si>
  <si>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</si>
  <si>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</si>
  <si>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</si>
  <si>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</si>
  <si>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</si>
  <si>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</si>
  <si>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</si>
  <si>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</si>
  <si>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</si>
  <si>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</si>
  <si>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</si>
  <si>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</si>
  <si>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</si>
  <si>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</si>
  <si>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</si>
  <si>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</si>
  <si>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</si>
  <si>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</si>
  <si>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</si>
  <si>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</si>
  <si>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</si>
  <si>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</si>
  <si>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</si>
  <si>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</si>
  <si>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</si>
  <si>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</si>
  <si>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</si>
  <si>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</si>
  <si>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</si>
  <si>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</si>
  <si>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</si>
  <si>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</si>
  <si>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</si>
  <si>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</si>
  <si>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</si>
  <si>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</si>
  <si>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</si>
  <si>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</si>
  <si>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</si>
  <si>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</si>
  <si>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</si>
  <si>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</si>
  <si>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</si>
  <si>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</si>
  <si>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</si>
  <si>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</si>
  <si>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</si>
  <si>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</si>
  <si>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</si>
  <si>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</si>
  <si>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</si>
  <si>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</si>
  <si>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</si>
  <si>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</si>
  <si>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</si>
  <si>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</si>
  <si>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</si>
  <si>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</si>
  <si>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</si>
  <si>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</si>
  <si>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</si>
  <si>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</si>
  <si>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</si>
  <si>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</si>
  <si>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</si>
  <si>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</si>
  <si>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</si>
  <si>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</si>
  <si>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</si>
  <si>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</si>
  <si>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</si>
  <si>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</si>
  <si>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</si>
  <si>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</si>
  <si>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</si>
  <si>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</si>
  <si>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</si>
  <si>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</si>
  <si>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</si>
  <si>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</si>
  <si>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</si>
  <si>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</si>
  <si>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</si>
  <si>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</si>
  <si>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</si>
  <si>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</si>
  <si>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</si>
  <si>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</si>
  <si>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</si>
  <si>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</si>
  <si>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</si>
  <si>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</si>
  <si>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</si>
  <si>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</si>
  <si>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</si>
  <si>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</si>
  <si>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</si>
  <si>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</si>
  <si>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</si>
  <si>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</si>
  <si>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</si>
  <si>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</si>
  <si>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</si>
  <si>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</si>
  <si>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</si>
  <si>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</si>
  <si>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</si>
  <si>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</si>
  <si>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</si>
  <si>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</si>
  <si>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</si>
  <si>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</si>
  <si>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</si>
  <si>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</si>
  <si>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</si>
  <si>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</si>
  <si>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Balance Check ((Assets + Deferred Outflows) - (Liabilities + Deferred Inflows + Net Position)):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</si>
  <si>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</si>
  <si>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</si>
  <si>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</si>
  <si>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</si>
  <si>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</si>
  <si>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</si>
  <si>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</si>
  <si>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2017.v01</t>
  </si>
  <si>
    <t>For the Fiscal Year Ended June 30, 2017</t>
  </si>
  <si>
    <t>(from AGL)</t>
  </si>
  <si>
    <t>Adjustments</t>
  </si>
  <si>
    <t>NCL0755</t>
  </si>
  <si>
    <t>47900</t>
  </si>
  <si>
    <t>Deferred Inflows - Irrevocable Split-Interest Agreements</t>
  </si>
  <si>
    <t>(From AGL)</t>
  </si>
  <si>
    <t>Adjustment of $21,465 reclass Fund 9 PY revenue corrections (49600) into Capital category.</t>
  </si>
  <si>
    <t>This is consistent with placing Fund 9 PY expense corrections (69600) into same category.</t>
  </si>
  <si>
    <t>2017.v04</t>
  </si>
  <si>
    <t>PASCO-HERNANDO STATE COLLEGE</t>
  </si>
  <si>
    <t>FLORIDA SOUTHWESTERN STATE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</si>
</sst>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[$-409]mmmm\ d\,\ yyyy;@"/>
    <numFmt numFmtId="173" formatCode="_(* #,##0.00_);_(* \(#,##0.00\);_(* &quot;&quot;??_);_(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2"/>
      <name val="Garamond"/>
      <family val="1"/>
    </font>
    <font>
      <b/>
      <sz val="8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4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4" fontId="16" fillId="0" borderId="0" applyFont="0" applyFill="0" applyBorder="0" applyAlignment="0" applyProtection="0"/>
    <xf numFmtId="0" fontId="11" fillId="0" borderId="0"/>
    <xf numFmtId="0" fontId="26" fillId="20" borderId="0" applyNumberFormat="0" applyBorder="0" applyAlignment="0" applyProtection="0"/>
    <xf numFmtId="0" fontId="1" fillId="3" borderId="0" applyNumberFormat="0" applyBorder="0" applyAlignment="0" applyProtection="0"/>
    <xf numFmtId="0" fontId="26" fillId="21" borderId="0" applyNumberFormat="0" applyBorder="0" applyAlignment="0" applyProtection="0"/>
    <xf numFmtId="0" fontId="1" fillId="5" borderId="0" applyNumberFormat="0" applyBorder="0" applyAlignment="0" applyProtection="0"/>
    <xf numFmtId="0" fontId="26" fillId="22" borderId="0" applyNumberFormat="0" applyBorder="0" applyAlignment="0" applyProtection="0"/>
    <xf numFmtId="0" fontId="1" fillId="7" borderId="0" applyNumberFormat="0" applyBorder="0" applyAlignment="0" applyProtection="0"/>
    <xf numFmtId="0" fontId="26" fillId="23" borderId="0" applyNumberFormat="0" applyBorder="0" applyAlignment="0" applyProtection="0"/>
    <xf numFmtId="0" fontId="1" fillId="9" borderId="0" applyNumberFormat="0" applyBorder="0" applyAlignment="0" applyProtection="0"/>
    <xf numFmtId="0" fontId="26" fillId="24" borderId="0" applyNumberFormat="0" applyBorder="0" applyAlignment="0" applyProtection="0"/>
    <xf numFmtId="0" fontId="1" fillId="11" borderId="0" applyNumberFormat="0" applyBorder="0" applyAlignment="0" applyProtection="0"/>
    <xf numFmtId="0" fontId="26" fillId="25" borderId="0" applyNumberFormat="0" applyBorder="0" applyAlignment="0" applyProtection="0"/>
    <xf numFmtId="0" fontId="1" fillId="13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26" fillId="27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1" fillId="8" borderId="0" applyNumberFormat="0" applyBorder="0" applyAlignment="0" applyProtection="0"/>
    <xf numFmtId="0" fontId="26" fillId="23" borderId="0" applyNumberFormat="0" applyBorder="0" applyAlignment="0" applyProtection="0"/>
    <xf numFmtId="0" fontId="1" fillId="10" borderId="0" applyNumberFormat="0" applyBorder="0" applyAlignment="0" applyProtection="0"/>
    <xf numFmtId="0" fontId="26" fillId="26" borderId="0" applyNumberFormat="0" applyBorder="0" applyAlignment="0" applyProtection="0"/>
    <xf numFmtId="0" fontId="1" fillId="12" borderId="0" applyNumberFormat="0" applyBorder="0" applyAlignment="0" applyProtection="0"/>
    <xf numFmtId="0" fontId="26" fillId="29" borderId="0" applyNumberFormat="0" applyBorder="0" applyAlignment="0" applyProtection="0"/>
    <xf numFmtId="0" fontId="1" fillId="14" borderId="0" applyNumberFormat="0" applyBorder="0" applyAlignment="0" applyProtection="0"/>
    <xf numFmtId="0" fontId="27" fillId="30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7" borderId="0" applyNumberFormat="0" applyBorder="0" applyAlignment="0" applyProtection="0"/>
    <xf numFmtId="0" fontId="28" fillId="21" borderId="0" applyNumberFormat="0" applyBorder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0" fillId="39" borderId="1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25" borderId="12" applyNumberFormat="0" applyAlignment="0" applyProtection="0"/>
    <xf numFmtId="0" fontId="38" fillId="25" borderId="12" applyNumberFormat="0" applyAlignment="0" applyProtection="0"/>
    <xf numFmtId="0" fontId="39" fillId="0" borderId="17" applyNumberFormat="0" applyFill="0" applyAlignment="0" applyProtection="0"/>
    <xf numFmtId="0" fontId="40" fillId="40" borderId="0" applyNumberFormat="0" applyBorder="0" applyAlignment="0" applyProtection="0"/>
    <xf numFmtId="0" fontId="8" fillId="0" borderId="0"/>
    <xf numFmtId="0" fontId="8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1" fillId="0" borderId="0"/>
    <xf numFmtId="0" fontId="3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8" fillId="0" borderId="0"/>
    <xf numFmtId="0" fontId="41" fillId="0" borderId="0"/>
    <xf numFmtId="0" fontId="1" fillId="0" borderId="0"/>
    <xf numFmtId="0" fontId="42" fillId="0" borderId="0"/>
    <xf numFmtId="0" fontId="41" fillId="0" borderId="0"/>
    <xf numFmtId="0" fontId="8" fillId="0" borderId="0"/>
    <xf numFmtId="0" fontId="42" fillId="0" borderId="0"/>
    <xf numFmtId="0" fontId="8" fillId="0" borderId="0"/>
    <xf numFmtId="0" fontId="3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2" fillId="0" borderId="0"/>
    <xf numFmtId="0" fontId="8" fillId="41" borderId="11" applyNumberFormat="0" applyFont="0" applyAlignment="0" applyProtection="0"/>
    <xf numFmtId="0" fontId="1" fillId="2" borderId="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1" fillId="2" borderId="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9" fontId="3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8" fillId="0" borderId="0"/>
    <xf numFmtId="0" fontId="2" fillId="0" borderId="0"/>
    <xf numFmtId="0" fontId="41" fillId="0" borderId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43" fontId="8" fillId="0" borderId="0" applyFont="0" applyFill="0" applyBorder="0" applyAlignment="0" applyProtection="0"/>
    <xf numFmtId="0" fontId="8" fillId="0" borderId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</cellStyleXfs>
  <cellXfs count="367">
    <xf numFmtId="0" fontId="0" fillId="0" borderId="0" xfId="0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textRotation="45"/>
    </xf>
    <xf numFmtId="4" fontId="5" fillId="0" borderId="0" xfId="2" applyNumberFormat="1" applyFont="1" applyFill="1" applyBorder="1" applyAlignment="1" applyProtection="1">
      <alignment horizontal="center"/>
    </xf>
    <xf numFmtId="4" fontId="6" fillId="0" borderId="0" xfId="2" applyNumberFormat="1" applyFont="1" applyBorder="1" applyAlignment="1" applyProtection="1"/>
    <xf numFmtId="0" fontId="7" fillId="0" borderId="0" xfId="2" applyNumberFormat="1" applyFont="1" applyAlignment="1" applyProtection="1"/>
    <xf numFmtId="0" fontId="8" fillId="0" borderId="0" xfId="2" applyNumberFormat="1" applyFont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Border="1" applyAlignment="1" applyProtection="1">
      <alignment horizontal="left"/>
    </xf>
    <xf numFmtId="0" fontId="7" fillId="0" borderId="0" xfId="2" applyNumberFormat="1" applyFont="1" applyBorder="1" applyAlignment="1" applyProtection="1"/>
    <xf numFmtId="0" fontId="8" fillId="0" borderId="0" xfId="2" applyNumberFormat="1" applyFont="1" applyBorder="1" applyAlignment="1" applyProtection="1"/>
    <xf numFmtId="0" fontId="13" fillId="0" borderId="0" xfId="0" applyFont="1" applyProtection="1"/>
    <xf numFmtId="49" fontId="3" fillId="0" borderId="0" xfId="0" applyNumberFormat="1" applyFont="1" applyProtection="1"/>
    <xf numFmtId="0" fontId="11" fillId="15" borderId="0" xfId="2" applyNumberFormat="1" applyFont="1" applyFill="1" applyAlignment="1" applyProtection="1"/>
    <xf numFmtId="0" fontId="11" fillId="15" borderId="0" xfId="2" applyNumberFormat="1" applyFont="1" applyFill="1" applyBorder="1" applyAlignment="1" applyProtection="1"/>
    <xf numFmtId="4" fontId="11" fillId="15" borderId="0" xfId="2" applyNumberFormat="1" applyFont="1" applyFill="1" applyAlignment="1" applyProtection="1">
      <alignment horizontal="right"/>
    </xf>
    <xf numFmtId="4" fontId="11" fillId="15" borderId="0" xfId="2" applyNumberFormat="1" applyFont="1" applyFill="1" applyBorder="1" applyAlignment="1" applyProtection="1">
      <alignment horizontal="right"/>
    </xf>
    <xf numFmtId="4" fontId="11" fillId="0" borderId="0" xfId="2" applyNumberFormat="1" applyFont="1" applyFill="1" applyBorder="1" applyAlignment="1" applyProtection="1">
      <alignment horizontal="right"/>
    </xf>
    <xf numFmtId="0" fontId="7" fillId="0" borderId="0" xfId="2" applyNumberFormat="1" applyFont="1" applyFill="1" applyBorder="1" applyAlignment="1" applyProtection="1">
      <protection locked="0"/>
    </xf>
    <xf numFmtId="49" fontId="4" fillId="0" borderId="0" xfId="2" applyNumberFormat="1" applyFont="1" applyAlignment="1" applyProtection="1">
      <alignment horizontal="center"/>
    </xf>
    <xf numFmtId="164" fontId="11" fillId="15" borderId="0" xfId="2" applyNumberFormat="1" applyFont="1" applyFill="1" applyBorder="1" applyAlignment="1" applyProtection="1">
      <alignment horizontal="center"/>
    </xf>
    <xf numFmtId="164" fontId="10" fillId="15" borderId="0" xfId="2" applyNumberFormat="1" applyFont="1" applyFill="1" applyBorder="1" applyAlignment="1" applyProtection="1">
      <alignment horizontal="center"/>
    </xf>
    <xf numFmtId="164" fontId="10" fillId="0" borderId="0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Alignment="1" applyProtection="1"/>
    <xf numFmtId="4" fontId="11" fillId="15" borderId="0" xfId="2" applyNumberFormat="1" applyFont="1" applyFill="1" applyBorder="1" applyAlignment="1" applyProtection="1">
      <alignment horizontal="center"/>
    </xf>
    <xf numFmtId="41" fontId="5" fillId="15" borderId="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center"/>
    </xf>
    <xf numFmtId="0" fontId="5" fillId="0" borderId="2" xfId="2" applyNumberFormat="1" applyFont="1" applyBorder="1" applyAlignment="1" applyProtection="1">
      <alignment horizontal="center"/>
    </xf>
    <xf numFmtId="0" fontId="10" fillId="15" borderId="0" xfId="2" applyNumberFormat="1" applyFont="1" applyFill="1" applyAlignment="1" applyProtection="1"/>
    <xf numFmtId="4" fontId="11" fillId="0" borderId="0" xfId="2" applyNumberFormat="1" applyFont="1" applyFill="1" applyBorder="1" applyAlignment="1" applyProtection="1">
      <alignment horizontal="center"/>
    </xf>
    <xf numFmtId="43" fontId="7" fillId="17" borderId="0" xfId="1" applyFont="1" applyFill="1" applyBorder="1" applyAlignment="1" applyProtection="1">
      <protection locked="0"/>
    </xf>
    <xf numFmtId="49" fontId="3" fillId="0" borderId="3" xfId="2" applyNumberFormat="1" applyFont="1" applyBorder="1" applyAlignment="1" applyProtection="1">
      <alignment horizontal="center"/>
    </xf>
    <xf numFmtId="49" fontId="4" fillId="0" borderId="3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0" fontId="8" fillId="15" borderId="0" xfId="2" applyNumberFormat="1" applyFont="1" applyFill="1" applyAlignment="1" applyProtection="1"/>
    <xf numFmtId="0" fontId="8" fillId="15" borderId="0" xfId="0" applyFont="1" applyFill="1" applyProtection="1"/>
    <xf numFmtId="0" fontId="8" fillId="0" borderId="0" xfId="2" applyNumberFormat="1" applyFont="1" applyFill="1" applyBorder="1" applyAlignment="1" applyProtection="1"/>
    <xf numFmtId="0" fontId="7" fillId="0" borderId="0" xfId="2" applyNumberFormat="1" applyFont="1" applyFill="1" applyAlignment="1" applyProtection="1"/>
    <xf numFmtId="43" fontId="7" fillId="16" borderId="4" xfId="1" applyFont="1" applyFill="1" applyBorder="1" applyAlignment="1" applyProtection="1">
      <alignment horizontal="center"/>
    </xf>
    <xf numFmtId="0" fontId="7" fillId="16" borderId="5" xfId="2" applyNumberFormat="1" applyFont="1" applyFill="1" applyBorder="1" applyAlignment="1" applyProtection="1">
      <alignment horizontal="center"/>
    </xf>
    <xf numFmtId="43" fontId="7" fillId="16" borderId="5" xfId="1" applyFont="1" applyFill="1" applyBorder="1" applyAlignment="1" applyProtection="1">
      <alignment horizontal="center"/>
    </xf>
    <xf numFmtId="0" fontId="7" fillId="16" borderId="6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Alignment="1" applyProtection="1"/>
    <xf numFmtId="0" fontId="11" fillId="15" borderId="0" xfId="2" applyNumberFormat="1" applyFont="1" applyFill="1" applyAlignment="1" applyProtection="1">
      <alignment horizontal="left" indent="2"/>
    </xf>
    <xf numFmtId="166" fontId="11" fillId="15" borderId="0" xfId="2" applyNumberFormat="1" applyFont="1" applyFill="1" applyBorder="1" applyAlignment="1" applyProtection="1">
      <alignment horizontal="left"/>
    </xf>
    <xf numFmtId="167" fontId="11" fillId="0" borderId="0" xfId="2" applyNumberFormat="1" applyFont="1" applyFill="1" applyBorder="1" applyAlignment="1" applyProtection="1">
      <alignment horizontal="right"/>
    </xf>
    <xf numFmtId="43" fontId="7" fillId="0" borderId="0" xfId="1" applyFont="1" applyFill="1" applyAlignment="1" applyProtection="1"/>
    <xf numFmtId="169" fontId="11" fillId="15" borderId="0" xfId="1" applyNumberFormat="1" applyFont="1" applyFill="1" applyAlignment="1" applyProtection="1"/>
    <xf numFmtId="169" fontId="11" fillId="15" borderId="0" xfId="1" applyNumberFormat="1" applyFont="1" applyFill="1" applyBorder="1" applyAlignment="1" applyProtection="1"/>
    <xf numFmtId="169" fontId="11" fillId="17" borderId="0" xfId="1" applyNumberFormat="1" applyFont="1" applyFill="1" applyAlignment="1" applyProtection="1">
      <alignment horizontal="right"/>
      <protection locked="0"/>
    </xf>
    <xf numFmtId="169" fontId="11" fillId="0" borderId="0" xfId="1" applyNumberFormat="1" applyFont="1" applyFill="1" applyBorder="1" applyAlignment="1" applyProtection="1">
      <alignment horizontal="right"/>
    </xf>
    <xf numFmtId="0" fontId="3" fillId="15" borderId="0" xfId="2" applyNumberFormat="1" applyFont="1" applyFill="1" applyAlignment="1" applyProtection="1"/>
    <xf numFmtId="49" fontId="4" fillId="15" borderId="0" xfId="2" applyNumberFormat="1" applyFont="1" applyFill="1" applyAlignment="1" applyProtection="1">
      <alignment horizontal="center"/>
    </xf>
    <xf numFmtId="169" fontId="8" fillId="15" borderId="0" xfId="1" applyNumberFormat="1" applyFont="1" applyFill="1" applyAlignment="1" applyProtection="1"/>
    <xf numFmtId="170" fontId="11" fillId="15" borderId="0" xfId="2" applyNumberFormat="1" applyFont="1" applyFill="1" applyAlignment="1" applyProtection="1">
      <alignment horizontal="left"/>
    </xf>
    <xf numFmtId="49" fontId="4" fillId="15" borderId="0" xfId="3" applyNumberFormat="1" applyFont="1" applyFill="1" applyAlignment="1" applyProtection="1">
      <alignment horizontal="center"/>
    </xf>
    <xf numFmtId="0" fontId="11" fillId="15" borderId="0" xfId="2" applyNumberFormat="1" applyFont="1" applyFill="1" applyAlignment="1" applyProtection="1">
      <alignment horizontal="left"/>
    </xf>
    <xf numFmtId="169" fontId="11" fillId="17" borderId="2" xfId="1" applyNumberFormat="1" applyFont="1" applyFill="1" applyBorder="1" applyAlignment="1" applyProtection="1">
      <alignment horizontal="right"/>
      <protection locked="0"/>
    </xf>
    <xf numFmtId="43" fontId="8" fillId="15" borderId="0" xfId="0" applyNumberFormat="1" applyFont="1" applyFill="1" applyProtection="1"/>
    <xf numFmtId="0" fontId="14" fillId="15" borderId="0" xfId="0" applyFont="1" applyFill="1" applyProtection="1"/>
    <xf numFmtId="0" fontId="14" fillId="0" borderId="0" xfId="0" applyFont="1" applyFill="1" applyBorder="1" applyProtection="1"/>
    <xf numFmtId="0" fontId="15" fillId="0" borderId="0" xfId="0" applyFont="1" applyProtection="1"/>
    <xf numFmtId="43" fontId="7" fillId="0" borderId="7" xfId="1" applyFont="1" applyFill="1" applyBorder="1" applyAlignment="1" applyProtection="1"/>
    <xf numFmtId="0" fontId="14" fillId="0" borderId="0" xfId="0" applyFont="1" applyProtection="1"/>
    <xf numFmtId="0" fontId="10" fillId="15" borderId="0" xfId="2" applyNumberFormat="1" applyFont="1" applyFill="1" applyAlignment="1" applyProtection="1">
      <alignment horizontal="left"/>
    </xf>
    <xf numFmtId="171" fontId="8" fillId="15" borderId="2" xfId="0" applyNumberFormat="1" applyFont="1" applyFill="1" applyBorder="1" applyProtection="1"/>
    <xf numFmtId="169" fontId="8" fillId="15" borderId="0" xfId="0" applyNumberFormat="1" applyFont="1" applyFill="1" applyProtection="1"/>
    <xf numFmtId="171" fontId="8" fillId="0" borderId="0" xfId="0" applyNumberFormat="1" applyFont="1" applyFill="1" applyBorder="1" applyProtection="1"/>
    <xf numFmtId="43" fontId="7" fillId="0" borderId="2" xfId="1" applyFont="1" applyFill="1" applyBorder="1" applyAlignment="1" applyProtection="1"/>
    <xf numFmtId="0" fontId="13" fillId="15" borderId="0" xfId="0" applyFont="1" applyFill="1" applyProtection="1"/>
    <xf numFmtId="49" fontId="3" fillId="15" borderId="0" xfId="0" applyNumberFormat="1" applyFont="1" applyFill="1" applyProtection="1"/>
    <xf numFmtId="49" fontId="4" fillId="0" borderId="0" xfId="2" applyNumberFormat="1" applyFont="1" applyFill="1" applyAlignment="1" applyProtection="1">
      <alignment horizontal="center"/>
    </xf>
    <xf numFmtId="39" fontId="11" fillId="15" borderId="0" xfId="2" applyNumberFormat="1" applyFont="1" applyFill="1" applyBorder="1" applyAlignment="1" applyProtection="1">
      <alignment horizontal="right"/>
    </xf>
    <xf numFmtId="39" fontId="11" fillId="0" borderId="0" xfId="2" applyNumberFormat="1" applyFont="1" applyFill="1" applyBorder="1" applyAlignment="1" applyProtection="1">
      <alignment horizontal="right"/>
    </xf>
    <xf numFmtId="43" fontId="7" fillId="0" borderId="0" xfId="1" applyFont="1" applyFill="1" applyBorder="1" applyAlignment="1" applyProtection="1"/>
    <xf numFmtId="0" fontId="8" fillId="15" borderId="0" xfId="0" applyFont="1" applyFill="1" applyAlignment="1" applyProtection="1">
      <alignment horizontal="left"/>
    </xf>
    <xf numFmtId="43" fontId="8" fillId="0" borderId="0" xfId="0" applyNumberFormat="1" applyFont="1" applyFill="1" applyBorder="1" applyProtection="1"/>
    <xf numFmtId="170" fontId="11" fillId="15" borderId="0" xfId="2" applyNumberFormat="1" applyFont="1" applyFill="1" applyBorder="1" applyAlignment="1" applyProtection="1">
      <alignment horizontal="right"/>
    </xf>
    <xf numFmtId="170" fontId="11" fillId="0" borderId="0" xfId="2" applyNumberFormat="1" applyFont="1" applyFill="1" applyBorder="1" applyAlignment="1" applyProtection="1">
      <alignment horizontal="right"/>
    </xf>
    <xf numFmtId="169" fontId="11" fillId="17" borderId="0" xfId="1" applyNumberFormat="1" applyFont="1" applyFill="1" applyAlignment="1" applyProtection="1">
      <protection locked="0"/>
    </xf>
    <xf numFmtId="169" fontId="11" fillId="0" borderId="0" xfId="1" applyNumberFormat="1" applyFont="1" applyFill="1" applyBorder="1" applyAlignment="1" applyProtection="1"/>
    <xf numFmtId="169" fontId="11" fillId="17" borderId="2" xfId="1" applyNumberFormat="1" applyFont="1" applyFill="1" applyBorder="1" applyAlignment="1" applyProtection="1">
      <protection locked="0"/>
    </xf>
    <xf numFmtId="39" fontId="8" fillId="15" borderId="0" xfId="2" applyNumberFormat="1" applyFont="1" applyFill="1" applyAlignment="1" applyProtection="1"/>
    <xf numFmtId="39" fontId="8" fillId="15" borderId="0" xfId="2" applyNumberFormat="1" applyFont="1" applyFill="1" applyBorder="1" applyAlignment="1" applyProtection="1"/>
    <xf numFmtId="39" fontId="8" fillId="0" borderId="0" xfId="2" applyNumberFormat="1" applyFont="1" applyFill="1" applyBorder="1" applyAlignment="1" applyProtection="1"/>
    <xf numFmtId="0" fontId="10" fillId="15" borderId="0" xfId="2" applyNumberFormat="1" applyFont="1" applyFill="1" applyBorder="1" applyAlignment="1" applyProtection="1"/>
    <xf numFmtId="0" fontId="8" fillId="15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169" fontId="11" fillId="17" borderId="0" xfId="1" applyNumberFormat="1" applyFont="1" applyFill="1" applyBorder="1" applyAlignment="1" applyProtection="1">
      <alignment horizontal="right"/>
      <protection locked="0"/>
    </xf>
    <xf numFmtId="171" fontId="8" fillId="15" borderId="2" xfId="1" applyNumberFormat="1" applyFont="1" applyFill="1" applyBorder="1" applyProtection="1"/>
    <xf numFmtId="171" fontId="8" fillId="0" borderId="0" xfId="1" applyNumberFormat="1" applyFont="1" applyFill="1" applyBorder="1" applyProtection="1"/>
    <xf numFmtId="169" fontId="8" fillId="15" borderId="0" xfId="1" applyNumberFormat="1" applyFont="1" applyFill="1" applyProtection="1"/>
    <xf numFmtId="0" fontId="10" fillId="15" borderId="0" xfId="2" applyNumberFormat="1" applyFont="1" applyFill="1" applyAlignment="1" applyProtection="1">
      <alignment horizontal="left" indent="2"/>
    </xf>
    <xf numFmtId="39" fontId="10" fillId="15" borderId="0" xfId="2" applyNumberFormat="1" applyFont="1" applyFill="1" applyBorder="1" applyAlignment="1" applyProtection="1">
      <alignment horizontal="right"/>
    </xf>
    <xf numFmtId="39" fontId="10" fillId="0" borderId="0" xfId="2" applyNumberFormat="1" applyFont="1" applyFill="1" applyBorder="1" applyAlignment="1" applyProtection="1">
      <alignment horizontal="right"/>
    </xf>
    <xf numFmtId="171" fontId="11" fillId="15" borderId="0" xfId="1" applyNumberFormat="1" applyFont="1" applyFill="1" applyBorder="1" applyAlignment="1" applyProtection="1"/>
    <xf numFmtId="171" fontId="11" fillId="0" borderId="0" xfId="1" applyNumberFormat="1" applyFont="1" applyFill="1" applyBorder="1" applyAlignment="1" applyProtection="1"/>
    <xf numFmtId="39" fontId="8" fillId="15" borderId="0" xfId="0" applyNumberFormat="1" applyFont="1" applyFill="1" applyProtection="1"/>
    <xf numFmtId="169" fontId="14" fillId="15" borderId="0" xfId="1" applyNumberFormat="1" applyFont="1" applyFill="1" applyProtection="1"/>
    <xf numFmtId="169" fontId="14" fillId="0" borderId="0" xfId="1" applyNumberFormat="1" applyFont="1" applyFill="1" applyBorder="1" applyProtection="1"/>
    <xf numFmtId="0" fontId="5" fillId="15" borderId="0" xfId="0" applyFont="1" applyFill="1" applyProtection="1"/>
    <xf numFmtId="39" fontId="8" fillId="15" borderId="0" xfId="0" applyNumberFormat="1" applyFont="1" applyFill="1" applyBorder="1" applyProtection="1"/>
    <xf numFmtId="170" fontId="11" fillId="15" borderId="0" xfId="2" applyNumberFormat="1" applyFont="1" applyFill="1" applyBorder="1" applyAlignment="1" applyProtection="1"/>
    <xf numFmtId="167" fontId="11" fillId="15" borderId="8" xfId="2" applyNumberFormat="1" applyFont="1" applyFill="1" applyBorder="1" applyAlignment="1" applyProtection="1">
      <alignment horizontal="right"/>
    </xf>
    <xf numFmtId="44" fontId="10" fillId="15" borderId="0" xfId="2" applyNumberFormat="1" applyFont="1" applyFill="1" applyBorder="1" applyAlignment="1" applyProtection="1">
      <alignment horizontal="right"/>
    </xf>
    <xf numFmtId="43" fontId="7" fillId="0" borderId="9" xfId="1" applyFont="1" applyFill="1" applyBorder="1" applyAlignment="1" applyProtection="1"/>
    <xf numFmtId="4" fontId="11" fillId="15" borderId="0" xfId="2" applyNumberFormat="1" applyFont="1" applyFill="1" applyBorder="1" applyAlignment="1" applyProtection="1"/>
    <xf numFmtId="4" fontId="11" fillId="0" borderId="0" xfId="2" applyNumberFormat="1" applyFont="1" applyFill="1" applyBorder="1" applyAlignment="1" applyProtection="1"/>
    <xf numFmtId="168" fontId="8" fillId="0" borderId="0" xfId="4" applyNumberFormat="1" applyFont="1" applyAlignment="1" applyProtection="1"/>
    <xf numFmtId="44" fontId="8" fillId="0" borderId="0" xfId="4" applyFont="1" applyFill="1" applyBorder="1" applyAlignment="1" applyProtection="1"/>
    <xf numFmtId="168" fontId="8" fillId="0" borderId="0" xfId="4" applyNumberFormat="1" applyFont="1" applyFill="1" applyAlignment="1" applyProtection="1"/>
    <xf numFmtId="168" fontId="8" fillId="0" borderId="0" xfId="4" applyNumberFormat="1" applyFont="1" applyFill="1" applyBorder="1" applyAlignment="1" applyProtection="1"/>
    <xf numFmtId="0" fontId="17" fillId="0" borderId="0" xfId="2" applyNumberFormat="1" applyFont="1" applyAlignment="1" applyProtection="1">
      <alignment horizontal="right"/>
    </xf>
    <xf numFmtId="43" fontId="8" fillId="17" borderId="0" xfId="1" applyFont="1" applyFill="1" applyAlignment="1" applyProtection="1">
      <protection locked="0"/>
    </xf>
    <xf numFmtId="43" fontId="8" fillId="17" borderId="0" xfId="1" applyFont="1" applyFill="1" applyBorder="1" applyAlignment="1" applyProtection="1">
      <protection locked="0"/>
    </xf>
    <xf numFmtId="43" fontId="11" fillId="17" borderId="0" xfId="1" applyFont="1" applyFill="1" applyBorder="1" applyAlignment="1" applyProtection="1">
      <protection locked="0"/>
    </xf>
    <xf numFmtId="49" fontId="3" fillId="0" borderId="0" xfId="0" applyNumberFormat="1" applyFont="1" applyFill="1" applyProtection="1"/>
    <xf numFmtId="0" fontId="16" fillId="18" borderId="10" xfId="5" applyFont="1" applyFill="1" applyBorder="1" applyAlignment="1">
      <alignment horizontal="center"/>
    </xf>
    <xf numFmtId="0" fontId="18" fillId="0" borderId="0" xfId="2" applyNumberFormat="1" applyFont="1" applyAlignment="1" applyProtection="1"/>
    <xf numFmtId="49" fontId="19" fillId="0" borderId="0" xfId="2" applyNumberFormat="1" applyFont="1" applyFill="1" applyAlignment="1" applyProtection="1">
      <alignment horizontal="center"/>
    </xf>
    <xf numFmtId="0" fontId="20" fillId="19" borderId="11" xfId="5" applyFont="1" applyFill="1" applyBorder="1" applyAlignment="1">
      <alignment wrapText="1"/>
    </xf>
    <xf numFmtId="171" fontId="21" fillId="19" borderId="0" xfId="1" applyNumberFormat="1" applyFont="1" applyFill="1" applyBorder="1" applyAlignment="1" applyProtection="1"/>
    <xf numFmtId="0" fontId="18" fillId="0" borderId="0" xfId="2" applyNumberFormat="1" applyFont="1" applyBorder="1" applyAlignment="1" applyProtection="1"/>
    <xf numFmtId="0" fontId="18" fillId="0" borderId="0" xfId="2" applyNumberFormat="1" applyFont="1" applyFill="1" applyAlignment="1" applyProtection="1"/>
    <xf numFmtId="0" fontId="18" fillId="0" borderId="0" xfId="2" applyNumberFormat="1" applyFont="1" applyFill="1" applyBorder="1" applyAlignment="1" applyProtection="1"/>
    <xf numFmtId="0" fontId="22" fillId="0" borderId="0" xfId="0" applyFont="1" applyProtection="1"/>
    <xf numFmtId="49" fontId="18" fillId="0" borderId="0" xfId="0" applyNumberFormat="1" applyFont="1" applyProtection="1"/>
    <xf numFmtId="49" fontId="19" fillId="0" borderId="0" xfId="2" applyNumberFormat="1" applyFont="1" applyAlignment="1" applyProtection="1">
      <alignment horizontal="center"/>
    </xf>
    <xf numFmtId="167" fontId="11" fillId="17" borderId="0" xfId="2" applyNumberFormat="1" applyFont="1" applyFill="1" applyAlignment="1" applyProtection="1">
      <alignment horizontal="right"/>
    </xf>
    <xf numFmtId="169" fontId="11" fillId="17" borderId="0" xfId="1" applyNumberFormat="1" applyFont="1" applyFill="1" applyAlignment="1" applyProtection="1">
      <alignment horizontal="right"/>
    </xf>
    <xf numFmtId="169" fontId="11" fillId="17" borderId="2" xfId="1" applyNumberFormat="1" applyFont="1" applyFill="1" applyBorder="1" applyAlignment="1" applyProtection="1">
      <alignment horizontal="right"/>
    </xf>
    <xf numFmtId="171" fontId="8" fillId="0" borderId="0" xfId="2" applyNumberFormat="1" applyFont="1" applyAlignment="1" applyProtection="1"/>
    <xf numFmtId="169" fontId="11" fillId="17" borderId="2" xfId="1" applyNumberFormat="1" applyFont="1" applyFill="1" applyBorder="1" applyAlignment="1" applyProtection="1"/>
    <xf numFmtId="0" fontId="3" fillId="0" borderId="20" xfId="2" applyNumberFormat="1" applyFont="1" applyBorder="1" applyAlignment="1" applyProtection="1"/>
    <xf numFmtId="49" fontId="4" fillId="0" borderId="20" xfId="2" applyNumberFormat="1" applyFont="1" applyBorder="1" applyAlignment="1" applyProtection="1">
      <alignment horizontal="center"/>
    </xf>
    <xf numFmtId="0" fontId="47" fillId="0" borderId="0" xfId="2" applyNumberFormat="1" applyFont="1" applyFill="1" applyBorder="1" applyAlignment="1" applyProtection="1">
      <alignment horizontal="center" vertical="center"/>
    </xf>
    <xf numFmtId="43" fontId="8" fillId="0" borderId="0" xfId="1" applyFont="1" applyAlignment="1" applyProtection="1">
      <alignment vertical="center"/>
    </xf>
    <xf numFmtId="43" fontId="7" fillId="0" borderId="0" xfId="1" applyFont="1" applyAlignment="1" applyProtection="1">
      <alignment vertical="center"/>
    </xf>
    <xf numFmtId="0" fontId="14" fillId="0" borderId="0" xfId="0" applyFont="1" applyAlignment="1" applyProtection="1">
      <alignment horizontal="right"/>
    </xf>
    <xf numFmtId="0" fontId="8" fillId="0" borderId="0" xfId="2" applyNumberFormat="1" applyFont="1" applyAlignment="1" applyProtection="1">
      <alignment horizontal="left"/>
    </xf>
    <xf numFmtId="0" fontId="8" fillId="0" borderId="0" xfId="1" applyNumberFormat="1" applyFont="1" applyAlignment="1" applyProtection="1">
      <alignment vertical="center"/>
    </xf>
    <xf numFmtId="49" fontId="4" fillId="15" borderId="0" xfId="2" applyNumberFormat="1" applyFont="1" applyFill="1" applyAlignment="1" applyProtection="1">
      <alignment textRotation="45"/>
    </xf>
    <xf numFmtId="0" fontId="5" fillId="0" borderId="0" xfId="2" applyNumberFormat="1" applyFont="1" applyFill="1" applyBorder="1" applyAlignment="1" applyProtection="1">
      <alignment horizontal="center"/>
    </xf>
    <xf numFmtId="43" fontId="8" fillId="0" borderId="0" xfId="1" quotePrefix="1" applyFont="1" applyAlignment="1" applyProtection="1">
      <alignment vertical="center" wrapText="1"/>
    </xf>
    <xf numFmtId="0" fontId="10" fillId="0" borderId="0" xfId="2" applyNumberFormat="1" applyFont="1" applyFill="1" applyBorder="1" applyAlignment="1" applyProtection="1">
      <alignment horizontal="center"/>
    </xf>
    <xf numFmtId="172" fontId="10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Border="1" applyAlignment="1" applyProtection="1">
      <alignment vertical="center" wrapText="1"/>
    </xf>
    <xf numFmtId="0" fontId="10" fillId="15" borderId="0" xfId="2" applyNumberFormat="1" applyFont="1" applyFill="1" applyBorder="1" applyAlignment="1" applyProtection="1">
      <alignment horizontal="center" vertical="center"/>
    </xf>
    <xf numFmtId="0" fontId="11" fillId="15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0" fontId="10" fillId="15" borderId="2" xfId="2" applyNumberFormat="1" applyFont="1" applyFill="1" applyBorder="1" applyAlignment="1" applyProtection="1">
      <alignment vertical="center"/>
    </xf>
    <xf numFmtId="41" fontId="5" fillId="15" borderId="0" xfId="0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>
      <alignment vertical="center" wrapText="1"/>
    </xf>
    <xf numFmtId="0" fontId="8" fillId="15" borderId="0" xfId="0" applyFont="1" applyFill="1" applyBorder="1" applyProtection="1"/>
    <xf numFmtId="0" fontId="11" fillId="15" borderId="0" xfId="2" applyNumberFormat="1" applyFont="1" applyFill="1" applyAlignment="1" applyProtection="1">
      <alignment horizontal="center"/>
    </xf>
    <xf numFmtId="0" fontId="11" fillId="0" borderId="0" xfId="2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/>
    <xf numFmtId="0" fontId="3" fillId="0" borderId="3" xfId="2" applyNumberFormat="1" applyFont="1" applyBorder="1" applyAlignment="1" applyProtection="1">
      <alignment horizontal="center"/>
    </xf>
    <xf numFmtId="49" fontId="4" fillId="15" borderId="0" xfId="2" applyNumberFormat="1" applyFont="1" applyFill="1" applyBorder="1" applyAlignment="1" applyProtection="1">
      <alignment horizontal="center"/>
    </xf>
    <xf numFmtId="0" fontId="11" fillId="0" borderId="0" xfId="2" applyNumberFormat="1" applyFont="1" applyAlignment="1" applyProtection="1">
      <alignment horizontal="center"/>
    </xf>
    <xf numFmtId="167" fontId="11" fillId="17" borderId="0" xfId="2" applyNumberFormat="1" applyFont="1" applyFill="1" applyBorder="1" applyAlignment="1" applyProtection="1"/>
    <xf numFmtId="168" fontId="11" fillId="15" borderId="0" xfId="2" applyNumberFormat="1" applyFont="1" applyFill="1" applyBorder="1" applyAlignment="1" applyProtection="1">
      <protection locked="0"/>
    </xf>
    <xf numFmtId="168" fontId="11" fillId="0" borderId="0" xfId="2" applyNumberFormat="1" applyFont="1" applyFill="1" applyBorder="1" applyAlignment="1" applyProtection="1"/>
    <xf numFmtId="43" fontId="7" fillId="0" borderId="0" xfId="1" applyFont="1" applyAlignment="1" applyProtection="1"/>
    <xf numFmtId="43" fontId="7" fillId="0" borderId="22" xfId="1" applyFont="1" applyBorder="1" applyAlignment="1" applyProtection="1"/>
    <xf numFmtId="169" fontId="11" fillId="17" borderId="0" xfId="1" applyNumberFormat="1" applyFont="1" applyFill="1" applyBorder="1" applyAlignment="1" applyProtection="1"/>
    <xf numFmtId="169" fontId="11" fillId="15" borderId="0" xfId="1" applyNumberFormat="1" applyFont="1" applyFill="1" applyBorder="1" applyAlignment="1" applyProtection="1">
      <protection locked="0"/>
    </xf>
    <xf numFmtId="43" fontId="7" fillId="0" borderId="23" xfId="1" applyFont="1" applyBorder="1" applyAlignment="1" applyProtection="1"/>
    <xf numFmtId="0" fontId="10" fillId="15" borderId="0" xfId="2" applyNumberFormat="1" applyFont="1" applyFill="1" applyAlignment="1" applyProtection="1">
      <alignment horizontal="left" indent="3"/>
    </xf>
    <xf numFmtId="43" fontId="8" fillId="0" borderId="0" xfId="0" applyNumberFormat="1" applyFont="1" applyProtection="1"/>
    <xf numFmtId="43" fontId="15" fillId="17" borderId="0" xfId="1" applyFont="1" applyFill="1" applyProtection="1">
      <protection locked="0"/>
    </xf>
    <xf numFmtId="0" fontId="15" fillId="0" borderId="0" xfId="0" applyFont="1" applyBorder="1" applyProtection="1"/>
    <xf numFmtId="43" fontId="15" fillId="0" borderId="0" xfId="1" applyFont="1" applyProtection="1"/>
    <xf numFmtId="43" fontId="15" fillId="0" borderId="23" xfId="1" applyFont="1" applyBorder="1" applyProtection="1"/>
    <xf numFmtId="171" fontId="11" fillId="15" borderId="2" xfId="1" applyNumberFormat="1" applyFont="1" applyFill="1" applyBorder="1" applyAlignment="1" applyProtection="1"/>
    <xf numFmtId="43" fontId="7" fillId="0" borderId="5" xfId="1" applyFont="1" applyBorder="1" applyAlignment="1" applyProtection="1"/>
    <xf numFmtId="43" fontId="7" fillId="0" borderId="4" xfId="1" applyFont="1" applyBorder="1" applyAlignment="1" applyProtection="1"/>
    <xf numFmtId="43" fontId="8" fillId="15" borderId="0" xfId="1" applyFont="1" applyFill="1" applyProtection="1"/>
    <xf numFmtId="43" fontId="14" fillId="15" borderId="0" xfId="1" applyFont="1" applyFill="1" applyProtection="1"/>
    <xf numFmtId="43" fontId="14" fillId="0" borderId="0" xfId="1" applyFont="1" applyFill="1" applyBorder="1" applyProtection="1"/>
    <xf numFmtId="39" fontId="11" fillId="15" borderId="0" xfId="2" applyNumberFormat="1" applyFont="1" applyFill="1" applyAlignment="1" applyProtection="1"/>
    <xf numFmtId="39" fontId="11" fillId="15" borderId="0" xfId="2" applyNumberFormat="1" applyFont="1" applyFill="1" applyBorder="1" applyAlignment="1" applyProtection="1"/>
    <xf numFmtId="39" fontId="11" fillId="0" borderId="0" xfId="2" applyNumberFormat="1" applyFont="1" applyFill="1" applyBorder="1" applyAlignment="1" applyProtection="1"/>
    <xf numFmtId="169" fontId="8" fillId="15" borderId="0" xfId="1" applyNumberFormat="1" applyFont="1" applyFill="1" applyBorder="1" applyProtection="1"/>
    <xf numFmtId="169" fontId="11" fillId="15" borderId="2" xfId="1" applyNumberFormat="1" applyFont="1" applyFill="1" applyBorder="1" applyAlignment="1" applyProtection="1"/>
    <xf numFmtId="43" fontId="8" fillId="15" borderId="0" xfId="0" applyNumberFormat="1" applyFont="1" applyFill="1" applyBorder="1" applyProtection="1"/>
    <xf numFmtId="0" fontId="14" fillId="15" borderId="0" xfId="0" applyFont="1" applyFill="1" applyBorder="1" applyProtection="1"/>
    <xf numFmtId="167" fontId="8" fillId="0" borderId="8" xfId="0" applyNumberFormat="1" applyFont="1" applyBorder="1" applyProtection="1"/>
    <xf numFmtId="168" fontId="8" fillId="15" borderId="0" xfId="0" applyNumberFormat="1" applyFont="1" applyFill="1" applyProtection="1"/>
    <xf numFmtId="167" fontId="8" fillId="15" borderId="8" xfId="0" applyNumberFormat="1" applyFont="1" applyFill="1" applyBorder="1" applyProtection="1"/>
    <xf numFmtId="168" fontId="8" fillId="15" borderId="0" xfId="0" applyNumberFormat="1" applyFont="1" applyFill="1" applyBorder="1" applyProtection="1"/>
    <xf numFmtId="168" fontId="8" fillId="0" borderId="0" xfId="0" applyNumberFormat="1" applyFont="1" applyFill="1" applyBorder="1" applyProtection="1"/>
    <xf numFmtId="167" fontId="8" fillId="0" borderId="0" xfId="0" applyNumberFormat="1" applyFont="1" applyBorder="1" applyProtection="1"/>
    <xf numFmtId="167" fontId="8" fillId="15" borderId="0" xfId="0" applyNumberFormat="1" applyFont="1" applyFill="1" applyBorder="1" applyProtection="1"/>
    <xf numFmtId="43" fontId="7" fillId="0" borderId="0" xfId="1" applyFont="1" applyBorder="1" applyAlignment="1" applyProtection="1"/>
    <xf numFmtId="0" fontId="5" fillId="0" borderId="0" xfId="0" applyFont="1" applyFill="1" applyProtection="1"/>
    <xf numFmtId="0" fontId="8" fillId="0" borderId="0" xfId="0" applyFont="1" applyFill="1" applyProtection="1"/>
    <xf numFmtId="39" fontId="11" fillId="0" borderId="0" xfId="2" applyNumberFormat="1" applyFont="1" applyFill="1" applyAlignment="1" applyProtection="1"/>
    <xf numFmtId="167" fontId="8" fillId="0" borderId="0" xfId="0" applyNumberFormat="1" applyFont="1" applyFill="1" applyBorder="1" applyProtection="1"/>
    <xf numFmtId="168" fontId="8" fillId="0" borderId="0" xfId="0" applyNumberFormat="1" applyFont="1" applyFill="1" applyProtection="1"/>
    <xf numFmtId="167" fontId="8" fillId="0" borderId="8" xfId="0" applyNumberFormat="1" applyFont="1" applyFill="1" applyBorder="1" applyProtection="1"/>
    <xf numFmtId="169" fontId="11" fillId="15" borderId="8" xfId="1" applyNumberFormat="1" applyFont="1" applyFill="1" applyBorder="1" applyAlignment="1" applyProtection="1"/>
    <xf numFmtId="41" fontId="8" fillId="15" borderId="0" xfId="0" applyNumberFormat="1" applyFont="1" applyFill="1" applyProtection="1"/>
    <xf numFmtId="41" fontId="8" fillId="0" borderId="0" xfId="0" applyNumberFormat="1" applyFont="1" applyFill="1" applyBorder="1" applyProtection="1"/>
    <xf numFmtId="0" fontId="7" fillId="0" borderId="0" xfId="0" applyFont="1" applyBorder="1" applyProtection="1"/>
    <xf numFmtId="49" fontId="3" fillId="0" borderId="0" xfId="2" applyNumberFormat="1" applyFont="1" applyFill="1" applyAlignment="1" applyProtection="1">
      <alignment horizontal="center"/>
    </xf>
    <xf numFmtId="49" fontId="3" fillId="15" borderId="0" xfId="2" applyNumberFormat="1" applyFont="1" applyFill="1" applyAlignment="1" applyProtection="1">
      <alignment horizontal="center"/>
    </xf>
    <xf numFmtId="41" fontId="8" fillId="0" borderId="0" xfId="0" applyNumberFormat="1" applyFont="1" applyProtection="1"/>
    <xf numFmtId="172" fontId="5" fillId="15" borderId="0" xfId="0" quotePrefix="1" applyNumberFormat="1" applyFont="1" applyFill="1" applyAlignment="1" applyProtection="1">
      <alignment horizontal="center" vertical="center"/>
    </xf>
    <xf numFmtId="172" fontId="5" fillId="0" borderId="0" xfId="0" quotePrefix="1" applyNumberFormat="1" applyFont="1" applyFill="1" applyBorder="1" applyAlignment="1" applyProtection="1">
      <alignment horizontal="center" vertical="center"/>
    </xf>
    <xf numFmtId="41" fontId="5" fillId="15" borderId="0" xfId="0" applyNumberFormat="1" applyFont="1" applyFill="1" applyAlignment="1" applyProtection="1">
      <alignment horizontal="center" vertical="center"/>
    </xf>
    <xf numFmtId="41" fontId="5" fillId="15" borderId="0" xfId="0" applyNumberFormat="1" applyFont="1" applyFill="1" applyProtection="1"/>
    <xf numFmtId="41" fontId="5" fillId="15" borderId="0" xfId="0" applyNumberFormat="1" applyFont="1" applyFill="1" applyAlignment="1" applyProtection="1">
      <alignment horizontal="center"/>
    </xf>
    <xf numFmtId="171" fontId="11" fillId="15" borderId="8" xfId="1" applyNumberFormat="1" applyFont="1" applyFill="1" applyBorder="1" applyAlignment="1" applyProtection="1"/>
    <xf numFmtId="43" fontId="7" fillId="17" borderId="0" xfId="1" applyFont="1" applyFill="1" applyAlignment="1" applyProtection="1">
      <protection locked="0"/>
    </xf>
    <xf numFmtId="43" fontId="7" fillId="0" borderId="24" xfId="1" applyFont="1" applyBorder="1" applyAlignment="1" applyProtection="1"/>
    <xf numFmtId="0" fontId="8" fillId="0" borderId="0" xfId="0" applyFont="1" applyFill="1" applyBorder="1" applyAlignment="1" applyProtection="1"/>
    <xf numFmtId="0" fontId="8" fillId="0" borderId="0" xfId="0" applyFont="1" applyProtection="1"/>
    <xf numFmtId="4" fontId="8" fillId="0" borderId="0" xfId="2" applyNumberFormat="1" applyFont="1" applyAlignment="1" applyProtection="1"/>
    <xf numFmtId="4" fontId="8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horizontal="right"/>
    </xf>
    <xf numFmtId="169" fontId="8" fillId="0" borderId="0" xfId="1" applyNumberFormat="1" applyFont="1" applyAlignment="1" applyProtection="1"/>
    <xf numFmtId="167" fontId="11" fillId="17" borderId="0" xfId="2" applyNumberFormat="1" applyFont="1" applyFill="1" applyAlignment="1" applyProtection="1">
      <alignment horizontal="right"/>
      <protection locked="0"/>
    </xf>
    <xf numFmtId="168" fontId="11" fillId="15" borderId="0" xfId="2" applyNumberFormat="1" applyFont="1" applyFill="1" applyBorder="1" applyAlignment="1" applyProtection="1">
      <alignment horizontal="right"/>
    </xf>
    <xf numFmtId="169" fontId="11" fillId="15" borderId="0" xfId="1" applyNumberFormat="1" applyFont="1" applyFill="1" applyBorder="1" applyAlignment="1" applyProtection="1">
      <alignment horizontal="right"/>
    </xf>
    <xf numFmtId="43" fontId="8" fillId="0" borderId="0" xfId="1" applyFont="1" applyFill="1" applyAlignment="1" applyProtection="1"/>
    <xf numFmtId="43" fontId="8" fillId="0" borderId="0" xfId="1" applyFont="1" applyAlignment="1" applyProtection="1"/>
    <xf numFmtId="43" fontId="18" fillId="0" borderId="0" xfId="1" applyFont="1" applyAlignment="1" applyProtection="1"/>
    <xf numFmtId="0" fontId="5" fillId="15" borderId="0" xfId="2" applyNumberFormat="1" applyFont="1" applyFill="1" applyAlignment="1" applyProtection="1">
      <alignment horizontal="center"/>
    </xf>
    <xf numFmtId="0" fontId="10" fillId="15" borderId="0" xfId="2" applyNumberFormat="1" applyFont="1" applyFill="1" applyAlignment="1" applyProtection="1">
      <alignment horizontal="center"/>
    </xf>
    <xf numFmtId="172" fontId="10" fillId="15" borderId="0" xfId="2" applyNumberFormat="1" applyFont="1" applyFill="1" applyAlignment="1" applyProtection="1">
      <alignment horizontal="center"/>
    </xf>
    <xf numFmtId="0" fontId="8" fillId="15" borderId="0" xfId="0" applyFont="1" applyFill="1" applyAlignment="1" applyProtection="1"/>
    <xf numFmtId="0" fontId="5" fillId="15" borderId="0" xfId="0" applyFont="1" applyFill="1" applyAlignment="1" applyProtection="1">
      <alignment horizontal="center" vertical="center"/>
    </xf>
    <xf numFmtId="43" fontId="8" fillId="0" borderId="0" xfId="1" applyFont="1" applyBorder="1" applyAlignment="1" applyProtection="1">
      <alignment vertical="center" wrapText="1"/>
    </xf>
    <xf numFmtId="0" fontId="10" fillId="15" borderId="2" xfId="2" applyNumberFormat="1" applyFont="1" applyFill="1" applyBorder="1" applyAlignment="1" applyProtection="1">
      <alignment horizontal="center" vertical="center"/>
    </xf>
    <xf numFmtId="0" fontId="5" fillId="15" borderId="2" xfId="0" applyFont="1" applyFill="1" applyBorder="1" applyAlignment="1" applyProtection="1">
      <alignment horizontal="center"/>
    </xf>
    <xf numFmtId="44" fontId="8" fillId="15" borderId="0" xfId="4" applyFont="1" applyFill="1" applyProtection="1"/>
    <xf numFmtId="169" fontId="8" fillId="15" borderId="0" xfId="4" applyNumberFormat="1" applyFont="1" applyFill="1" applyProtection="1"/>
    <xf numFmtId="168" fontId="8" fillId="15" borderId="0" xfId="4" applyNumberFormat="1" applyFont="1" applyFill="1" applyProtection="1"/>
    <xf numFmtId="43" fontId="8" fillId="15" borderId="0" xfId="2" applyNumberFormat="1" applyFont="1" applyFill="1" applyAlignment="1" applyProtection="1"/>
    <xf numFmtId="43" fontId="11" fillId="17" borderId="0" xfId="1" applyFont="1" applyFill="1" applyAlignment="1" applyProtection="1">
      <alignment horizontal="right"/>
      <protection locked="0"/>
    </xf>
    <xf numFmtId="169" fontId="8" fillId="15" borderId="0" xfId="2" applyNumberFormat="1" applyFont="1" applyFill="1" applyAlignment="1" applyProtection="1"/>
    <xf numFmtId="168" fontId="8" fillId="15" borderId="0" xfId="2" applyNumberFormat="1" applyFont="1" applyFill="1" applyAlignment="1" applyProtection="1"/>
    <xf numFmtId="169" fontId="11" fillId="0" borderId="0" xfId="1" applyNumberFormat="1" applyFont="1" applyFill="1" applyAlignment="1" applyProtection="1">
      <alignment horizontal="right"/>
      <protection locked="0"/>
    </xf>
    <xf numFmtId="169" fontId="11" fillId="0" borderId="0" xfId="1" applyNumberFormat="1" applyFont="1" applyFill="1" applyAlignment="1" applyProtection="1">
      <alignment horizontal="right"/>
    </xf>
    <xf numFmtId="43" fontId="8" fillId="15" borderId="2" xfId="0" applyNumberFormat="1" applyFont="1" applyFill="1" applyBorder="1" applyProtection="1"/>
    <xf numFmtId="43" fontId="11" fillId="17" borderId="2" xfId="1" applyFont="1" applyFill="1" applyBorder="1" applyAlignment="1" applyProtection="1">
      <alignment horizontal="right"/>
      <protection locked="0"/>
    </xf>
    <xf numFmtId="169" fontId="8" fillId="15" borderId="2" xfId="0" applyNumberFormat="1" applyFont="1" applyFill="1" applyBorder="1" applyProtection="1"/>
    <xf numFmtId="168" fontId="8" fillId="15" borderId="2" xfId="0" applyNumberFormat="1" applyFont="1" applyFill="1" applyBorder="1" applyProtection="1"/>
    <xf numFmtId="168" fontId="14" fillId="15" borderId="0" xfId="0" applyNumberFormat="1" applyFont="1" applyFill="1" applyProtection="1"/>
    <xf numFmtId="44" fontId="8" fillId="15" borderId="9" xfId="4" applyFont="1" applyFill="1" applyBorder="1" applyProtection="1"/>
    <xf numFmtId="169" fontId="8" fillId="15" borderId="9" xfId="4" applyNumberFormat="1" applyFont="1" applyFill="1" applyBorder="1" applyProtection="1"/>
    <xf numFmtId="168" fontId="8" fillId="15" borderId="9" xfId="4" applyNumberFormat="1" applyFont="1" applyFill="1" applyBorder="1" applyProtection="1"/>
    <xf numFmtId="169" fontId="11" fillId="15" borderId="0" xfId="2" applyNumberFormat="1" applyFont="1" applyFill="1" applyBorder="1" applyAlignment="1" applyProtection="1">
      <alignment horizontal="right"/>
    </xf>
    <xf numFmtId="169" fontId="11" fillId="15" borderId="0" xfId="2" applyNumberFormat="1" applyFont="1" applyFill="1" applyAlignment="1" applyProtection="1">
      <alignment horizontal="right"/>
    </xf>
    <xf numFmtId="168" fontId="11" fillId="15" borderId="0" xfId="2" applyNumberFormat="1" applyFont="1" applyFill="1" applyAlignment="1" applyProtection="1">
      <alignment horizontal="right"/>
    </xf>
    <xf numFmtId="44" fontId="11" fillId="15" borderId="0" xfId="4" applyFont="1" applyFill="1" applyBorder="1" applyAlignment="1" applyProtection="1"/>
    <xf numFmtId="169" fontId="8" fillId="15" borderId="0" xfId="4" applyNumberFormat="1" applyFont="1" applyFill="1" applyProtection="1">
      <protection locked="0"/>
    </xf>
    <xf numFmtId="43" fontId="11" fillId="15" borderId="0" xfId="2" applyNumberFormat="1" applyFont="1" applyFill="1" applyBorder="1" applyAlignment="1" applyProtection="1"/>
    <xf numFmtId="43" fontId="11" fillId="15" borderId="2" xfId="2" applyNumberFormat="1" applyFont="1" applyFill="1" applyBorder="1" applyAlignment="1" applyProtection="1"/>
    <xf numFmtId="43" fontId="8" fillId="15" borderId="9" xfId="0" applyNumberFormat="1" applyFont="1" applyFill="1" applyBorder="1" applyProtection="1"/>
    <xf numFmtId="173" fontId="8" fillId="15" borderId="0" xfId="0" applyNumberFormat="1" applyFont="1" applyFill="1" applyProtection="1"/>
    <xf numFmtId="44" fontId="8" fillId="15" borderId="2" xfId="4" applyFont="1" applyFill="1" applyBorder="1" applyProtection="1"/>
    <xf numFmtId="169" fontId="8" fillId="15" borderId="2" xfId="4" applyNumberFormat="1" applyFont="1" applyFill="1" applyBorder="1" applyProtection="1"/>
    <xf numFmtId="168" fontId="8" fillId="15" borderId="2" xfId="4" applyNumberFormat="1" applyFont="1" applyFill="1" applyBorder="1" applyProtection="1"/>
    <xf numFmtId="0" fontId="8" fillId="43" borderId="0" xfId="0" applyFont="1" applyFill="1" applyProtection="1"/>
    <xf numFmtId="0" fontId="8" fillId="43" borderId="0" xfId="2" applyNumberFormat="1" applyFont="1" applyFill="1" applyAlignment="1" applyProtection="1"/>
    <xf numFmtId="0" fontId="11" fillId="43" borderId="0" xfId="2" applyNumberFormat="1" applyFont="1" applyFill="1" applyAlignment="1" applyProtection="1"/>
    <xf numFmtId="43" fontId="11" fillId="15" borderId="2" xfId="1" applyFont="1" applyFill="1" applyBorder="1" applyAlignment="1" applyProtection="1"/>
    <xf numFmtId="0" fontId="5" fillId="15" borderId="2" xfId="2" applyNumberFormat="1" applyFont="1" applyFill="1" applyBorder="1" applyAlignment="1" applyProtection="1">
      <alignment horizontal="center"/>
    </xf>
    <xf numFmtId="171" fontId="8" fillId="15" borderId="0" xfId="1" applyNumberFormat="1" applyFont="1" applyFill="1" applyBorder="1" applyProtection="1"/>
    <xf numFmtId="167" fontId="11" fillId="15" borderId="0" xfId="2" applyNumberFormat="1" applyFont="1" applyFill="1" applyBorder="1" applyAlignment="1" applyProtection="1">
      <alignment horizontal="right"/>
    </xf>
    <xf numFmtId="8" fontId="8" fillId="17" borderId="0" xfId="1" applyNumberFormat="1" applyFont="1" applyFill="1" applyAlignment="1" applyProtection="1">
      <protection locked="0"/>
    </xf>
    <xf numFmtId="168" fontId="11" fillId="17" borderId="0" xfId="2" applyNumberFormat="1" applyFont="1" applyFill="1" applyAlignment="1" applyProtection="1">
      <alignment horizontal="right"/>
      <protection locked="0"/>
    </xf>
    <xf numFmtId="168" fontId="11" fillId="17" borderId="0" xfId="1" applyNumberFormat="1" applyFont="1" applyFill="1" applyAlignment="1" applyProtection="1">
      <alignment horizontal="right"/>
      <protection locked="0"/>
    </xf>
    <xf numFmtId="168" fontId="11" fillId="15" borderId="0" xfId="1" applyNumberFormat="1" applyFont="1" applyFill="1" applyBorder="1" applyAlignment="1" applyProtection="1">
      <alignment horizontal="right"/>
    </xf>
    <xf numFmtId="168" fontId="11" fillId="0" borderId="0" xfId="1" applyNumberFormat="1" applyFont="1" applyFill="1" applyAlignment="1" applyProtection="1">
      <alignment horizontal="right"/>
      <protection locked="0"/>
    </xf>
    <xf numFmtId="168" fontId="11" fillId="0" borderId="0" xfId="1" applyNumberFormat="1" applyFont="1" applyFill="1" applyAlignment="1" applyProtection="1">
      <alignment horizontal="right"/>
    </xf>
    <xf numFmtId="168" fontId="11" fillId="17" borderId="2" xfId="1" applyNumberFormat="1" applyFont="1" applyFill="1" applyBorder="1" applyAlignment="1" applyProtection="1">
      <alignment horizontal="right"/>
      <protection locked="0"/>
    </xf>
    <xf numFmtId="168" fontId="11" fillId="15" borderId="0" xfId="2" applyNumberFormat="1" applyFont="1" applyFill="1" applyBorder="1" applyAlignment="1" applyProtection="1"/>
    <xf numFmtId="168" fontId="11" fillId="15" borderId="0" xfId="4" applyNumberFormat="1" applyFont="1" applyFill="1" applyBorder="1" applyAlignment="1" applyProtection="1"/>
    <xf numFmtId="168" fontId="8" fillId="15" borderId="0" xfId="4" applyNumberFormat="1" applyFont="1" applyFill="1" applyProtection="1">
      <protection locked="0"/>
    </xf>
    <xf numFmtId="168" fontId="11" fillId="15" borderId="2" xfId="2" applyNumberFormat="1" applyFont="1" applyFill="1" applyBorder="1" applyAlignment="1" applyProtection="1"/>
    <xf numFmtId="168" fontId="8" fillId="15" borderId="9" xfId="0" applyNumberFormat="1" applyFont="1" applyFill="1" applyBorder="1" applyProtection="1"/>
    <xf numFmtId="168" fontId="11" fillId="15" borderId="0" xfId="1" applyNumberFormat="1" applyFont="1" applyFill="1" applyBorder="1" applyAlignment="1" applyProtection="1"/>
    <xf numFmtId="168" fontId="11" fillId="17" borderId="0" xfId="1" applyNumberFormat="1" applyFont="1" applyFill="1" applyAlignment="1" applyProtection="1">
      <protection locked="0"/>
    </xf>
    <xf numFmtId="168" fontId="11" fillId="15" borderId="2" xfId="1" applyNumberFormat="1" applyFont="1" applyFill="1" applyBorder="1" applyAlignment="1" applyProtection="1"/>
    <xf numFmtId="168" fontId="11" fillId="17" borderId="2" xfId="1" applyNumberFormat="1" applyFont="1" applyFill="1" applyBorder="1" applyAlignment="1" applyProtection="1">
      <protection locked="0"/>
    </xf>
    <xf numFmtId="168" fontId="8" fillId="15" borderId="0" xfId="2" applyNumberFormat="1" applyFont="1" applyFill="1" applyBorder="1" applyAlignment="1" applyProtection="1"/>
    <xf numFmtId="168" fontId="11" fillId="17" borderId="0" xfId="1" applyNumberFormat="1" applyFont="1" applyFill="1" applyBorder="1" applyAlignment="1" applyProtection="1">
      <alignment horizontal="right"/>
      <protection locked="0"/>
    </xf>
    <xf numFmtId="168" fontId="8" fillId="15" borderId="0" xfId="1" applyNumberFormat="1" applyFont="1" applyFill="1" applyProtection="1"/>
    <xf numFmtId="168" fontId="10" fillId="15" borderId="0" xfId="2" applyNumberFormat="1" applyFont="1" applyFill="1" applyBorder="1" applyAlignment="1" applyProtection="1">
      <alignment horizontal="right"/>
    </xf>
    <xf numFmtId="168" fontId="14" fillId="15" borderId="0" xfId="1" applyNumberFormat="1" applyFont="1" applyFill="1" applyProtection="1"/>
    <xf numFmtId="168" fontId="8" fillId="15" borderId="2" xfId="1" applyNumberFormat="1" applyFont="1" applyFill="1" applyBorder="1" applyProtection="1"/>
    <xf numFmtId="168" fontId="11" fillId="15" borderId="0" xfId="2" applyNumberFormat="1" applyFont="1" applyFill="1" applyBorder="1" applyAlignment="1" applyProtection="1">
      <alignment horizontal="left"/>
    </xf>
    <xf numFmtId="168" fontId="11" fillId="15" borderId="0" xfId="1" applyNumberFormat="1" applyFont="1" applyFill="1" applyAlignment="1" applyProtection="1"/>
    <xf numFmtId="168" fontId="11" fillId="15" borderId="0" xfId="2" applyNumberFormat="1" applyFont="1" applyFill="1" applyAlignment="1" applyProtection="1"/>
    <xf numFmtId="168" fontId="8" fillId="15" borderId="0" xfId="1" applyNumberFormat="1" applyFont="1" applyFill="1" applyAlignment="1" applyProtection="1"/>
    <xf numFmtId="168" fontId="11" fillId="15" borderId="0" xfId="2" applyNumberFormat="1" applyFont="1" applyFill="1" applyAlignment="1" applyProtection="1">
      <alignment horizontal="left"/>
    </xf>
    <xf numFmtId="168" fontId="11" fillId="43" borderId="0" xfId="2" applyNumberFormat="1" applyFont="1" applyFill="1" applyAlignment="1" applyProtection="1"/>
    <xf numFmtId="172" fontId="3" fillId="0" borderId="0" xfId="2" applyNumberFormat="1" applyFont="1" applyAlignment="1" applyProtection="1"/>
    <xf numFmtId="172" fontId="8" fillId="0" borderId="0" xfId="2" applyNumberFormat="1" applyFont="1" applyAlignment="1" applyProtection="1"/>
    <xf numFmtId="172" fontId="11" fillId="0" borderId="0" xfId="2" applyNumberFormat="1" applyFont="1" applyBorder="1" applyAlignment="1" applyProtection="1">
      <alignment horizontal="left"/>
    </xf>
    <xf numFmtId="172" fontId="8" fillId="0" borderId="0" xfId="2" applyNumberFormat="1" applyFont="1" applyBorder="1" applyAlignment="1" applyProtection="1"/>
    <xf numFmtId="172" fontId="11" fillId="15" borderId="0" xfId="2" applyNumberFormat="1" applyFont="1" applyFill="1" applyAlignment="1" applyProtection="1"/>
    <xf numFmtId="172" fontId="11" fillId="15" borderId="0" xfId="2" applyNumberFormat="1" applyFont="1" applyFill="1" applyBorder="1" applyAlignment="1" applyProtection="1"/>
    <xf numFmtId="172" fontId="8" fillId="15" borderId="2" xfId="2" applyNumberFormat="1" applyFont="1" applyFill="1" applyBorder="1" applyAlignment="1" applyProtection="1"/>
    <xf numFmtId="172" fontId="10" fillId="15" borderId="0" xfId="2" applyNumberFormat="1" applyFont="1" applyFill="1" applyAlignment="1" applyProtection="1"/>
    <xf numFmtId="172" fontId="8" fillId="15" borderId="0" xfId="2" applyNumberFormat="1" applyFont="1" applyFill="1" applyAlignment="1" applyProtection="1"/>
    <xf numFmtId="172" fontId="8" fillId="0" borderId="0" xfId="2" applyNumberFormat="1" applyFont="1" applyFill="1" applyBorder="1" applyAlignment="1" applyProtection="1"/>
    <xf numFmtId="172" fontId="8" fillId="0" borderId="0" xfId="2" applyNumberFormat="1" applyFont="1" applyFill="1" applyAlignment="1" applyProtection="1"/>
    <xf numFmtId="172" fontId="11" fillId="15" borderId="0" xfId="2" applyNumberFormat="1" applyFont="1" applyFill="1" applyAlignment="1" applyProtection="1">
      <alignment horizontal="left" indent="2"/>
    </xf>
    <xf numFmtId="172" fontId="3" fillId="15" borderId="0" xfId="2" applyNumberFormat="1" applyFont="1" applyFill="1" applyAlignment="1" applyProtection="1"/>
    <xf numFmtId="172" fontId="11" fillId="15" borderId="0" xfId="2" applyNumberFormat="1" applyFont="1" applyFill="1" applyAlignment="1" applyProtection="1">
      <alignment horizontal="left"/>
    </xf>
    <xf numFmtId="172" fontId="10" fillId="15" borderId="0" xfId="2" applyNumberFormat="1" applyFont="1" applyFill="1" applyAlignment="1" applyProtection="1">
      <alignment horizontal="left"/>
    </xf>
    <xf numFmtId="172" fontId="8" fillId="43" borderId="0" xfId="2" applyNumberFormat="1" applyFont="1" applyFill="1" applyAlignment="1" applyProtection="1"/>
    <xf numFmtId="172" fontId="11" fillId="43" borderId="0" xfId="2" applyNumberFormat="1" applyFont="1" applyFill="1" applyAlignment="1" applyProtection="1"/>
    <xf numFmtId="172" fontId="8" fillId="15" borderId="0" xfId="2" applyNumberFormat="1" applyFont="1" applyFill="1" applyBorder="1" applyAlignment="1" applyProtection="1"/>
    <xf numFmtId="172" fontId="10" fillId="15" borderId="0" xfId="2" applyNumberFormat="1" applyFont="1" applyFill="1" applyAlignment="1" applyProtection="1">
      <alignment horizontal="left" indent="2"/>
    </xf>
    <xf numFmtId="172" fontId="17" fillId="0" borderId="0" xfId="2" applyNumberFormat="1" applyFont="1" applyAlignment="1" applyProtection="1">
      <alignment horizontal="right"/>
    </xf>
    <xf numFmtId="44" fontId="8" fillId="15" borderId="0" xfId="4" applyNumberFormat="1" applyFont="1" applyFill="1" applyProtection="1"/>
    <xf numFmtId="44" fontId="8" fillId="15" borderId="0" xfId="2" applyNumberFormat="1" applyFont="1" applyFill="1" applyAlignment="1" applyProtection="1"/>
    <xf numFmtId="44" fontId="8" fillId="15" borderId="2" xfId="0" applyNumberFormat="1" applyFont="1" applyFill="1" applyBorder="1" applyProtection="1"/>
    <xf numFmtId="44" fontId="8" fillId="15" borderId="0" xfId="0" applyNumberFormat="1" applyFont="1" applyFill="1" applyProtection="1"/>
    <xf numFmtId="44" fontId="8" fillId="15" borderId="9" xfId="4" applyNumberFormat="1" applyFont="1" applyFill="1" applyBorder="1" applyProtection="1"/>
    <xf numFmtId="44" fontId="11" fillId="15" borderId="0" xfId="2" applyNumberFormat="1" applyFont="1" applyFill="1" applyBorder="1" applyAlignment="1" applyProtection="1"/>
    <xf numFmtId="44" fontId="11" fillId="15" borderId="0" xfId="4" applyNumberFormat="1" applyFont="1" applyFill="1" applyBorder="1" applyAlignment="1" applyProtection="1"/>
    <xf numFmtId="44" fontId="11" fillId="15" borderId="2" xfId="2" applyNumberFormat="1" applyFont="1" applyFill="1" applyBorder="1" applyAlignment="1" applyProtection="1"/>
    <xf numFmtId="44" fontId="8" fillId="15" borderId="2" xfId="4" applyNumberFormat="1" applyFont="1" applyFill="1" applyBorder="1" applyProtection="1"/>
    <xf numFmtId="44" fontId="11" fillId="15" borderId="2" xfId="1" applyNumberFormat="1" applyFont="1" applyFill="1" applyBorder="1" applyAlignment="1" applyProtection="1"/>
    <xf numFmtId="44" fontId="8" fillId="0" borderId="0" xfId="4" applyNumberFormat="1" applyFont="1" applyAlignment="1" applyProtection="1"/>
    <xf numFmtId="0" fontId="7" fillId="16" borderId="0" xfId="2" applyNumberFormat="1" applyFont="1" applyFill="1" applyBorder="1" applyAlignment="1" applyProtection="1">
      <alignment horizontal="center" vertical="center" wrapText="1"/>
    </xf>
    <xf numFmtId="0" fontId="5" fillId="15" borderId="0" xfId="0" applyFont="1" applyFill="1" applyAlignment="1" applyProtection="1">
      <alignment horizontal="center" vertical="center"/>
    </xf>
    <xf numFmtId="0" fontId="5" fillId="0" borderId="0" xfId="2" applyNumberFormat="1" applyFont="1" applyAlignment="1" applyProtection="1">
      <alignment horizontal="center"/>
    </xf>
    <xf numFmtId="165" fontId="11" fillId="17" borderId="0" xfId="1" applyNumberFormat="1" applyFont="1" applyFill="1" applyAlignment="1" applyProtection="1">
      <alignment horizontal="left"/>
      <protection locked="0"/>
    </xf>
    <xf numFmtId="4" fontId="5" fillId="15" borderId="0" xfId="2" applyNumberFormat="1" applyFont="1" applyFill="1" applyBorder="1" applyAlignment="1" applyProtection="1">
      <alignment horizontal="center"/>
    </xf>
    <xf numFmtId="0" fontId="10" fillId="15" borderId="0" xfId="2" applyNumberFormat="1" applyFont="1" applyFill="1" applyBorder="1" applyAlignment="1" applyProtection="1">
      <alignment horizontal="center"/>
    </xf>
    <xf numFmtId="4" fontId="10" fillId="15" borderId="0" xfId="2" applyNumberFormat="1" applyFont="1" applyFill="1" applyBorder="1" applyAlignment="1" applyProtection="1">
      <alignment horizontal="center"/>
    </xf>
    <xf numFmtId="165" fontId="11" fillId="0" borderId="0" xfId="1" applyNumberFormat="1" applyFont="1" applyFill="1" applyAlignment="1" applyProtection="1">
      <alignment horizontal="left"/>
      <protection locked="0"/>
    </xf>
    <xf numFmtId="168" fontId="11" fillId="0" borderId="0" xfId="1" applyNumberFormat="1" applyFont="1" applyFill="1" applyAlignment="1" applyProtection="1">
      <alignment horizontal="left"/>
      <protection locked="0"/>
    </xf>
    <xf numFmtId="172" fontId="10" fillId="15" borderId="0" xfId="2" applyNumberFormat="1" applyFont="1" applyFill="1" applyBorder="1" applyAlignment="1" applyProtection="1">
      <alignment horizontal="center"/>
    </xf>
    <xf numFmtId="4" fontId="5" fillId="15" borderId="0" xfId="2" applyNumberFormat="1" applyFont="1" applyFill="1" applyBorder="1" applyAlignment="1" applyProtection="1">
      <alignment horizontal="left"/>
    </xf>
    <xf numFmtId="0" fontId="5" fillId="15" borderId="0" xfId="0" applyFont="1" applyFill="1" applyAlignment="1" applyProtection="1">
      <alignment horizontal="left" vertical="center"/>
    </xf>
    <xf numFmtId="0" fontId="10" fillId="15" borderId="0" xfId="2" applyNumberFormat="1" applyFont="1" applyFill="1" applyBorder="1" applyAlignment="1" applyProtection="1">
      <alignment horizontal="left"/>
    </xf>
    <xf numFmtId="4" fontId="10" fillId="15" borderId="0" xfId="2" applyNumberFormat="1" applyFont="1" applyFill="1" applyBorder="1" applyAlignment="1" applyProtection="1">
      <alignment horizontal="left"/>
    </xf>
    <xf numFmtId="4" fontId="5" fillId="15" borderId="0" xfId="2" applyNumberFormat="1" applyFont="1" applyFill="1" applyBorder="1" applyAlignment="1" applyProtection="1"/>
    <xf numFmtId="4" fontId="10" fillId="15" borderId="0" xfId="2" applyNumberFormat="1" applyFont="1" applyFill="1" applyBorder="1" applyAlignment="1" applyProtection="1"/>
    <xf numFmtId="165" fontId="11" fillId="0" borderId="0" xfId="1" applyNumberFormat="1" applyFont="1" applyFill="1" applyAlignment="1" applyProtection="1">
      <protection locked="0"/>
    </xf>
    <xf numFmtId="0" fontId="8" fillId="15" borderId="0" xfId="2" applyNumberFormat="1" applyFont="1" applyFill="1" applyAlignment="1" applyProtection="1">
      <alignment horizontal="left"/>
    </xf>
    <xf numFmtId="0" fontId="8" fillId="43" borderId="0" xfId="0" applyFont="1" applyFill="1" applyAlignment="1" applyProtection="1">
      <alignment horizontal="left"/>
    </xf>
    <xf numFmtId="0" fontId="5" fillId="15" borderId="0" xfId="0" applyFont="1" applyFill="1" applyAlignment="1" applyProtection="1">
      <alignment horizontal="left"/>
    </xf>
    <xf numFmtId="172" fontId="10" fillId="15" borderId="0" xfId="2" applyNumberFormat="1" applyFont="1" applyFill="1" applyBorder="1" applyAlignment="1" applyProtection="1">
      <alignment horizontal="left"/>
    </xf>
    <xf numFmtId="172" fontId="8" fillId="15" borderId="0" xfId="2" applyNumberFormat="1" applyFont="1" applyFill="1" applyAlignment="1" applyProtection="1">
      <alignment horizontal="left"/>
    </xf>
    <xf numFmtId="172" fontId="8" fillId="0" borderId="0" xfId="2" applyNumberFormat="1" applyFont="1" applyAlignment="1" applyProtection="1">
      <alignment horizontal="left"/>
    </xf>
    <xf numFmtId="0" fontId="3" fillId="0" borderId="0" xfId="2" applyNumberFormat="1" applyFont="1" applyAlignment="1" applyProtection="1">
      <alignment horizontal="left"/>
    </xf>
    <xf numFmtId="49" fontId="4" fillId="0" borderId="0" xfId="2" applyNumberFormat="1" applyFont="1" applyAlignment="1" applyProtection="1">
      <alignment horizontal="left" textRotation="45"/>
    </xf>
    <xf numFmtId="0" fontId="8" fillId="0" borderId="0" xfId="2" applyNumberFormat="1" applyFont="1" applyFill="1" applyBorder="1" applyAlignment="1" applyProtection="1">
      <alignment horizontal="right" wrapText="1"/>
    </xf>
    <xf numFmtId="0" fontId="47" fillId="42" borderId="21" xfId="2" applyNumberFormat="1" applyFont="1" applyFill="1" applyBorder="1" applyAlignment="1" applyProtection="1">
      <alignment horizontal="center" vertical="center"/>
    </xf>
    <xf numFmtId="0" fontId="7" fillId="16" borderId="0" xfId="2" applyNumberFormat="1" applyFont="1" applyFill="1" applyBorder="1" applyAlignment="1" applyProtection="1">
      <alignment horizontal="center" vertical="center" wrapText="1"/>
    </xf>
    <xf numFmtId="0" fontId="5" fillId="15" borderId="0" xfId="2" applyNumberFormat="1" applyFont="1" applyFill="1" applyAlignment="1" applyProtection="1">
      <alignment horizontal="center"/>
    </xf>
    <xf numFmtId="0" fontId="10" fillId="15" borderId="0" xfId="2" applyNumberFormat="1" applyFont="1" applyFill="1" applyAlignment="1" applyProtection="1">
      <alignment horizontal="center"/>
    </xf>
    <xf numFmtId="172" fontId="10" fillId="15" borderId="0" xfId="2" applyNumberFormat="1" applyFont="1" applyFill="1" applyAlignment="1" applyProtection="1">
      <alignment horizontal="center"/>
    </xf>
    <xf numFmtId="43" fontId="5" fillId="15" borderId="0" xfId="1" applyFont="1" applyFill="1" applyBorder="1" applyAlignment="1" applyProtection="1">
      <alignment horizontal="center"/>
    </xf>
    <xf numFmtId="43" fontId="5" fillId="15" borderId="2" xfId="1" applyFont="1" applyFill="1" applyBorder="1" applyAlignment="1" applyProtection="1">
      <alignment horizontal="center"/>
    </xf>
    <xf numFmtId="0" fontId="5" fillId="15" borderId="0" xfId="0" applyFont="1" applyFill="1" applyAlignment="1" applyProtection="1">
      <alignment horizontal="center" vertical="center"/>
    </xf>
    <xf numFmtId="0" fontId="8" fillId="15" borderId="0" xfId="0" applyFont="1" applyFill="1" applyAlignment="1" applyProtection="1"/>
  </cellXfs>
  <cellStyles count="1349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10" xfId="173"/>
    <cellStyle name="Calculation 2 10 2" xfId="174"/>
    <cellStyle name="Calculation 2 11" xfId="175"/>
    <cellStyle name="Calculation 2 11 2" xfId="176"/>
    <cellStyle name="Calculation 2 12" xfId="177"/>
    <cellStyle name="Calculation 2 12 2" xfId="178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4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265"/>
    <cellStyle name="Calculation 2 2 59" xfId="1266"/>
    <cellStyle name="Calculation 2 2 6" xfId="292"/>
    <cellStyle name="Calculation 2 2 6 2" xfId="293"/>
    <cellStyle name="Calculation 2 2 60" xfId="1267"/>
    <cellStyle name="Calculation 2 2 61" xfId="1268"/>
    <cellStyle name="Calculation 2 2 7" xfId="294"/>
    <cellStyle name="Calculation 2 2 7 2" xfId="295"/>
    <cellStyle name="Calculation 2 2 8" xfId="296"/>
    <cellStyle name="Calculation 2 2 8 2" xfId="297"/>
    <cellStyle name="Calculation 2 2 9" xfId="298"/>
    <cellStyle name="Calculation 2 2 9 2" xfId="299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3" xfId="1269"/>
    <cellStyle name="Calculation 2 3 4" xfId="1270"/>
    <cellStyle name="Calculation 2 3 5" xfId="1271"/>
    <cellStyle name="Calculation 2 3 6" xfId="1272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3" xfId="1273"/>
    <cellStyle name="Calculation 2 4 4" xfId="1274"/>
    <cellStyle name="Calculation 2 4 5" xfId="1275"/>
    <cellStyle name="Calculation 2 4 6" xfId="1276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3" xfId="1277"/>
    <cellStyle name="Calculation 2 5 4" xfId="1278"/>
    <cellStyle name="Calculation 2 5 5" xfId="1279"/>
    <cellStyle name="Calculation 2 5 6" xfId="1280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7" xfId="381"/>
    <cellStyle name="Calculation 2 7 2" xfId="382"/>
    <cellStyle name="Calculation 2 8" xfId="383"/>
    <cellStyle name="Calculation 2 8 2" xfId="384"/>
    <cellStyle name="Calculation 2 9" xfId="385"/>
    <cellStyle name="Calculation 2 9 2" xfId="386"/>
    <cellStyle name="Check Cell 2" xfId="45"/>
    <cellStyle name="Comma" xfId="1" builtinId="3"/>
    <cellStyle name="Comma 19" xfId="46"/>
    <cellStyle name="Comma 2" xfId="47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2" xfId="56"/>
    <cellStyle name="Comma 2 2 2" xfId="57"/>
    <cellStyle name="Comma 2 2 3" xfId="58"/>
    <cellStyle name="Comma 2 2 4" xfId="59"/>
    <cellStyle name="Comma 2 2 5" xfId="60"/>
    <cellStyle name="Comma 2 3" xfId="61"/>
    <cellStyle name="Comma 2 3 2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3"/>
    <cellStyle name="Currency 2" xfId="4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7"/>
    <cellStyle name="Hyperlink 2 3" xfId="388"/>
    <cellStyle name="Input 2" xfId="84"/>
    <cellStyle name="Input 2 10" xfId="389"/>
    <cellStyle name="Input 2 10 2" xfId="390"/>
    <cellStyle name="Input 2 11" xfId="391"/>
    <cellStyle name="Input 2 11 2" xfId="392"/>
    <cellStyle name="Input 2 12" xfId="393"/>
    <cellStyle name="Input 2 12 2" xfId="394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5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281"/>
    <cellStyle name="Input 2 2 59" xfId="1282"/>
    <cellStyle name="Input 2 2 6" xfId="508"/>
    <cellStyle name="Input 2 2 6 2" xfId="509"/>
    <cellStyle name="Input 2 2 60" xfId="1283"/>
    <cellStyle name="Input 2 2 61" xfId="1284"/>
    <cellStyle name="Input 2 2 7" xfId="510"/>
    <cellStyle name="Input 2 2 7 2" xfId="511"/>
    <cellStyle name="Input 2 2 8" xfId="512"/>
    <cellStyle name="Input 2 2 8 2" xfId="513"/>
    <cellStyle name="Input 2 2 9" xfId="514"/>
    <cellStyle name="Input 2 2 9 2" xfId="515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3" xfId="1285"/>
    <cellStyle name="Input 2 3 4" xfId="1286"/>
    <cellStyle name="Input 2 3 5" xfId="1287"/>
    <cellStyle name="Input 2 3 6" xfId="1288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3" xfId="1289"/>
    <cellStyle name="Input 2 4 4" xfId="1290"/>
    <cellStyle name="Input 2 4 5" xfId="1291"/>
    <cellStyle name="Input 2 4 6" xfId="1292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3" xfId="1293"/>
    <cellStyle name="Input 2 5 4" xfId="1294"/>
    <cellStyle name="Input 2 5 5" xfId="1295"/>
    <cellStyle name="Input 2 5 6" xfId="1296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7" xfId="597"/>
    <cellStyle name="Input 2 7 2" xfId="598"/>
    <cellStyle name="Input 2 8" xfId="599"/>
    <cellStyle name="Input 2 8 2" xfId="600"/>
    <cellStyle name="Input 2 9" xfId="601"/>
    <cellStyle name="Input 2 9 2" xfId="602"/>
    <cellStyle name="Linked Cell 2" xfId="86"/>
    <cellStyle name="Neutral 2" xfId="87"/>
    <cellStyle name="Normal" xfId="0" builtinId="0"/>
    <cellStyle name="Normal 10" xfId="88"/>
    <cellStyle name="Normal 11" xfId="89"/>
    <cellStyle name="Normal 2" xfId="2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17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rmal_2006-07 GASB Draft" xfId="3"/>
    <cellStyle name="Normal_SNP" xfId="5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297"/>
    <cellStyle name="Note 2 3 59" xfId="1298"/>
    <cellStyle name="Note 2 3 6" xfId="711"/>
    <cellStyle name="Note 2 3 6 2" xfId="712"/>
    <cellStyle name="Note 2 3 60" xfId="1299"/>
    <cellStyle name="Note 2 3 61" xfId="1300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01"/>
    <cellStyle name="Note 2 4 59" xfId="1302"/>
    <cellStyle name="Note 2 4 6" xfId="818"/>
    <cellStyle name="Note 2 4 6 2" xfId="819"/>
    <cellStyle name="Note 2 4 60" xfId="1303"/>
    <cellStyle name="Note 2 4 61" xfId="1304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05"/>
    <cellStyle name="Note 2 5 4" xfId="1306"/>
    <cellStyle name="Note 2 5 5" xfId="1307"/>
    <cellStyle name="Note 2 5 6" xfId="1308"/>
    <cellStyle name="Note 2 6" xfId="828"/>
    <cellStyle name="Note 2 6 2" xfId="829"/>
    <cellStyle name="Note 2 6 3" xfId="1309"/>
    <cellStyle name="Note 2 6 4" xfId="1310"/>
    <cellStyle name="Note 2 6 5" xfId="1311"/>
    <cellStyle name="Note 2 6 6" xfId="1312"/>
    <cellStyle name="Note 2 7" xfId="830"/>
    <cellStyle name="Note 2 7 2" xfId="831"/>
    <cellStyle name="Note 2 7 3" xfId="1313"/>
    <cellStyle name="Note 2 7 4" xfId="1314"/>
    <cellStyle name="Note 2 7 5" xfId="1315"/>
    <cellStyle name="Note 2 7 6" xfId="1316"/>
    <cellStyle name="Note 2 8" xfId="8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17"/>
    <cellStyle name="Output 2 2 59" xfId="1318"/>
    <cellStyle name="Output 2 2 6" xfId="952"/>
    <cellStyle name="Output 2 2 6 2" xfId="953"/>
    <cellStyle name="Output 2 2 60" xfId="1319"/>
    <cellStyle name="Output 2 2 61" xfId="1320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21"/>
    <cellStyle name="Output 2 3 4" xfId="1322"/>
    <cellStyle name="Output 2 3 5" xfId="1323"/>
    <cellStyle name="Output 2 3 6" xfId="132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25"/>
    <cellStyle name="Output 2 4 4" xfId="1326"/>
    <cellStyle name="Output 2 4 5" xfId="1327"/>
    <cellStyle name="Output 2 4 6" xfId="1328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29"/>
    <cellStyle name="Output 2 5 4" xfId="1330"/>
    <cellStyle name="Output 2 5 5" xfId="1331"/>
    <cellStyle name="Output 2 5 6" xfId="133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33"/>
    <cellStyle name="Total 2 2 59" xfId="1334"/>
    <cellStyle name="Total 2 2 6" xfId="1168"/>
    <cellStyle name="Total 2 2 6 2" xfId="1169"/>
    <cellStyle name="Total 2 2 60" xfId="1335"/>
    <cellStyle name="Total 2 2 61" xfId="1336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37"/>
    <cellStyle name="Total 2 3 4" xfId="1338"/>
    <cellStyle name="Total 2 3 5" xfId="1339"/>
    <cellStyle name="Total 2 3 6" xfId="1340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41"/>
    <cellStyle name="Total 2 4 4" xfId="1342"/>
    <cellStyle name="Total 2 4 5" xfId="1343"/>
    <cellStyle name="Total 2 4 6" xfId="1344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45"/>
    <cellStyle name="Total 2 5 4" xfId="1346"/>
    <cellStyle name="Total 2 5 5" xfId="1347"/>
    <cellStyle name="Total 2 5 6" xfId="1348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688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61" Type="http://schemas.openxmlformats.org/officeDocument/2006/relationships/externalLink" Target="externalLinks/externalLink3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emf"/><Relationship Id="rId1" Type="http://schemas.openxmlformats.org/officeDocument/2006/relationships/customXml" Target="../ink/ink1.xml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433844</xdr:colOff>
      <xdr:row>65</xdr:row>
      <xdr:rowOff>95320</xdr:rowOff>
    </xdr:from>
    <xdr:to>
      <xdr:col>25</xdr:col>
      <xdr:colOff>434204</xdr:colOff>
      <xdr:row>65</xdr:row>
      <xdr:rowOff>95680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/>
            <xdr14:cNvContentPartPr/>
          </xdr14:nvContentPartPr>
          <xdr14:nvPr macro=""/>
          <xdr14:xfrm>
            <a:off x="17525927" y="10234153"/>
            <a:ext cx="360" cy="360"/>
          </xdr14:xfrm>
        </xdr:contentPart>
      </mc:Choice>
      <mc:Fallback xmlns="">
        <xdr:pic>
          <xdr:nvPicPr>
            <xdr:cNvPr id="4" name="Ink 3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514047" y="10222273"/>
              <a:ext cx="24120" cy="24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18</xdr:col>
      <xdr:colOff>508150</xdr:colOff>
      <xdr:row>56</xdr:row>
      <xdr:rowOff>84790</xdr:rowOff>
    </xdr:from>
    <xdr:to>
      <xdr:col>26</xdr:col>
      <xdr:colOff>222570</xdr:colOff>
      <xdr:row>60</xdr:row>
      <xdr:rowOff>11030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Ink 6"/>
            <xdr14:cNvContentPartPr/>
          </xdr14:nvContentPartPr>
          <xdr14:nvPr macro=""/>
          <xdr14:xfrm>
            <a:off x="11927567" y="8794873"/>
            <a:ext cx="6127920" cy="561240"/>
          </xdr14:xfrm>
        </xdr:contentPart>
      </mc:Choice>
      <mc:Fallback xmlns="">
        <xdr:pic>
          <xdr:nvPicPr>
            <xdr:cNvPr id="7" name="Ink 6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904717" y="8782993"/>
              <a:ext cx="6173620" cy="585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State%20College%20at%20Jacksonville%20FINAL%2009.19.17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Keys%20Community%20College%20FINAL%2009.19.17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Gulf%20Coast%20State%20College%20FINAL%2009.19.17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Hillsborough%20Community%20College%20FINAL%2009.19.17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Indian%20River%20State%20College%20FINAL%2009.26.17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Gateway%20College%20FINAL%2009.19.17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Lake%20Sumter%20State%20College%20FINAL%2009.19.17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tate%20College%20of%20Florida,%20Manatee%20FINAL%2009.20.17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Miami%20Dade%20College%20FINAL%2009.26.17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North%20Florida%20Community%20College%20FINAL%2009.25.17%20rev%20acct%20pyble%20bal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Northwest%20Florida%20State%20College%20FINAL%2009.19.17%20-%20TD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alm%20Beach%20State%20College%20FINAL%2009.20.17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asco-Hernando%20State%20College%20FINAL%2009.20.17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ensacola%20State%20College%20FINAL%2009.20.17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olk%20State%20College%20FINAL%2009.25.17%20rev%20def%20inf%20of%20res%20frs%20pension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t%20Johns%20River%20State%20College%20FINAL%2009.26.17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t%20Petersburg%20College%20FINAL%2009.21.17%20-%20TD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anta%20Fe%20College%20FINAL%2009.20.17%20-%20TDR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eminole%20State%20College%20FINAL%2009.21.17%20-%20TD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outh%20Florida%20State%20College%20FINAL%2009.21.17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Eastern%20Florida%202013-14%20AFR%20Workbook%202014%20v03%20JRD%207-31-14%20JRD%20REVISED%208-15-14%20JRD%2011-20-14%20Final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Tallahassee%20Community%20College%20FINAL%2009.21.17%20-%20TD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Valencia%20College%20FINAL%2009.21.17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Eastern%20Florida%20State%20College%20FINAL%2009.18.17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Broward%20College%20FINAL%2009.18.17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College%20of%20Central%20Florida%20FINAL%2009.18.17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Chipola%20College%20FINAL%2009.18.17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Daytona%20State%20College%20FINAL%2009.18.17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SouthWestern%20State%20College%20FINAL%2009.19.17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219081162</v>
          </cell>
          <cell r="O120">
            <v>46510003</v>
          </cell>
          <cell r="P120">
            <v>265591165</v>
          </cell>
        </row>
      </sheetData>
      <sheetData sheetId="6">
        <row r="11">
          <cell r="F11">
            <v>21844307.760000002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U40">
            <v>222353426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24106378</v>
          </cell>
          <cell r="O120">
            <v>3762650</v>
          </cell>
          <cell r="P120">
            <v>27869027</v>
          </cell>
        </row>
      </sheetData>
      <sheetData sheetId="6">
        <row r="11">
          <cell r="F11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96591574</v>
          </cell>
          <cell r="O120">
            <v>31306236</v>
          </cell>
          <cell r="P120">
            <v>127897810</v>
          </cell>
        </row>
      </sheetData>
      <sheetData sheetId="6">
        <row r="11">
          <cell r="F11">
            <v>4493076.72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192209687</v>
          </cell>
          <cell r="O120">
            <v>9769406</v>
          </cell>
          <cell r="P120">
            <v>201979095</v>
          </cell>
        </row>
      </sheetData>
      <sheetData sheetId="6">
        <row r="11">
          <cell r="F11">
            <v>16835343.77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225666980</v>
          </cell>
          <cell r="O120">
            <v>94699856</v>
          </cell>
          <cell r="P120">
            <v>320366835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34590036</v>
          </cell>
          <cell r="O120">
            <v>16222048</v>
          </cell>
          <cell r="P120">
            <v>50812082</v>
          </cell>
        </row>
      </sheetData>
      <sheetData sheetId="6">
        <row r="11">
          <cell r="F11">
            <v>2572394.4900000002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67751023</v>
          </cell>
          <cell r="O120">
            <v>16398494</v>
          </cell>
          <cell r="P120">
            <v>84149514</v>
          </cell>
        </row>
      </sheetData>
      <sheetData sheetId="6">
        <row r="11">
          <cell r="F11">
            <v>2311206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113536235.67999999</v>
          </cell>
          <cell r="O120">
            <v>54014664</v>
          </cell>
          <cell r="P120">
            <v>167550898</v>
          </cell>
        </row>
      </sheetData>
      <sheetData sheetId="6">
        <row r="11">
          <cell r="F11">
            <v>6478052.2199999997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EAGLDownload"/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</sheetNames>
    <sheetDataSet>
      <sheetData sheetId="0"/>
      <sheetData sheetId="1"/>
      <sheetData sheetId="2"/>
      <sheetData sheetId="3"/>
      <sheetData sheetId="4"/>
      <sheetData sheetId="5">
        <row r="179">
          <cell r="B179" t="str">
            <v>Tuition-Advanced &amp; Professional - Baccalaureate</v>
          </cell>
        </row>
      </sheetData>
      <sheetData sheetId="6">
        <row r="9">
          <cell r="O9" t="str">
            <v>Unit</v>
          </cell>
        </row>
        <row r="120">
          <cell r="M120">
            <v>1414766949</v>
          </cell>
          <cell r="O120">
            <v>133421523</v>
          </cell>
          <cell r="P120">
            <v>1548188472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25658320</v>
          </cell>
          <cell r="O120">
            <v>3835623</v>
          </cell>
          <cell r="P120">
            <v>29493941</v>
          </cell>
        </row>
      </sheetData>
      <sheetData sheetId="6">
        <row r="11">
          <cell r="F11">
            <v>1136788.76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114518447</v>
          </cell>
          <cell r="O120">
            <v>48866443</v>
          </cell>
          <cell r="P120">
            <v>163384890</v>
          </cell>
        </row>
      </sheetData>
      <sheetData sheetId="6">
        <row r="11">
          <cell r="F11">
            <v>3355356.1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240662076</v>
          </cell>
          <cell r="O120">
            <v>33484300</v>
          </cell>
          <cell r="P120">
            <v>274146376</v>
          </cell>
        </row>
      </sheetData>
      <sheetData sheetId="6">
        <row r="11">
          <cell r="F11">
            <v>28053905.140000001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185718318</v>
          </cell>
          <cell r="O120">
            <v>47941818</v>
          </cell>
          <cell r="P120">
            <v>233660135</v>
          </cell>
        </row>
      </sheetData>
      <sheetData sheetId="6">
        <row r="11">
          <cell r="F11">
            <v>9851111.3300000001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60879547.889999986</v>
          </cell>
          <cell r="O120">
            <v>26264432</v>
          </cell>
          <cell r="P120">
            <v>87143979</v>
          </cell>
        </row>
      </sheetData>
      <sheetData sheetId="6">
        <row r="11">
          <cell r="F11">
            <v>7541746.8399999999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88296233</v>
          </cell>
          <cell r="O120">
            <v>30204662</v>
          </cell>
          <cell r="P120">
            <v>118500894</v>
          </cell>
        </row>
      </sheetData>
      <sheetData sheetId="6">
        <row r="11">
          <cell r="F11">
            <v>9338666.4499999993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1">
          <cell r="M121">
            <v>57764343</v>
          </cell>
          <cell r="O121">
            <v>5065647</v>
          </cell>
          <cell r="P121">
            <v>62829991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237070538</v>
          </cell>
          <cell r="O120">
            <v>66493368</v>
          </cell>
          <cell r="P120">
            <v>303563909</v>
          </cell>
        </row>
      </sheetData>
      <sheetData sheetId="6">
        <row r="11">
          <cell r="F11">
            <v>28399586.77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114850283</v>
          </cell>
          <cell r="O120">
            <v>46887582</v>
          </cell>
          <cell r="P120">
            <v>161737869</v>
          </cell>
        </row>
      </sheetData>
      <sheetData sheetId="6">
        <row r="11">
          <cell r="F11">
            <v>9882944.8000000007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203258503</v>
          </cell>
          <cell r="O120">
            <v>27086069</v>
          </cell>
          <cell r="P120">
            <v>230344572</v>
          </cell>
        </row>
      </sheetData>
      <sheetData sheetId="6">
        <row r="11">
          <cell r="F11">
            <v>12834605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55457999</v>
          </cell>
          <cell r="O120">
            <v>12430009</v>
          </cell>
          <cell r="P120">
            <v>67888007</v>
          </cell>
        </row>
      </sheetData>
      <sheetData sheetId="6">
        <row r="11">
          <cell r="F11">
            <v>2946917.37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</sheetData>
      <sheetData sheetId="1"/>
      <sheetData sheetId="2">
        <row r="183">
          <cell r="M183">
            <v>23188848.900000002</v>
          </cell>
        </row>
      </sheetData>
      <sheetData sheetId="3"/>
      <sheetData sheetId="4"/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FCS Notes Sched LTD"/>
      <sheetName val="FCS Notes Sched Inv &amp; Cash"/>
      <sheetName val="Tuition and Fee Report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107691973</v>
          </cell>
          <cell r="O120">
            <v>17406758</v>
          </cell>
          <cell r="P120">
            <v>125098731</v>
          </cell>
        </row>
      </sheetData>
      <sheetData sheetId="6">
        <row r="11">
          <cell r="F11">
            <v>12077692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285805003</v>
          </cell>
          <cell r="O120">
            <v>88977966</v>
          </cell>
          <cell r="P120">
            <v>374782970</v>
          </cell>
        </row>
      </sheetData>
      <sheetData sheetId="6">
        <row r="11">
          <cell r="F11">
            <v>42605835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128403736</v>
          </cell>
          <cell r="O120">
            <v>20959641</v>
          </cell>
          <cell r="P120">
            <v>149363378</v>
          </cell>
        </row>
      </sheetData>
      <sheetData sheetId="6">
        <row r="11">
          <cell r="F11">
            <v>9704534.0899999999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4">
          <cell r="A44" t="str">
            <v>EASTERN FLORIDA STATE COLLEGE</v>
          </cell>
          <cell r="B44">
            <v>123127103</v>
          </cell>
          <cell r="C44">
            <v>19881625</v>
          </cell>
          <cell r="D44">
            <v>143008728</v>
          </cell>
        </row>
        <row r="45">
          <cell r="A45" t="str">
            <v>BROWARD COLLEGE</v>
          </cell>
          <cell r="B45">
            <v>223495956</v>
          </cell>
          <cell r="C45">
            <v>72084139</v>
          </cell>
          <cell r="D45">
            <v>295580095</v>
          </cell>
        </row>
        <row r="46">
          <cell r="A46" t="str">
            <v>COLLEGE OF CENTRAL FLORIDA</v>
          </cell>
          <cell r="B46">
            <v>76719338</v>
          </cell>
          <cell r="C46">
            <v>88000525</v>
          </cell>
          <cell r="D46">
            <v>164719863</v>
          </cell>
        </row>
        <row r="47">
          <cell r="A47" t="str">
            <v>CHIPOLA COLLEGE</v>
          </cell>
          <cell r="B47">
            <v>55609134</v>
          </cell>
          <cell r="C47">
            <v>17869007</v>
          </cell>
          <cell r="D47">
            <v>73478141</v>
          </cell>
        </row>
        <row r="48">
          <cell r="A48" t="str">
            <v>DAYTONA STATE COLLEGE</v>
          </cell>
          <cell r="B48">
            <v>169361487</v>
          </cell>
          <cell r="C48">
            <v>24949336</v>
          </cell>
          <cell r="D48">
            <v>194310823</v>
          </cell>
        </row>
        <row r="49">
          <cell r="A49" t="str">
            <v>FLORIDA SOUTHWESTERN STATE COLLEGE</v>
          </cell>
          <cell r="B49">
            <v>150063739</v>
          </cell>
          <cell r="C49">
            <v>48521503</v>
          </cell>
          <cell r="D49">
            <v>198585242</v>
          </cell>
        </row>
        <row r="50">
          <cell r="A50" t="str">
            <v>FLORIDA STATE COLLEGE AT JACKSONVILLE</v>
          </cell>
          <cell r="B50">
            <v>221647629</v>
          </cell>
          <cell r="C50">
            <v>44892849</v>
          </cell>
          <cell r="D50">
            <v>266540478</v>
          </cell>
        </row>
        <row r="51">
          <cell r="A51" t="str">
            <v>FLORIDA KEYS COMMUNITY COLLEGE</v>
          </cell>
          <cell r="B51">
            <v>23753380</v>
          </cell>
          <cell r="C51">
            <v>3111094</v>
          </cell>
          <cell r="D51">
            <v>26864474</v>
          </cell>
        </row>
        <row r="52">
          <cell r="A52" t="str">
            <v>GULF COAST STATE COLLEGE</v>
          </cell>
          <cell r="B52">
            <v>102773968</v>
          </cell>
          <cell r="C52">
            <v>29502532</v>
          </cell>
          <cell r="D52">
            <v>132276500</v>
          </cell>
        </row>
        <row r="53">
          <cell r="A53" t="str">
            <v>HILLSBOROUGH COMMUNITY COLLEGE</v>
          </cell>
          <cell r="B53">
            <v>188340549</v>
          </cell>
          <cell r="C53">
            <v>8604659</v>
          </cell>
          <cell r="D53">
            <v>196945208</v>
          </cell>
        </row>
        <row r="54">
          <cell r="A54" t="str">
            <v>INDIAN RIVER STATE COLLEGE</v>
          </cell>
          <cell r="B54">
            <v>231698539</v>
          </cell>
          <cell r="C54">
            <v>79308807</v>
          </cell>
          <cell r="D54">
            <v>311007346</v>
          </cell>
        </row>
        <row r="55">
          <cell r="A55" t="str">
            <v>FLORIDA GATEWAY COLLEGE</v>
          </cell>
          <cell r="B55">
            <v>35852922.149999999</v>
          </cell>
          <cell r="C55">
            <v>15101795</v>
          </cell>
          <cell r="D55">
            <v>50954717.149999999</v>
          </cell>
        </row>
        <row r="56">
          <cell r="A56" t="str">
            <v>LAKE-SUMTER STATE COLLEGE</v>
          </cell>
          <cell r="B56">
            <v>67530335</v>
          </cell>
          <cell r="C56">
            <v>15843614</v>
          </cell>
          <cell r="D56">
            <v>83373949</v>
          </cell>
        </row>
        <row r="57">
          <cell r="A57" t="str">
            <v>STATE COLLEGE OF FLORIDA, MANATEE-SARASOTA</v>
          </cell>
          <cell r="B57">
            <v>105079913</v>
          </cell>
          <cell r="C57">
            <v>50264185</v>
          </cell>
          <cell r="D57">
            <v>155344098</v>
          </cell>
        </row>
        <row r="58">
          <cell r="A58" t="str">
            <v>MIAMI DADE COLLEGE</v>
          </cell>
          <cell r="B58">
            <v>1367532444</v>
          </cell>
          <cell r="C58">
            <v>119763514</v>
          </cell>
          <cell r="D58">
            <v>1487295958</v>
          </cell>
        </row>
        <row r="59">
          <cell r="A59" t="str">
            <v>NORTH FLORIDA COMMUNITY COLLEGE</v>
          </cell>
          <cell r="B59">
            <v>25159927.030000001</v>
          </cell>
          <cell r="C59">
            <v>3663263</v>
          </cell>
          <cell r="D59">
            <v>28823190.030000001</v>
          </cell>
        </row>
        <row r="60">
          <cell r="A60" t="str">
            <v>NORTHWEST FLORIDA STATE COLLEGE</v>
          </cell>
          <cell r="B60">
            <v>117225915</v>
          </cell>
          <cell r="C60">
            <v>45042572</v>
          </cell>
          <cell r="D60">
            <v>162268487</v>
          </cell>
        </row>
        <row r="61">
          <cell r="A61" t="str">
            <v>PALM BEACH STATE COLLEGE</v>
          </cell>
          <cell r="B61">
            <v>236045296</v>
          </cell>
          <cell r="C61">
            <v>32720136</v>
          </cell>
          <cell r="D61">
            <v>268765432</v>
          </cell>
        </row>
        <row r="62">
          <cell r="A62" t="str">
            <v>PASCO-HERNANDO STATE COLLEGE</v>
          </cell>
          <cell r="B62">
            <v>185782674</v>
          </cell>
          <cell r="C62">
            <v>46018499</v>
          </cell>
          <cell r="D62">
            <v>231801173</v>
          </cell>
        </row>
        <row r="63">
          <cell r="A63" t="str">
            <v>PENSACOLA STATE COLLEGE</v>
          </cell>
          <cell r="B63">
            <v>51698099</v>
          </cell>
          <cell r="C63">
            <v>24598213</v>
          </cell>
          <cell r="D63">
            <v>76296312</v>
          </cell>
        </row>
        <row r="64">
          <cell r="A64" t="str">
            <v>POLK STATE COLLEGE</v>
          </cell>
          <cell r="B64">
            <v>88453429</v>
          </cell>
          <cell r="C64">
            <v>28836565</v>
          </cell>
          <cell r="D64">
            <v>117289994</v>
          </cell>
        </row>
        <row r="65">
          <cell r="A65" t="str">
            <v>ST. JOHNS RIVER STATE COLLEGE</v>
          </cell>
          <cell r="B65">
            <v>52931721</v>
          </cell>
          <cell r="C65">
            <v>4723657</v>
          </cell>
          <cell r="D65">
            <v>57655378</v>
          </cell>
        </row>
        <row r="66">
          <cell r="A66" t="str">
            <v>ST. PETERSBURG COLLEGE</v>
          </cell>
          <cell r="B66">
            <v>234948235</v>
          </cell>
          <cell r="C66">
            <v>58106031</v>
          </cell>
          <cell r="D66">
            <v>293054266</v>
          </cell>
        </row>
        <row r="67">
          <cell r="A67" t="str">
            <v>SANTA FE COLLEGE</v>
          </cell>
          <cell r="B67">
            <v>111804200</v>
          </cell>
          <cell r="C67">
            <v>44559891</v>
          </cell>
          <cell r="D67">
            <v>156364091</v>
          </cell>
        </row>
        <row r="68">
          <cell r="A68" t="str">
            <v>SEMINOLE STATE COLLEGE OF FLORIDA</v>
          </cell>
          <cell r="B68">
            <v>190282287</v>
          </cell>
          <cell r="C68">
            <v>24644626</v>
          </cell>
          <cell r="D68">
            <v>214926913</v>
          </cell>
        </row>
        <row r="69">
          <cell r="A69" t="str">
            <v>SOUTH FLORIDA STATE COLLEGE</v>
          </cell>
          <cell r="B69">
            <v>57063934</v>
          </cell>
          <cell r="C69">
            <v>12063405</v>
          </cell>
          <cell r="D69">
            <v>69127339</v>
          </cell>
        </row>
        <row r="70">
          <cell r="A70" t="str">
            <v>TALLAHASSEE COMMUNITY COLLEGE</v>
          </cell>
          <cell r="B70">
            <v>108397577</v>
          </cell>
          <cell r="C70">
            <v>14382617</v>
          </cell>
          <cell r="D70">
            <v>122780194</v>
          </cell>
        </row>
        <row r="71">
          <cell r="A71" t="str">
            <v>VALENCIA COLLEGE</v>
          </cell>
          <cell r="B71">
            <v>276058506</v>
          </cell>
          <cell r="C71">
            <v>80394551</v>
          </cell>
          <cell r="D71">
            <v>356453057</v>
          </cell>
        </row>
      </sheetData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228411541</v>
          </cell>
          <cell r="O120">
            <v>74103565</v>
          </cell>
          <cell r="P120">
            <v>302515106</v>
          </cell>
        </row>
      </sheetData>
      <sheetData sheetId="6">
        <row r="11">
          <cell r="F11">
            <v>54941029.670000002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VLOOKUPS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86827400</v>
          </cell>
          <cell r="O120">
            <v>95935107</v>
          </cell>
          <cell r="P120">
            <v>182762507</v>
          </cell>
        </row>
      </sheetData>
      <sheetData sheetId="6">
        <row r="11">
          <cell r="F11">
            <v>8016578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58015060</v>
          </cell>
          <cell r="O120">
            <v>19268914</v>
          </cell>
          <cell r="P120">
            <v>77283974</v>
          </cell>
        </row>
      </sheetData>
      <sheetData sheetId="6">
        <row r="11">
          <cell r="F11">
            <v>1152596.73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4">
          <cell r="A44" t="str">
            <v>EASTERN FLORIDA STATE COLLEGE</v>
          </cell>
          <cell r="B44">
            <v>123127103</v>
          </cell>
          <cell r="C44">
            <v>19881625</v>
          </cell>
          <cell r="D44">
            <v>143008728</v>
          </cell>
        </row>
        <row r="45">
          <cell r="A45" t="str">
            <v>BROWARD COLLEGE</v>
          </cell>
          <cell r="B45">
            <v>223495956</v>
          </cell>
          <cell r="C45">
            <v>72084139</v>
          </cell>
          <cell r="D45">
            <v>295580095</v>
          </cell>
        </row>
        <row r="46">
          <cell r="A46" t="str">
            <v>COLLEGE OF CENTRAL FLORIDA</v>
          </cell>
          <cell r="B46">
            <v>76719338</v>
          </cell>
          <cell r="C46">
            <v>88000525</v>
          </cell>
          <cell r="D46">
            <v>164719863</v>
          </cell>
        </row>
        <row r="47">
          <cell r="A47" t="str">
            <v>CHIPOLA COLLEGE</v>
          </cell>
          <cell r="B47">
            <v>55609134</v>
          </cell>
          <cell r="C47">
            <v>17869007</v>
          </cell>
          <cell r="D47">
            <v>73478141</v>
          </cell>
        </row>
        <row r="48">
          <cell r="A48" t="str">
            <v>DAYTONA STATE COLLEGE</v>
          </cell>
          <cell r="B48">
            <v>169361487</v>
          </cell>
          <cell r="C48">
            <v>24949336</v>
          </cell>
          <cell r="D48">
            <v>194310823</v>
          </cell>
        </row>
        <row r="49">
          <cell r="A49" t="str">
            <v>FLORIDA SOUTHWESTERN STATE COLLEGE</v>
          </cell>
          <cell r="B49">
            <v>150063739</v>
          </cell>
          <cell r="C49">
            <v>48521503</v>
          </cell>
          <cell r="D49">
            <v>198585242</v>
          </cell>
        </row>
        <row r="50">
          <cell r="A50" t="str">
            <v>FLORIDA STATE COLLEGE AT JACKSONVILLE</v>
          </cell>
          <cell r="B50">
            <v>221647629</v>
          </cell>
          <cell r="C50">
            <v>44892849</v>
          </cell>
          <cell r="D50">
            <v>266540478</v>
          </cell>
        </row>
        <row r="51">
          <cell r="A51" t="str">
            <v>FLORIDA KEYS COMMUNITY COLLEGE</v>
          </cell>
          <cell r="B51">
            <v>23753380</v>
          </cell>
          <cell r="C51">
            <v>3111094</v>
          </cell>
          <cell r="D51">
            <v>26864474</v>
          </cell>
        </row>
        <row r="52">
          <cell r="A52" t="str">
            <v>GULF COAST STATE COLLEGE</v>
          </cell>
          <cell r="B52">
            <v>102773968</v>
          </cell>
          <cell r="C52">
            <v>29502532</v>
          </cell>
          <cell r="D52">
            <v>132276500</v>
          </cell>
        </row>
        <row r="53">
          <cell r="A53" t="str">
            <v>HILLSBOROUGH COMMUNITY COLLEGE</v>
          </cell>
          <cell r="B53">
            <v>188340549</v>
          </cell>
          <cell r="C53">
            <v>8604659</v>
          </cell>
          <cell r="D53">
            <v>196945208</v>
          </cell>
        </row>
        <row r="54">
          <cell r="A54" t="str">
            <v>INDIAN RIVER STATE COLLEGE</v>
          </cell>
          <cell r="B54">
            <v>231698539</v>
          </cell>
          <cell r="C54">
            <v>79308807</v>
          </cell>
          <cell r="D54">
            <v>311007346</v>
          </cell>
        </row>
        <row r="55">
          <cell r="A55" t="str">
            <v>FLORIDA GATEWAY COLLEGE</v>
          </cell>
          <cell r="B55">
            <v>35852922.149999999</v>
          </cell>
          <cell r="C55">
            <v>15101795</v>
          </cell>
          <cell r="D55">
            <v>50954717.149999999</v>
          </cell>
        </row>
        <row r="56">
          <cell r="A56" t="str">
            <v>LAKE-SUMTER STATE COLLEGE</v>
          </cell>
          <cell r="B56">
            <v>67530335</v>
          </cell>
          <cell r="C56">
            <v>15843614</v>
          </cell>
          <cell r="D56">
            <v>83373949</v>
          </cell>
        </row>
        <row r="57">
          <cell r="A57" t="str">
            <v>STATE COLLEGE OF FLORIDA, MANATEE-SARASOTA</v>
          </cell>
          <cell r="B57">
            <v>105079913</v>
          </cell>
          <cell r="C57">
            <v>50264185</v>
          </cell>
          <cell r="D57">
            <v>155344098</v>
          </cell>
        </row>
        <row r="58">
          <cell r="A58" t="str">
            <v>MIAMI DADE COLLEGE</v>
          </cell>
          <cell r="B58">
            <v>1367532444</v>
          </cell>
          <cell r="C58">
            <v>119763514</v>
          </cell>
          <cell r="D58">
            <v>1487295958</v>
          </cell>
        </row>
        <row r="59">
          <cell r="A59" t="str">
            <v>NORTH FLORIDA COMMUNITY COLLEGE</v>
          </cell>
          <cell r="B59">
            <v>25159927.030000001</v>
          </cell>
          <cell r="C59">
            <v>3663263</v>
          </cell>
          <cell r="D59">
            <v>28823190.030000001</v>
          </cell>
        </row>
        <row r="60">
          <cell r="A60" t="str">
            <v>NORTHWEST FLORIDA STATE COLLEGE</v>
          </cell>
          <cell r="B60">
            <v>117225915</v>
          </cell>
          <cell r="C60">
            <v>45042572</v>
          </cell>
          <cell r="D60">
            <v>162268487</v>
          </cell>
        </row>
        <row r="61">
          <cell r="A61" t="str">
            <v>PALM BEACH STATE COLLEGE</v>
          </cell>
          <cell r="B61">
            <v>236045296</v>
          </cell>
          <cell r="C61">
            <v>32720136</v>
          </cell>
          <cell r="D61">
            <v>268765432</v>
          </cell>
        </row>
        <row r="62">
          <cell r="A62" t="str">
            <v>PASCO-HERNANDO STATE COLLEGE</v>
          </cell>
          <cell r="B62">
            <v>185782674</v>
          </cell>
          <cell r="C62">
            <v>46018499</v>
          </cell>
          <cell r="D62">
            <v>231801173</v>
          </cell>
        </row>
        <row r="63">
          <cell r="A63" t="str">
            <v>PENSACOLA STATE COLLEGE</v>
          </cell>
          <cell r="B63">
            <v>51698099</v>
          </cell>
          <cell r="C63">
            <v>24598213</v>
          </cell>
          <cell r="D63">
            <v>76296312</v>
          </cell>
        </row>
        <row r="64">
          <cell r="A64" t="str">
            <v>POLK STATE COLLEGE</v>
          </cell>
          <cell r="B64">
            <v>88453429</v>
          </cell>
          <cell r="C64">
            <v>28836565</v>
          </cell>
          <cell r="D64">
            <v>117289994</v>
          </cell>
        </row>
        <row r="65">
          <cell r="A65" t="str">
            <v>ST. JOHNS RIVER STATE COLLEGE</v>
          </cell>
          <cell r="B65">
            <v>52931721</v>
          </cell>
          <cell r="C65">
            <v>4723657</v>
          </cell>
          <cell r="D65">
            <v>57655378</v>
          </cell>
        </row>
        <row r="66">
          <cell r="A66" t="str">
            <v>ST. PETERSBURG COLLEGE</v>
          </cell>
          <cell r="B66">
            <v>234948235</v>
          </cell>
          <cell r="C66">
            <v>58106031</v>
          </cell>
          <cell r="D66">
            <v>293054266</v>
          </cell>
        </row>
        <row r="67">
          <cell r="A67" t="str">
            <v>SANTA FE COLLEGE</v>
          </cell>
          <cell r="B67">
            <v>111804200</v>
          </cell>
          <cell r="C67">
            <v>44559891</v>
          </cell>
          <cell r="D67">
            <v>156364091</v>
          </cell>
        </row>
        <row r="68">
          <cell r="A68" t="str">
            <v>SEMINOLE STATE COLLEGE OF FLORIDA</v>
          </cell>
          <cell r="B68">
            <v>190282287</v>
          </cell>
          <cell r="C68">
            <v>24644626</v>
          </cell>
          <cell r="D68">
            <v>214926913</v>
          </cell>
        </row>
        <row r="69">
          <cell r="A69" t="str">
            <v>SOUTH FLORIDA STATE COLLEGE</v>
          </cell>
          <cell r="B69">
            <v>57063934</v>
          </cell>
          <cell r="C69">
            <v>12063405</v>
          </cell>
          <cell r="D69">
            <v>69127339</v>
          </cell>
        </row>
        <row r="70">
          <cell r="A70" t="str">
            <v>TALLAHASSEE COMMUNITY COLLEGE</v>
          </cell>
          <cell r="B70">
            <v>108397577</v>
          </cell>
          <cell r="C70">
            <v>14382617</v>
          </cell>
          <cell r="D70">
            <v>122780194</v>
          </cell>
        </row>
        <row r="71">
          <cell r="A71" t="str">
            <v>VALENCIA COLLEGE</v>
          </cell>
          <cell r="B71">
            <v>276058506</v>
          </cell>
          <cell r="C71">
            <v>80394551</v>
          </cell>
          <cell r="D71">
            <v>356453057</v>
          </cell>
        </row>
      </sheetData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186605106</v>
          </cell>
          <cell r="O120">
            <v>26078878</v>
          </cell>
          <cell r="P120">
            <v>212683984</v>
          </cell>
        </row>
      </sheetData>
      <sheetData sheetId="6">
        <row r="11">
          <cell r="F11">
            <v>13919260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4">
          <cell r="A44" t="str">
            <v>EASTERN FLORIDA STATE COLLEGE</v>
          </cell>
          <cell r="B44">
            <v>123127103</v>
          </cell>
          <cell r="C44">
            <v>19881625</v>
          </cell>
          <cell r="D44">
            <v>143008728</v>
          </cell>
        </row>
        <row r="45">
          <cell r="A45" t="str">
            <v>BROWARD COLLEGE</v>
          </cell>
          <cell r="B45">
            <v>223495956</v>
          </cell>
          <cell r="C45">
            <v>72084139</v>
          </cell>
          <cell r="D45">
            <v>295580095</v>
          </cell>
        </row>
        <row r="46">
          <cell r="A46" t="str">
            <v>COLLEGE OF CENTRAL FLORIDA</v>
          </cell>
          <cell r="B46">
            <v>76719338</v>
          </cell>
          <cell r="C46">
            <v>88000525</v>
          </cell>
          <cell r="D46">
            <v>164719863</v>
          </cell>
        </row>
        <row r="47">
          <cell r="A47" t="str">
            <v>CHIPOLA COLLEGE</v>
          </cell>
          <cell r="B47">
            <v>55609134</v>
          </cell>
          <cell r="C47">
            <v>17869007</v>
          </cell>
          <cell r="D47">
            <v>73478141</v>
          </cell>
        </row>
        <row r="48">
          <cell r="A48" t="str">
            <v>DAYTONA STATE COLLEGE</v>
          </cell>
          <cell r="B48">
            <v>169361487</v>
          </cell>
          <cell r="C48">
            <v>24949336</v>
          </cell>
          <cell r="D48">
            <v>194310823</v>
          </cell>
        </row>
        <row r="49">
          <cell r="A49" t="str">
            <v>FLORIDA SOUTHWESTERN STATE COLLEGE</v>
          </cell>
          <cell r="B49">
            <v>150063739</v>
          </cell>
          <cell r="C49">
            <v>48521503</v>
          </cell>
          <cell r="D49">
            <v>198585242</v>
          </cell>
        </row>
        <row r="50">
          <cell r="A50" t="str">
            <v>FLORIDA STATE COLLEGE AT JACKSONVILLE</v>
          </cell>
          <cell r="B50">
            <v>221647629</v>
          </cell>
          <cell r="C50">
            <v>44892849</v>
          </cell>
          <cell r="D50">
            <v>266540478</v>
          </cell>
        </row>
        <row r="51">
          <cell r="A51" t="str">
            <v>FLORIDA KEYS COMMUNITY COLLEGE</v>
          </cell>
          <cell r="B51">
            <v>23753380</v>
          </cell>
          <cell r="C51">
            <v>3111094</v>
          </cell>
          <cell r="D51">
            <v>26864474</v>
          </cell>
        </row>
        <row r="52">
          <cell r="A52" t="str">
            <v>GULF COAST STATE COLLEGE</v>
          </cell>
          <cell r="B52">
            <v>102773968</v>
          </cell>
          <cell r="C52">
            <v>29502532</v>
          </cell>
          <cell r="D52">
            <v>132276500</v>
          </cell>
        </row>
        <row r="53">
          <cell r="A53" t="str">
            <v>HILLSBOROUGH COMMUNITY COLLEGE</v>
          </cell>
          <cell r="B53">
            <v>188340549</v>
          </cell>
          <cell r="C53">
            <v>8604659</v>
          </cell>
          <cell r="D53">
            <v>196945208</v>
          </cell>
        </row>
        <row r="54">
          <cell r="A54" t="str">
            <v>INDIAN RIVER STATE COLLEGE</v>
          </cell>
          <cell r="B54">
            <v>231698539</v>
          </cell>
          <cell r="C54">
            <v>79308807</v>
          </cell>
          <cell r="D54">
            <v>311007346</v>
          </cell>
        </row>
        <row r="55">
          <cell r="A55" t="str">
            <v>FLORIDA GATEWAY COLLEGE</v>
          </cell>
          <cell r="B55">
            <v>35852922.149999999</v>
          </cell>
          <cell r="C55">
            <v>15101795</v>
          </cell>
          <cell r="D55">
            <v>50954717.149999999</v>
          </cell>
        </row>
        <row r="56">
          <cell r="A56" t="str">
            <v>LAKE-SUMTER STATE COLLEGE</v>
          </cell>
          <cell r="B56">
            <v>67530335</v>
          </cell>
          <cell r="C56">
            <v>15843614</v>
          </cell>
          <cell r="D56">
            <v>83373949</v>
          </cell>
        </row>
        <row r="57">
          <cell r="A57" t="str">
            <v>STATE COLLEGE OF FLORIDA, MANATEE-SARASOTA</v>
          </cell>
          <cell r="B57">
            <v>105079913</v>
          </cell>
          <cell r="C57">
            <v>50264185</v>
          </cell>
          <cell r="D57">
            <v>155344098</v>
          </cell>
        </row>
        <row r="58">
          <cell r="A58" t="str">
            <v>MIAMI DADE COLLEGE</v>
          </cell>
          <cell r="B58">
            <v>1367532444</v>
          </cell>
          <cell r="C58">
            <v>119763514</v>
          </cell>
          <cell r="D58">
            <v>1487295958</v>
          </cell>
        </row>
        <row r="59">
          <cell r="A59" t="str">
            <v>NORTH FLORIDA COMMUNITY COLLEGE</v>
          </cell>
          <cell r="B59">
            <v>25159927.030000001</v>
          </cell>
          <cell r="C59">
            <v>3663263</v>
          </cell>
          <cell r="D59">
            <v>28823190.030000001</v>
          </cell>
        </row>
        <row r="60">
          <cell r="A60" t="str">
            <v>NORTHWEST FLORIDA STATE COLLEGE</v>
          </cell>
          <cell r="B60">
            <v>117225915</v>
          </cell>
          <cell r="C60">
            <v>45042572</v>
          </cell>
          <cell r="D60">
            <v>162268487</v>
          </cell>
        </row>
        <row r="61">
          <cell r="A61" t="str">
            <v>PALM BEACH STATE COLLEGE</v>
          </cell>
          <cell r="B61">
            <v>236045296</v>
          </cell>
          <cell r="C61">
            <v>32720136</v>
          </cell>
          <cell r="D61">
            <v>268765432</v>
          </cell>
        </row>
        <row r="62">
          <cell r="A62" t="str">
            <v>PASCO-HERNANDO STATE COLLEGE</v>
          </cell>
          <cell r="B62">
            <v>185782674</v>
          </cell>
          <cell r="C62">
            <v>46018499</v>
          </cell>
          <cell r="D62">
            <v>231801173</v>
          </cell>
        </row>
        <row r="63">
          <cell r="A63" t="str">
            <v>PENSACOLA STATE COLLEGE</v>
          </cell>
          <cell r="B63">
            <v>51698099</v>
          </cell>
          <cell r="C63">
            <v>24598213</v>
          </cell>
          <cell r="D63">
            <v>76296312</v>
          </cell>
        </row>
        <row r="64">
          <cell r="A64" t="str">
            <v>POLK STATE COLLEGE</v>
          </cell>
          <cell r="B64">
            <v>88453429</v>
          </cell>
          <cell r="C64">
            <v>28836565</v>
          </cell>
          <cell r="D64">
            <v>117289994</v>
          </cell>
        </row>
        <row r="65">
          <cell r="A65" t="str">
            <v>ST. JOHNS RIVER STATE COLLEGE</v>
          </cell>
          <cell r="B65">
            <v>52931721</v>
          </cell>
          <cell r="C65">
            <v>4723657</v>
          </cell>
          <cell r="D65">
            <v>57655378</v>
          </cell>
        </row>
        <row r="66">
          <cell r="A66" t="str">
            <v>ST. PETERSBURG COLLEGE</v>
          </cell>
          <cell r="B66">
            <v>234948235</v>
          </cell>
          <cell r="C66">
            <v>58106031</v>
          </cell>
          <cell r="D66">
            <v>293054266</v>
          </cell>
        </row>
        <row r="67">
          <cell r="A67" t="str">
            <v>SANTA FE COLLEGE</v>
          </cell>
          <cell r="B67">
            <v>111804200</v>
          </cell>
          <cell r="C67">
            <v>44559891</v>
          </cell>
          <cell r="D67">
            <v>156364091</v>
          </cell>
        </row>
        <row r="68">
          <cell r="A68" t="str">
            <v>SEMINOLE STATE COLLEGE OF FLORIDA</v>
          </cell>
          <cell r="B68">
            <v>190282287</v>
          </cell>
          <cell r="C68">
            <v>24644626</v>
          </cell>
          <cell r="D68">
            <v>214926913</v>
          </cell>
        </row>
        <row r="69">
          <cell r="A69" t="str">
            <v>SOUTH FLORIDA STATE COLLEGE</v>
          </cell>
          <cell r="B69">
            <v>57063934</v>
          </cell>
          <cell r="C69">
            <v>12063405</v>
          </cell>
          <cell r="D69">
            <v>69127339</v>
          </cell>
        </row>
        <row r="70">
          <cell r="A70" t="str">
            <v>TALLAHASSEE COMMUNITY COLLEGE</v>
          </cell>
          <cell r="B70">
            <v>108397577</v>
          </cell>
          <cell r="C70">
            <v>14382617</v>
          </cell>
          <cell r="D70">
            <v>122780194</v>
          </cell>
        </row>
        <row r="71">
          <cell r="A71" t="str">
            <v>VALENCIA COLLEGE</v>
          </cell>
          <cell r="B71">
            <v>276058506</v>
          </cell>
          <cell r="C71">
            <v>80394551</v>
          </cell>
          <cell r="D71">
            <v>356453057</v>
          </cell>
        </row>
      </sheetData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2017.v04</v>
          </cell>
        </row>
      </sheetData>
      <sheetData sheetId="3"/>
      <sheetData sheetId="4">
        <row r="179">
          <cell r="B179" t="str">
            <v>Tuition-Advanced &amp; Professional - Baccalaureate</v>
          </cell>
        </row>
      </sheetData>
      <sheetData sheetId="5">
        <row r="9">
          <cell r="O9" t="str">
            <v>Unit</v>
          </cell>
        </row>
        <row r="120">
          <cell r="M120">
            <v>147413333</v>
          </cell>
          <cell r="O120">
            <v>45537519</v>
          </cell>
          <cell r="P120">
            <v>192950851</v>
          </cell>
        </row>
      </sheetData>
      <sheetData sheetId="6">
        <row r="11">
          <cell r="F11">
            <v>19921377.239999998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600" units="cm"/>
          <inkml:channel name="Y" type="integer" max="1080" units="cm"/>
        </inkml:traceFormat>
        <inkml:channelProperties>
          <inkml:channelProperty channel="X" name="resolution" value="53.17577" units="1/cm"/>
          <inkml:channelProperty channel="Y" name="resolution" value="28.34646" units="1/cm"/>
        </inkml:channelProperties>
      </inkml:inkSource>
      <inkml:timestamp xml:id="ts0" timeString="2014-12-19T20:10:11.378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C8184327-427C-43D6-B8D3-CBBB6E51CB1A}" emma:medium="tactile" emma:mode="ink">
          <msink:context xmlns:msink="http://schemas.microsoft.com/ink/2010/main" type="writingRegion" rotatedBoundingBox="48683,28428 48698,28428 48698,28443 48683,28443"/>
        </emma:interpretation>
      </emma:emma>
    </inkml:annotationXML>
    <inkml:traceGroup>
      <inkml:annotationXML>
        <emma:emma xmlns:emma="http://www.w3.org/2003/04/emma" version="1.0">
          <emma:interpretation id="{A21EADEE-5832-48E2-944E-C8EDC9502DE9}" emma:medium="tactile" emma:mode="ink">
            <msink:context xmlns:msink="http://schemas.microsoft.com/ink/2010/main" type="paragraph" rotatedBoundingBox="48683,28428 48698,28428 48698,28443 48683,2844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5B4B47A6-D6DD-44B1-916A-0DC142C882D2}" emma:medium="tactile" emma:mode="ink">
              <msink:context xmlns:msink="http://schemas.microsoft.com/ink/2010/main" type="line" rotatedBoundingBox="48683,28428 48698,28428 48698,28443 48683,28443"/>
            </emma:interpretation>
          </emma:emma>
        </inkml:annotationXML>
        <inkml:traceGroup>
          <inkml:annotationXML>
            <emma:emma xmlns:emma="http://www.w3.org/2003/04/emma" version="1.0">
              <emma:interpretation id="{8342FDDF-0B2D-4630-9632-6C55CACBFADD}" emma:medium="tactile" emma:mode="ink">
                <msink:context xmlns:msink="http://schemas.microsoft.com/ink/2010/main" type="inkWord" rotatedBoundingBox="48683,28428 48698,28428 48698,28443 48683,28443"/>
              </emma:interpretation>
              <emma:one-of disjunction-type="recognition" id="oneOf0">
                <emma:interpretation id="interp0" emma:lang="en-US" emma:confidence="0">
                  <emma:literal>.</emma:literal>
                </emma:interpretation>
                <emma:interpretation id="interp1" emma:lang="en-US" emma:confidence="0">
                  <emma:literal>v</emma:literal>
                </emma:interpretation>
                <emma:interpretation id="interp2" emma:lang="en-US" emma:confidence="0">
                  <emma:literal>}</emma:literal>
                </emma:interpretation>
                <emma:interpretation id="interp3" emma:lang="en-US" emma:confidence="0">
                  <emma:literal>w</emma:literal>
                </emma:interpretation>
                <emma:interpretation id="interp4" emma:lang="en-US" emma:confidence="0">
                  <emma:literal>3</emma:literal>
                </emma:interpretation>
              </emma:one-of>
            </emma:emma>
          </inkml:annotationXML>
          <inkml:trace contextRef="#ctx0" brushRef="#br0">0 0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600" units="cm"/>
          <inkml:channel name="Y" type="integer" max="1080" units="cm"/>
        </inkml:traceFormat>
        <inkml:channelProperties>
          <inkml:channelProperty channel="X" name="resolution" value="53.17577" units="1/cm"/>
          <inkml:channelProperty channel="Y" name="resolution" value="28.34646" units="1/cm"/>
        </inkml:channelProperties>
      </inkml:inkSource>
      <inkml:timestamp xml:id="ts0" timeString="2014-12-19T20:10:13.157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D338332E-62C2-4C5B-B6B7-637E37C1A92E}" emma:medium="tactile" emma:mode="ink">
          <msink:context xmlns:msink="http://schemas.microsoft.com/ink/2010/main" type="writingRegion" rotatedBoundingBox="33132,24430 50168,24430 50168,26003 33132,26003"/>
        </emma:interpretation>
      </emma:emma>
    </inkml:annotationXML>
    <inkml:traceGroup>
      <inkml:annotationXML>
        <emma:emma xmlns:emma="http://www.w3.org/2003/04/emma" version="1.0">
          <emma:interpretation id="{F6A808C5-14EE-49AE-A7B8-C5C607BAD792}" emma:medium="tactile" emma:mode="ink">
            <msink:context xmlns:msink="http://schemas.microsoft.com/ink/2010/main" type="paragraph" rotatedBoundingBox="33132,24430 50168,24430 50168,26003 33132,2600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33883383-BB20-4A2E-A1E5-892B14BDA695}" emma:medium="tactile" emma:mode="ink">
              <msink:context xmlns:msink="http://schemas.microsoft.com/ink/2010/main" type="line" rotatedBoundingBox="33132,24430 50168,24430 50168,26003 33132,26003"/>
            </emma:interpretation>
          </emma:emma>
        </inkml:annotationXML>
        <inkml:traceGroup>
          <inkml:annotationXML>
            <emma:emma xmlns:emma="http://www.w3.org/2003/04/emma" version="1.0">
              <emma:interpretation id="{983230C3-1716-4B67-96EA-6110A0F15AF6}" emma:medium="tactile" emma:mode="ink">
                <msink:context xmlns:msink="http://schemas.microsoft.com/ink/2010/main" type="inkWord" rotatedBoundingBox="50153,25988 50168,25988 50168,26003 50153,26003"/>
              </emma:interpretation>
              <emma:one-of disjunction-type="recognition" id="oneOf0">
                <emma:interpretation id="interp0" emma:lang="en-US" emma:confidence="0">
                  <emma:literal>...</emma:literal>
                </emma:interpretation>
                <emma:interpretation id="interp1" emma:lang="en-US" emma:confidence="0">
                  <emma:literal>:</emma:literal>
                </emma:interpretation>
                <emma:interpretation id="interp2" emma:lang="en-US" emma:confidence="0">
                  <emma:literal>7.</emma:literal>
                </emma:interpretation>
                <emma:interpretation id="interp3" emma:lang="en-US" emma:confidence="0">
                  <emma:literal>..</emma:literal>
                </emma:interpretation>
                <emma:interpretation id="interp4" emma:lang="en-US" emma:confidence="0">
                  <emma:literal>Z.</emma:literal>
                </emma:interpretation>
              </emma:one-of>
            </emma:emma>
          </inkml:annotationXML>
          <inkml:trace contextRef="#ctx0" brushRef="#br0">6085 1558</inkml:trace>
          <inkml:trace contextRef="#ctx0" brushRef="#br0" timeOffset="-171.6011">6085 1558</inkml:trace>
          <inkml:trace contextRef="#ctx0" brushRef="#br0" timeOffset="-904.8057">0 0</inkml:trace>
        </inkml:traceGroup>
      </inkml:traceGroup>
    </inkml:traceGroup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A171"/>
  <sheetViews>
    <sheetView showGridLines="0" topLeftCell="C91" zoomScale="90" zoomScaleNormal="90" workbookViewId="0">
      <selection activeCell="K127" sqref="K127"/>
    </sheetView>
  </sheetViews>
  <sheetFormatPr defaultColWidth="11.140625" defaultRowHeight="12.75"/>
  <cols>
    <col min="1" max="1" width="8" style="1" hidden="1" customWidth="1"/>
    <col min="2" max="2" width="7.42578125" style="20" hidden="1" customWidth="1"/>
    <col min="3" max="3" width="10" style="20" customWidth="1"/>
    <col min="4" max="5" width="2" style="6" customWidth="1"/>
    <col min="6" max="9" width="11.140625" style="6"/>
    <col min="10" max="10" width="25.85546875" style="37" customWidth="1"/>
    <col min="11" max="11" width="16.140625" style="37" bestFit="1" customWidth="1"/>
    <col min="12" max="12" width="14" style="37" bestFit="1" customWidth="1"/>
    <col min="13" max="13" width="20.28515625" style="6" customWidth="1"/>
    <col min="14" max="14" width="0.85546875" style="6" customWidth="1"/>
    <col min="15" max="15" width="16" style="6" customWidth="1"/>
    <col min="16" max="16" width="17.85546875" style="6" customWidth="1"/>
    <col min="17" max="17" width="9" style="6" bestFit="1" customWidth="1"/>
    <col min="18" max="18" width="1.28515625" style="6" customWidth="1"/>
    <col min="19" max="19" width="20" style="6" hidden="1" customWidth="1"/>
    <col min="20" max="20" width="1.42578125" style="10" hidden="1" customWidth="1"/>
    <col min="21" max="21" width="16" style="164" hidden="1" customWidth="1"/>
    <col min="22" max="22" width="11" style="164" hidden="1" customWidth="1"/>
    <col min="23" max="23" width="16" style="164" hidden="1" customWidth="1"/>
    <col min="24" max="24" width="8.7109375" style="164" hidden="1" customWidth="1"/>
    <col min="25" max="25" width="18.42578125" style="227" bestFit="1" customWidth="1"/>
    <col min="26" max="16384" width="11.140625" style="6"/>
  </cols>
  <sheetData>
    <row r="1" spans="1:27" ht="28.5" customHeight="1" thickTop="1" thickBot="1">
      <c r="A1" s="134"/>
      <c r="B1" s="135"/>
      <c r="C1" s="358" t="s">
        <v>130</v>
      </c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136"/>
      <c r="S1" s="137"/>
      <c r="T1" s="138"/>
      <c r="U1" s="138"/>
      <c r="V1" s="138"/>
      <c r="W1" s="138"/>
      <c r="X1" s="138"/>
      <c r="Y1" s="137"/>
    </row>
    <row r="2" spans="1:27" ht="15.75" customHeight="1" thickTop="1">
      <c r="C2" s="53"/>
      <c r="D2" s="35"/>
      <c r="E2" s="35"/>
      <c r="F2" s="35"/>
      <c r="G2" s="35"/>
      <c r="H2" s="35"/>
      <c r="I2" s="35"/>
      <c r="J2" s="87"/>
      <c r="K2" s="87"/>
      <c r="L2" s="87"/>
      <c r="M2" s="35"/>
      <c r="N2" s="35"/>
      <c r="O2" s="139" t="s">
        <v>2</v>
      </c>
      <c r="P2" s="35"/>
      <c r="Q2" s="140" t="s">
        <v>301</v>
      </c>
      <c r="R2" s="37"/>
      <c r="U2" s="359" t="s">
        <v>3</v>
      </c>
      <c r="V2" s="359"/>
      <c r="W2" s="359"/>
      <c r="X2" s="359"/>
      <c r="Y2" s="137"/>
    </row>
    <row r="3" spans="1:27" ht="15" customHeight="1">
      <c r="B3" s="2"/>
      <c r="C3" s="142"/>
      <c r="D3" s="360" t="s">
        <v>131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229"/>
      <c r="Q3" s="229"/>
      <c r="R3" s="143"/>
      <c r="U3" s="359"/>
      <c r="V3" s="359"/>
      <c r="W3" s="359"/>
      <c r="X3" s="359"/>
      <c r="Y3" s="137"/>
      <c r="AA3" s="144"/>
    </row>
    <row r="4" spans="1:27" ht="12.75" customHeight="1">
      <c r="B4" s="2"/>
      <c r="C4" s="142"/>
      <c r="D4" s="360" t="s">
        <v>0</v>
      </c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229"/>
      <c r="Q4" s="229"/>
      <c r="R4" s="143"/>
      <c r="S4" s="141"/>
      <c r="U4" s="359"/>
      <c r="V4" s="359"/>
      <c r="W4" s="359"/>
      <c r="X4" s="359"/>
      <c r="Y4" s="137"/>
    </row>
    <row r="5" spans="1:27" ht="12.75" customHeight="1">
      <c r="B5" s="2"/>
      <c r="C5" s="142"/>
      <c r="D5" s="361" t="s">
        <v>132</v>
      </c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230"/>
      <c r="Q5" s="230"/>
      <c r="R5" s="145"/>
      <c r="S5" s="141"/>
      <c r="U5" s="359"/>
      <c r="V5" s="359"/>
      <c r="W5" s="359"/>
      <c r="X5" s="359"/>
      <c r="Y5" s="137"/>
    </row>
    <row r="6" spans="1:27" ht="12.75" customHeight="1">
      <c r="B6" s="2"/>
      <c r="C6" s="142"/>
      <c r="D6" s="362">
        <v>42916</v>
      </c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231"/>
      <c r="Q6" s="231"/>
      <c r="R6" s="146"/>
      <c r="U6" s="359"/>
      <c r="V6" s="359"/>
      <c r="W6" s="359"/>
      <c r="X6" s="359"/>
      <c r="Y6" s="234"/>
    </row>
    <row r="7" spans="1:27" s="64" customFormat="1" ht="7.5" customHeight="1">
      <c r="A7" s="12"/>
      <c r="B7" s="13"/>
      <c r="C7" s="71"/>
      <c r="D7" s="36"/>
      <c r="E7" s="36"/>
      <c r="F7" s="36"/>
      <c r="G7" s="36"/>
      <c r="H7" s="36"/>
      <c r="I7" s="36"/>
      <c r="J7" s="59"/>
      <c r="K7" s="59"/>
      <c r="L7" s="59"/>
      <c r="M7" s="59"/>
      <c r="N7" s="59"/>
      <c r="O7" s="60"/>
      <c r="P7" s="60"/>
      <c r="Q7" s="60"/>
      <c r="R7" s="61"/>
      <c r="S7" s="147"/>
      <c r="U7" s="359"/>
      <c r="V7" s="359"/>
      <c r="W7" s="359"/>
      <c r="X7" s="359"/>
      <c r="Y7" s="234"/>
    </row>
    <row r="8" spans="1:27">
      <c r="C8" s="53"/>
      <c r="D8" s="14"/>
      <c r="E8" s="14"/>
      <c r="F8" s="14"/>
      <c r="G8" s="14"/>
      <c r="H8" s="14"/>
      <c r="I8" s="14"/>
      <c r="J8" s="15"/>
      <c r="K8" s="148" t="s">
        <v>4</v>
      </c>
      <c r="L8" s="148"/>
      <c r="M8" s="148" t="s">
        <v>4</v>
      </c>
      <c r="N8" s="149"/>
      <c r="O8" s="148" t="s">
        <v>5</v>
      </c>
      <c r="P8" s="148" t="s">
        <v>6</v>
      </c>
      <c r="Q8" s="148"/>
      <c r="R8" s="150"/>
      <c r="U8" s="359"/>
      <c r="V8" s="359"/>
      <c r="W8" s="359"/>
      <c r="X8" s="359"/>
      <c r="Y8" s="234"/>
    </row>
    <row r="9" spans="1:27" ht="15" customHeight="1">
      <c r="C9" s="53"/>
      <c r="D9" s="14"/>
      <c r="E9" s="14"/>
      <c r="F9" s="14"/>
      <c r="G9" s="14"/>
      <c r="H9" s="14"/>
      <c r="I9" s="14"/>
      <c r="J9" s="15"/>
      <c r="K9" s="235" t="s">
        <v>303</v>
      </c>
      <c r="L9" s="26" t="s">
        <v>304</v>
      </c>
      <c r="M9" s="151"/>
      <c r="N9" s="149"/>
      <c r="O9" s="26" t="s">
        <v>133</v>
      </c>
      <c r="P9" s="26"/>
      <c r="Q9" s="152"/>
      <c r="R9" s="27"/>
      <c r="S9" s="28" t="s">
        <v>7</v>
      </c>
      <c r="T9" s="153"/>
      <c r="U9" s="363" t="s">
        <v>134</v>
      </c>
      <c r="V9" s="363"/>
      <c r="W9" s="363"/>
      <c r="X9" s="363"/>
      <c r="Y9" s="234"/>
    </row>
    <row r="10" spans="1:27">
      <c r="C10" s="53"/>
      <c r="D10" s="101" t="s">
        <v>135</v>
      </c>
      <c r="E10" s="35"/>
      <c r="F10" s="36"/>
      <c r="G10" s="36"/>
      <c r="H10" s="36"/>
      <c r="I10" s="36"/>
      <c r="J10" s="154"/>
      <c r="K10" s="155"/>
      <c r="L10" s="155"/>
      <c r="M10" s="155"/>
      <c r="N10" s="149"/>
      <c r="O10" s="155"/>
      <c r="P10" s="155"/>
      <c r="Q10" s="155"/>
      <c r="R10" s="156"/>
      <c r="S10" s="31"/>
      <c r="T10" s="157"/>
      <c r="U10" s="364"/>
      <c r="V10" s="364"/>
      <c r="W10" s="364"/>
      <c r="X10" s="364"/>
    </row>
    <row r="11" spans="1:27">
      <c r="A11" s="158" t="s">
        <v>9</v>
      </c>
      <c r="B11" s="33" t="s">
        <v>10</v>
      </c>
      <c r="C11" s="159"/>
      <c r="D11" s="36" t="s">
        <v>136</v>
      </c>
      <c r="E11" s="35"/>
      <c r="F11" s="36"/>
      <c r="G11" s="36"/>
      <c r="H11" s="36"/>
      <c r="I11" s="36"/>
      <c r="J11" s="154"/>
      <c r="K11" s="160"/>
      <c r="L11" s="155"/>
      <c r="M11" s="160"/>
      <c r="N11" s="149"/>
      <c r="O11" s="155"/>
      <c r="P11" s="155"/>
      <c r="Q11" s="155"/>
      <c r="R11" s="156"/>
      <c r="S11" s="31"/>
      <c r="U11" s="39" t="s">
        <v>4</v>
      </c>
      <c r="V11" s="40" t="s">
        <v>14</v>
      </c>
      <c r="W11" s="41" t="s">
        <v>15</v>
      </c>
      <c r="X11" s="42" t="s">
        <v>14</v>
      </c>
    </row>
    <row r="12" spans="1:27">
      <c r="A12" s="1" t="s">
        <v>137</v>
      </c>
      <c r="B12" s="34" t="s">
        <v>138</v>
      </c>
      <c r="C12" s="56"/>
      <c r="D12" s="44"/>
      <c r="E12" s="36" t="s">
        <v>139</v>
      </c>
      <c r="F12" s="35"/>
      <c r="G12" s="35"/>
      <c r="H12" s="35"/>
      <c r="I12" s="35"/>
      <c r="J12" s="154"/>
      <c r="K12" s="161">
        <v>429789840.4000001</v>
      </c>
      <c r="L12" s="161">
        <v>-5645271.1100000003</v>
      </c>
      <c r="M12" s="161">
        <v>424144569.29000008</v>
      </c>
      <c r="N12" s="161"/>
      <c r="O12" s="161">
        <v>43665314.359999999</v>
      </c>
      <c r="P12" s="161">
        <v>467809883</v>
      </c>
      <c r="Q12" s="162"/>
      <c r="R12" s="163"/>
      <c r="S12" s="31"/>
      <c r="U12" s="164">
        <f>M12</f>
        <v>424144569.29000008</v>
      </c>
      <c r="V12" s="164">
        <f>ROUND(U12,0)-U12</f>
        <v>-0.29000008106231689</v>
      </c>
      <c r="W12" s="165">
        <f>O12</f>
        <v>43665314.359999999</v>
      </c>
      <c r="X12" s="164">
        <f>ROUND(W12,0)-W12</f>
        <v>-0.35999999940395355</v>
      </c>
    </row>
    <row r="13" spans="1:27">
      <c r="A13" s="1" t="s">
        <v>140</v>
      </c>
      <c r="B13" s="34" t="s">
        <v>138</v>
      </c>
      <c r="C13" s="56"/>
      <c r="D13" s="44"/>
      <c r="E13" s="36" t="s">
        <v>141</v>
      </c>
      <c r="F13" s="35"/>
      <c r="G13" s="35"/>
      <c r="H13" s="35"/>
      <c r="I13" s="35"/>
      <c r="J13" s="154"/>
      <c r="K13" s="166">
        <v>262361093.36999997</v>
      </c>
      <c r="L13" s="166">
        <v>-48660359.620000012</v>
      </c>
      <c r="M13" s="166">
        <v>213700733.74999997</v>
      </c>
      <c r="N13" s="166"/>
      <c r="O13" s="166">
        <v>4031956</v>
      </c>
      <c r="P13" s="166">
        <v>217732690</v>
      </c>
      <c r="Q13" s="167"/>
      <c r="R13" s="81"/>
      <c r="S13" s="31"/>
      <c r="U13" s="164">
        <f t="shared" ref="U13:U23" si="0">M13</f>
        <v>213700733.74999997</v>
      </c>
      <c r="V13" s="164">
        <f t="shared" ref="V13:V23" si="1">ROUND(U13,0)-U13</f>
        <v>0.25000002980232239</v>
      </c>
      <c r="W13" s="168">
        <f>O13</f>
        <v>4031956</v>
      </c>
      <c r="X13" s="164">
        <f t="shared" ref="X13:X23" si="2">ROUND(W13,0)-W13</f>
        <v>0</v>
      </c>
    </row>
    <row r="14" spans="1:27">
      <c r="A14" s="1" t="s">
        <v>142</v>
      </c>
      <c r="B14" s="34" t="s">
        <v>138</v>
      </c>
      <c r="C14" s="56"/>
      <c r="D14" s="44"/>
      <c r="E14" s="36" t="s">
        <v>143</v>
      </c>
      <c r="F14" s="35"/>
      <c r="G14" s="35"/>
      <c r="H14" s="35"/>
      <c r="I14" s="35"/>
      <c r="J14" s="154"/>
      <c r="K14" s="166">
        <v>14768557.819999997</v>
      </c>
      <c r="L14" s="166">
        <v>-0.24</v>
      </c>
      <c r="M14" s="166">
        <v>14768557.579999998</v>
      </c>
      <c r="N14" s="166"/>
      <c r="O14" s="166">
        <v>106782139</v>
      </c>
      <c r="P14" s="166">
        <v>121550697</v>
      </c>
      <c r="Q14" s="167"/>
      <c r="R14" s="81"/>
      <c r="S14" s="31"/>
      <c r="U14" s="164">
        <f t="shared" si="0"/>
        <v>14768557.579999998</v>
      </c>
      <c r="V14" s="164">
        <f t="shared" si="1"/>
        <v>0.42000000178813934</v>
      </c>
      <c r="W14" s="168">
        <f>O14</f>
        <v>106782139</v>
      </c>
      <c r="X14" s="164">
        <f t="shared" si="2"/>
        <v>0</v>
      </c>
    </row>
    <row r="15" spans="1:27">
      <c r="A15" s="1" t="s">
        <v>144</v>
      </c>
      <c r="B15" s="34" t="s">
        <v>138</v>
      </c>
      <c r="C15" s="56"/>
      <c r="D15" s="44"/>
      <c r="E15" s="36" t="s">
        <v>145</v>
      </c>
      <c r="F15" s="35"/>
      <c r="G15" s="35"/>
      <c r="H15" s="35"/>
      <c r="I15" s="35"/>
      <c r="J15" s="154"/>
      <c r="K15" s="166">
        <v>7378195.29</v>
      </c>
      <c r="L15" s="166">
        <v>0.2</v>
      </c>
      <c r="M15" s="166">
        <v>7378195.4900000002</v>
      </c>
      <c r="N15" s="166"/>
      <c r="O15" s="166">
        <v>41173068.920000002</v>
      </c>
      <c r="P15" s="166">
        <v>48551264</v>
      </c>
      <c r="Q15" s="167"/>
      <c r="R15" s="81"/>
      <c r="S15" s="31"/>
      <c r="U15" s="164">
        <f t="shared" si="0"/>
        <v>7378195.4900000002</v>
      </c>
      <c r="V15" s="164">
        <f t="shared" si="1"/>
        <v>-0.49000000022351742</v>
      </c>
      <c r="W15" s="168">
        <f t="shared" ref="W15:W23" si="3">O15</f>
        <v>41173068.920000002</v>
      </c>
      <c r="X15" s="164">
        <f t="shared" si="2"/>
        <v>7.9999998211860657E-2</v>
      </c>
    </row>
    <row r="16" spans="1:27">
      <c r="A16" s="1" t="s">
        <v>146</v>
      </c>
      <c r="B16" s="34" t="s">
        <v>138</v>
      </c>
      <c r="C16" s="56"/>
      <c r="D16" s="44"/>
      <c r="E16" s="36" t="s">
        <v>147</v>
      </c>
      <c r="F16" s="35"/>
      <c r="G16" s="35"/>
      <c r="H16" s="35"/>
      <c r="I16" s="35"/>
      <c r="J16" s="154"/>
      <c r="K16" s="166">
        <v>72415135.189999983</v>
      </c>
      <c r="L16" s="166">
        <v>-110629.07</v>
      </c>
      <c r="M16" s="166">
        <v>72304506.119999975</v>
      </c>
      <c r="N16" s="166"/>
      <c r="O16" s="166">
        <v>14813037</v>
      </c>
      <c r="P16" s="166">
        <v>87117543</v>
      </c>
      <c r="Q16" s="167"/>
      <c r="R16" s="81"/>
      <c r="S16" s="31"/>
      <c r="U16" s="164">
        <f t="shared" si="0"/>
        <v>72304506.119999975</v>
      </c>
      <c r="V16" s="164">
        <f t="shared" si="1"/>
        <v>-0.11999997496604919</v>
      </c>
      <c r="W16" s="168">
        <f t="shared" si="3"/>
        <v>14813037</v>
      </c>
      <c r="X16" s="164">
        <f t="shared" si="2"/>
        <v>0</v>
      </c>
    </row>
    <row r="17" spans="1:25">
      <c r="A17" s="1" t="s">
        <v>148</v>
      </c>
      <c r="B17" s="34" t="s">
        <v>138</v>
      </c>
      <c r="C17" s="56"/>
      <c r="D17" s="44"/>
      <c r="E17" s="36" t="s">
        <v>149</v>
      </c>
      <c r="F17" s="35"/>
      <c r="G17" s="35"/>
      <c r="H17" s="35"/>
      <c r="I17" s="35"/>
      <c r="J17" s="154"/>
      <c r="K17" s="166">
        <v>962147.57000000041</v>
      </c>
      <c r="L17" s="166">
        <v>3810681.25</v>
      </c>
      <c r="M17" s="166">
        <v>4772828.82</v>
      </c>
      <c r="N17" s="166"/>
      <c r="O17" s="166">
        <v>138819</v>
      </c>
      <c r="P17" s="166">
        <v>4911648</v>
      </c>
      <c r="Q17" s="167"/>
      <c r="R17" s="81"/>
      <c r="S17" s="31"/>
      <c r="U17" s="164">
        <f t="shared" si="0"/>
        <v>4772828.82</v>
      </c>
      <c r="V17" s="164">
        <f t="shared" si="1"/>
        <v>0.17999999970197678</v>
      </c>
      <c r="W17" s="168">
        <f t="shared" si="3"/>
        <v>138819</v>
      </c>
      <c r="X17" s="164">
        <f t="shared" si="2"/>
        <v>0</v>
      </c>
    </row>
    <row r="18" spans="1:25">
      <c r="A18" s="1" t="s">
        <v>150</v>
      </c>
      <c r="B18" s="72" t="s">
        <v>151</v>
      </c>
      <c r="C18" s="53"/>
      <c r="D18" s="169"/>
      <c r="E18" s="36" t="s">
        <v>152</v>
      </c>
      <c r="F18" s="35"/>
      <c r="G18" s="35"/>
      <c r="H18" s="35"/>
      <c r="I18" s="35"/>
      <c r="J18" s="154"/>
      <c r="K18" s="166">
        <v>289359118.78999996</v>
      </c>
      <c r="L18" s="166">
        <v>7.0000000000000007E-2</v>
      </c>
      <c r="M18" s="166">
        <v>289359118.85999995</v>
      </c>
      <c r="N18" s="166"/>
      <c r="O18" s="166">
        <v>20877</v>
      </c>
      <c r="P18" s="166">
        <v>289379996</v>
      </c>
      <c r="Q18" s="167"/>
      <c r="R18" s="81"/>
      <c r="S18" s="31"/>
      <c r="U18" s="164">
        <f t="shared" si="0"/>
        <v>289359118.85999995</v>
      </c>
      <c r="V18" s="164">
        <f t="shared" si="1"/>
        <v>0.14000004529953003</v>
      </c>
      <c r="W18" s="168">
        <f t="shared" si="3"/>
        <v>20877</v>
      </c>
      <c r="X18" s="164">
        <f t="shared" si="2"/>
        <v>0</v>
      </c>
    </row>
    <row r="19" spans="1:25">
      <c r="A19" s="1" t="s">
        <v>153</v>
      </c>
      <c r="B19" s="72" t="s">
        <v>154</v>
      </c>
      <c r="C19" s="53"/>
      <c r="D19" s="169"/>
      <c r="E19" s="36" t="s">
        <v>155</v>
      </c>
      <c r="F19" s="35"/>
      <c r="G19" s="35"/>
      <c r="H19" s="35"/>
      <c r="I19" s="35"/>
      <c r="J19" s="154"/>
      <c r="K19" s="166">
        <v>13423528.770000003</v>
      </c>
      <c r="L19" s="166">
        <v>0.01</v>
      </c>
      <c r="M19" s="166">
        <v>13423528.780000001</v>
      </c>
      <c r="N19" s="166"/>
      <c r="O19" s="166">
        <v>5071419.4800000004</v>
      </c>
      <c r="P19" s="166">
        <v>18494948</v>
      </c>
      <c r="Q19" s="167"/>
      <c r="R19" s="81"/>
      <c r="S19" s="31"/>
      <c r="U19" s="164">
        <f t="shared" si="0"/>
        <v>13423528.780000001</v>
      </c>
      <c r="V19" s="164">
        <f t="shared" si="1"/>
        <v>0.2199999988079071</v>
      </c>
      <c r="W19" s="168">
        <f t="shared" si="3"/>
        <v>5071419.4800000004</v>
      </c>
      <c r="X19" s="164">
        <f t="shared" si="2"/>
        <v>-0.48000000044703484</v>
      </c>
    </row>
    <row r="20" spans="1:25">
      <c r="A20" s="1" t="s">
        <v>156</v>
      </c>
      <c r="B20" s="34" t="s">
        <v>157</v>
      </c>
      <c r="C20" s="56"/>
      <c r="D20" s="44"/>
      <c r="E20" s="36" t="s">
        <v>158</v>
      </c>
      <c r="F20" s="35"/>
      <c r="G20" s="35"/>
      <c r="H20" s="35"/>
      <c r="I20" s="35"/>
      <c r="J20" s="154"/>
      <c r="K20" s="166">
        <v>10785089.989999998</v>
      </c>
      <c r="L20" s="166">
        <v>0.45</v>
      </c>
      <c r="M20" s="166">
        <v>10785090.439999999</v>
      </c>
      <c r="N20" s="166"/>
      <c r="O20" s="166">
        <v>3182</v>
      </c>
      <c r="P20" s="166">
        <v>10788272</v>
      </c>
      <c r="Q20" s="167"/>
      <c r="R20" s="81"/>
      <c r="S20" s="31"/>
      <c r="U20" s="164">
        <f t="shared" si="0"/>
        <v>10785090.439999999</v>
      </c>
      <c r="V20" s="164">
        <f t="shared" si="1"/>
        <v>-0.43999999947845936</v>
      </c>
      <c r="W20" s="168">
        <f t="shared" si="3"/>
        <v>3182</v>
      </c>
      <c r="X20" s="164">
        <f t="shared" si="2"/>
        <v>0</v>
      </c>
    </row>
    <row r="21" spans="1:25">
      <c r="A21" s="1" t="s">
        <v>159</v>
      </c>
      <c r="B21" s="34" t="s">
        <v>160</v>
      </c>
      <c r="C21" s="56"/>
      <c r="D21" s="44"/>
      <c r="E21" s="36" t="s">
        <v>161</v>
      </c>
      <c r="F21" s="35"/>
      <c r="G21" s="35"/>
      <c r="H21" s="35"/>
      <c r="I21" s="35"/>
      <c r="J21" s="154"/>
      <c r="K21" s="166">
        <v>17870904.790000003</v>
      </c>
      <c r="L21" s="166">
        <v>0.77</v>
      </c>
      <c r="M21" s="166">
        <v>17870905.560000002</v>
      </c>
      <c r="N21" s="166"/>
      <c r="O21" s="166">
        <v>558489.23</v>
      </c>
      <c r="P21" s="166">
        <v>18429395</v>
      </c>
      <c r="Q21" s="167"/>
      <c r="R21" s="81"/>
      <c r="S21" s="31"/>
      <c r="U21" s="164">
        <f t="shared" si="0"/>
        <v>17870905.560000002</v>
      </c>
      <c r="V21" s="164">
        <f t="shared" si="1"/>
        <v>0.43999999761581421</v>
      </c>
      <c r="W21" s="168">
        <f t="shared" si="3"/>
        <v>558489.23</v>
      </c>
      <c r="X21" s="164">
        <f t="shared" si="2"/>
        <v>-0.22999999998137355</v>
      </c>
    </row>
    <row r="22" spans="1:25">
      <c r="A22" s="1" t="s">
        <v>162</v>
      </c>
      <c r="B22" s="34" t="s">
        <v>163</v>
      </c>
      <c r="C22" s="56"/>
      <c r="D22" s="44"/>
      <c r="E22" s="36" t="s">
        <v>164</v>
      </c>
      <c r="F22" s="35"/>
      <c r="G22" s="35"/>
      <c r="H22" s="35"/>
      <c r="I22" s="35"/>
      <c r="J22" s="154"/>
      <c r="K22" s="166">
        <v>967514.86</v>
      </c>
      <c r="L22" s="166">
        <v>0</v>
      </c>
      <c r="M22" s="166">
        <v>967514.86</v>
      </c>
      <c r="N22" s="166"/>
      <c r="O22" s="166">
        <v>66737</v>
      </c>
      <c r="P22" s="166">
        <v>1034252</v>
      </c>
      <c r="Q22" s="167"/>
      <c r="R22" s="81"/>
      <c r="S22" s="31"/>
      <c r="U22" s="164">
        <f t="shared" si="0"/>
        <v>967514.86</v>
      </c>
      <c r="V22" s="164">
        <f t="shared" si="1"/>
        <v>0.14000000001396984</v>
      </c>
      <c r="W22" s="168">
        <f t="shared" si="3"/>
        <v>66737</v>
      </c>
      <c r="X22" s="164">
        <f t="shared" si="2"/>
        <v>0</v>
      </c>
    </row>
    <row r="23" spans="1:25">
      <c r="A23" s="1" t="s">
        <v>165</v>
      </c>
      <c r="B23" s="34" t="s">
        <v>166</v>
      </c>
      <c r="C23" s="56"/>
      <c r="D23" s="44"/>
      <c r="E23" s="36" t="s">
        <v>167</v>
      </c>
      <c r="F23" s="35"/>
      <c r="G23" s="35"/>
      <c r="H23" s="35"/>
      <c r="I23" s="35"/>
      <c r="J23" s="154"/>
      <c r="K23" s="133">
        <v>5213699.03</v>
      </c>
      <c r="L23" s="133">
        <v>0</v>
      </c>
      <c r="M23" s="133">
        <v>5213699.03</v>
      </c>
      <c r="N23" s="133"/>
      <c r="O23" s="133">
        <v>19469724</v>
      </c>
      <c r="P23" s="133">
        <v>24683423</v>
      </c>
      <c r="Q23" s="167"/>
      <c r="R23" s="81"/>
      <c r="S23" s="31"/>
      <c r="U23" s="164">
        <f t="shared" si="0"/>
        <v>5213699.03</v>
      </c>
      <c r="V23" s="164">
        <f t="shared" si="1"/>
        <v>-3.0000000260770321E-2</v>
      </c>
      <c r="W23" s="168">
        <f t="shared" si="3"/>
        <v>19469724</v>
      </c>
      <c r="X23" s="164">
        <f t="shared" si="2"/>
        <v>0</v>
      </c>
    </row>
    <row r="24" spans="1:25" s="64" customFormat="1" ht="7.5" customHeight="1">
      <c r="A24" s="12"/>
      <c r="B24" s="117"/>
      <c r="C24" s="71"/>
      <c r="D24" s="36"/>
      <c r="E24" s="36"/>
      <c r="F24" s="36"/>
      <c r="G24" s="36"/>
      <c r="H24" s="36"/>
      <c r="I24" s="36"/>
      <c r="J24" s="59"/>
      <c r="K24" s="170"/>
      <c r="L24" s="60"/>
      <c r="M24" s="170"/>
      <c r="N24" s="59"/>
      <c r="O24" s="60"/>
      <c r="P24" s="60"/>
      <c r="Q24" s="60"/>
      <c r="R24" s="61"/>
      <c r="S24" s="171"/>
      <c r="T24" s="172"/>
      <c r="U24" s="173"/>
      <c r="V24" s="164"/>
      <c r="W24" s="174"/>
      <c r="X24" s="173"/>
      <c r="Y24" s="227"/>
    </row>
    <row r="25" spans="1:25">
      <c r="A25" s="1" t="s">
        <v>168</v>
      </c>
      <c r="B25" s="72"/>
      <c r="C25" s="53"/>
      <c r="D25" s="169"/>
      <c r="E25" s="101" t="s">
        <v>169</v>
      </c>
      <c r="F25" s="35"/>
      <c r="G25" s="35"/>
      <c r="H25" s="35"/>
      <c r="I25" s="35"/>
      <c r="J25" s="154"/>
      <c r="K25" s="175">
        <v>1125294826</v>
      </c>
      <c r="L25" s="175">
        <v>-50605578</v>
      </c>
      <c r="M25" s="175">
        <v>1074689249</v>
      </c>
      <c r="N25" s="92"/>
      <c r="O25" s="175">
        <v>235794762</v>
      </c>
      <c r="P25" s="175">
        <v>1310484011</v>
      </c>
      <c r="Q25" s="49"/>
      <c r="R25" s="81"/>
      <c r="S25" s="31"/>
      <c r="U25" s="176">
        <f>SUM(U12:U23)</f>
        <v>1074689248.5800002</v>
      </c>
      <c r="V25" s="176">
        <f>M25-U25</f>
        <v>0.41999983787536621</v>
      </c>
      <c r="W25" s="177">
        <f>SUM(W12:W23)</f>
        <v>235794762.99000001</v>
      </c>
      <c r="X25" s="176">
        <f>W25-O25</f>
        <v>0.99000000953674316</v>
      </c>
    </row>
    <row r="26" spans="1:25" s="64" customFormat="1" ht="7.5" customHeight="1">
      <c r="A26" s="12"/>
      <c r="B26" s="117"/>
      <c r="C26" s="71"/>
      <c r="D26" s="36"/>
      <c r="E26" s="36"/>
      <c r="F26" s="36"/>
      <c r="G26" s="36"/>
      <c r="H26" s="36"/>
      <c r="I26" s="36"/>
      <c r="J26" s="59"/>
      <c r="K26" s="178"/>
      <c r="L26" s="179"/>
      <c r="M26" s="178"/>
      <c r="N26" s="178"/>
      <c r="O26" s="179"/>
      <c r="P26" s="179"/>
      <c r="Q26" s="179"/>
      <c r="R26" s="180"/>
      <c r="S26" s="171"/>
      <c r="T26" s="172"/>
      <c r="U26" s="173"/>
      <c r="V26" s="173"/>
      <c r="W26" s="174"/>
      <c r="X26" s="173"/>
      <c r="Y26" s="227"/>
    </row>
    <row r="27" spans="1:25">
      <c r="B27" s="72"/>
      <c r="C27" s="53"/>
      <c r="D27" s="36" t="s">
        <v>170</v>
      </c>
      <c r="E27" s="14"/>
      <c r="F27" s="181"/>
      <c r="G27" s="35"/>
      <c r="H27" s="35"/>
      <c r="I27" s="36"/>
      <c r="J27" s="36"/>
      <c r="K27" s="182"/>
      <c r="L27" s="182"/>
      <c r="M27" s="182"/>
      <c r="N27" s="182"/>
      <c r="O27" s="182"/>
      <c r="P27" s="182"/>
      <c r="Q27" s="182"/>
      <c r="R27" s="183"/>
      <c r="S27" s="31"/>
      <c r="W27" s="168"/>
    </row>
    <row r="28" spans="1:25">
      <c r="A28" s="1" t="s">
        <v>171</v>
      </c>
      <c r="B28" s="34" t="s">
        <v>138</v>
      </c>
      <c r="C28" s="56"/>
      <c r="D28" s="36"/>
      <c r="E28" s="36" t="s">
        <v>141</v>
      </c>
      <c r="F28" s="181"/>
      <c r="G28" s="35"/>
      <c r="H28" s="35"/>
      <c r="I28" s="35"/>
      <c r="J28" s="36"/>
      <c r="K28" s="161">
        <v>601220225.58999991</v>
      </c>
      <c r="L28" s="161">
        <v>55000163.780000009</v>
      </c>
      <c r="M28" s="161">
        <v>656220389.36999977</v>
      </c>
      <c r="N28" s="161"/>
      <c r="O28" s="161">
        <v>84367745</v>
      </c>
      <c r="P28" s="166">
        <v>740588134</v>
      </c>
      <c r="Q28" s="167"/>
      <c r="R28" s="81"/>
      <c r="S28" s="31"/>
      <c r="U28" s="164">
        <f>M28</f>
        <v>656220389.36999977</v>
      </c>
      <c r="V28" s="164">
        <f t="shared" ref="V28:V35" si="4">ROUND(U28,0)-U28</f>
        <v>-0.36999976634979248</v>
      </c>
      <c r="W28" s="168">
        <f>O28</f>
        <v>84367745</v>
      </c>
      <c r="X28" s="164">
        <f t="shared" ref="X28:X35" si="5">ROUND(W28,0)-W28</f>
        <v>0</v>
      </c>
    </row>
    <row r="29" spans="1:25">
      <c r="A29" s="1" t="s">
        <v>172</v>
      </c>
      <c r="B29" s="72" t="s">
        <v>138</v>
      </c>
      <c r="C29" s="53"/>
      <c r="D29" s="36"/>
      <c r="E29" s="36" t="s">
        <v>143</v>
      </c>
      <c r="F29" s="181"/>
      <c r="G29" s="35"/>
      <c r="H29" s="35"/>
      <c r="I29" s="35"/>
      <c r="J29" s="36"/>
      <c r="K29" s="166">
        <v>188350628.53999999</v>
      </c>
      <c r="L29" s="166">
        <v>13702561.4</v>
      </c>
      <c r="M29" s="166">
        <v>202053189.94</v>
      </c>
      <c r="N29" s="166"/>
      <c r="O29" s="166">
        <v>445545142</v>
      </c>
      <c r="P29" s="166">
        <v>647598332</v>
      </c>
      <c r="Q29" s="167"/>
      <c r="R29" s="81"/>
      <c r="S29" s="31"/>
      <c r="U29" s="164">
        <f t="shared" ref="U29:U35" si="6">M29</f>
        <v>202053189.94</v>
      </c>
      <c r="V29" s="164">
        <f t="shared" si="4"/>
        <v>6.0000002384185791E-2</v>
      </c>
      <c r="W29" s="168">
        <f t="shared" ref="W29:W35" si="7">O29</f>
        <v>445545142</v>
      </c>
      <c r="X29" s="164">
        <f t="shared" si="5"/>
        <v>0</v>
      </c>
    </row>
    <row r="30" spans="1:25">
      <c r="A30" s="1" t="s">
        <v>173</v>
      </c>
      <c r="B30" s="34" t="s">
        <v>138</v>
      </c>
      <c r="C30" s="56"/>
      <c r="D30" s="36"/>
      <c r="E30" s="36" t="s">
        <v>145</v>
      </c>
      <c r="F30" s="181"/>
      <c r="G30" s="35"/>
      <c r="H30" s="35"/>
      <c r="I30" s="35"/>
      <c r="J30" s="36"/>
      <c r="K30" s="166">
        <v>439396300.62999994</v>
      </c>
      <c r="L30" s="166">
        <v>-13702561.9</v>
      </c>
      <c r="M30" s="166">
        <v>425693738.7299999</v>
      </c>
      <c r="N30" s="166"/>
      <c r="O30" s="166">
        <v>348548073.07999998</v>
      </c>
      <c r="P30" s="166">
        <v>774241812</v>
      </c>
      <c r="Q30" s="167"/>
      <c r="R30" s="81"/>
      <c r="S30" s="31"/>
      <c r="U30" s="164">
        <f t="shared" si="6"/>
        <v>425693738.7299999</v>
      </c>
      <c r="V30" s="164">
        <f t="shared" si="4"/>
        <v>0.27000010013580322</v>
      </c>
      <c r="W30" s="168">
        <f t="shared" si="7"/>
        <v>348548073.07999998</v>
      </c>
      <c r="X30" s="164">
        <f t="shared" si="5"/>
        <v>-7.9999983310699463E-2</v>
      </c>
    </row>
    <row r="31" spans="1:25">
      <c r="B31" s="34"/>
      <c r="C31" s="56"/>
      <c r="D31" s="36"/>
      <c r="E31" s="36" t="s">
        <v>161</v>
      </c>
      <c r="F31" s="181"/>
      <c r="G31" s="35"/>
      <c r="H31" s="35"/>
      <c r="I31" s="35"/>
      <c r="J31" s="36"/>
      <c r="K31" s="166">
        <v>735244.72</v>
      </c>
      <c r="L31" s="166">
        <v>0.35</v>
      </c>
      <c r="M31" s="166">
        <v>735245.07</v>
      </c>
      <c r="N31" s="166"/>
      <c r="O31" s="166">
        <v>0</v>
      </c>
      <c r="P31" s="166"/>
      <c r="Q31" s="167"/>
      <c r="R31" s="81"/>
      <c r="S31" s="31"/>
      <c r="W31" s="168"/>
    </row>
    <row r="32" spans="1:25">
      <c r="A32" s="1" t="s">
        <v>174</v>
      </c>
      <c r="B32" s="34" t="s">
        <v>138</v>
      </c>
      <c r="C32" s="56"/>
      <c r="D32" s="36"/>
      <c r="E32" s="36" t="s">
        <v>175</v>
      </c>
      <c r="F32" s="181"/>
      <c r="G32" s="35"/>
      <c r="H32" s="35"/>
      <c r="I32" s="35"/>
      <c r="J32" s="36"/>
      <c r="K32" s="166">
        <v>10885707.870000001</v>
      </c>
      <c r="L32" s="166">
        <v>-3810681.5</v>
      </c>
      <c r="M32" s="166">
        <v>7075026.370000001</v>
      </c>
      <c r="N32" s="166"/>
      <c r="O32" s="166">
        <v>1589870</v>
      </c>
      <c r="P32" s="166">
        <v>8664896</v>
      </c>
      <c r="Q32" s="167"/>
      <c r="R32" s="81"/>
      <c r="S32" s="31"/>
      <c r="U32" s="164">
        <f t="shared" si="6"/>
        <v>7075026.370000001</v>
      </c>
      <c r="V32" s="164">
        <f t="shared" si="4"/>
        <v>-0.37000000104308128</v>
      </c>
      <c r="W32" s="168">
        <f t="shared" si="7"/>
        <v>1589870</v>
      </c>
      <c r="X32" s="164">
        <f t="shared" si="5"/>
        <v>0</v>
      </c>
    </row>
    <row r="33" spans="1:25">
      <c r="A33" s="1" t="s">
        <v>176</v>
      </c>
      <c r="B33" s="72" t="s">
        <v>138</v>
      </c>
      <c r="C33" s="53"/>
      <c r="D33" s="36"/>
      <c r="E33" s="36" t="s">
        <v>177</v>
      </c>
      <c r="F33" s="181"/>
      <c r="G33" s="35"/>
      <c r="H33" s="35"/>
      <c r="I33" s="35"/>
      <c r="J33" s="36"/>
      <c r="K33" s="166">
        <v>3429269648.71</v>
      </c>
      <c r="L33" s="166">
        <v>0.24</v>
      </c>
      <c r="M33" s="166">
        <v>3429269648.9499998</v>
      </c>
      <c r="N33" s="166"/>
      <c r="O33" s="166">
        <v>54043977.269999996</v>
      </c>
      <c r="P33" s="166">
        <v>3483313626</v>
      </c>
      <c r="Q33" s="167"/>
      <c r="R33" s="81"/>
      <c r="S33" s="31"/>
      <c r="U33" s="164">
        <f t="shared" si="6"/>
        <v>3429269648.9499998</v>
      </c>
      <c r="V33" s="164">
        <f t="shared" si="4"/>
        <v>5.0000190734863281E-2</v>
      </c>
      <c r="W33" s="168">
        <f t="shared" si="7"/>
        <v>54043977.269999996</v>
      </c>
      <c r="X33" s="164">
        <f t="shared" si="5"/>
        <v>-0.26999999582767487</v>
      </c>
    </row>
    <row r="34" spans="1:25">
      <c r="A34" s="1" t="s">
        <v>178</v>
      </c>
      <c r="B34" s="72" t="s">
        <v>138</v>
      </c>
      <c r="C34" s="53"/>
      <c r="D34" s="36"/>
      <c r="E34" s="36" t="s">
        <v>179</v>
      </c>
      <c r="F34" s="181"/>
      <c r="G34" s="35"/>
      <c r="H34" s="35"/>
      <c r="I34" s="35"/>
      <c r="J34" s="36"/>
      <c r="K34" s="166">
        <v>678147308.92999995</v>
      </c>
      <c r="L34" s="166">
        <v>0.24</v>
      </c>
      <c r="M34" s="166">
        <v>678147309.16999996</v>
      </c>
      <c r="N34" s="166"/>
      <c r="O34" s="166">
        <v>31703786.419999998</v>
      </c>
      <c r="P34" s="166">
        <v>709851095</v>
      </c>
      <c r="Q34" s="167"/>
      <c r="R34" s="81"/>
      <c r="S34" s="31"/>
      <c r="U34" s="164">
        <f t="shared" si="6"/>
        <v>678147309.16999996</v>
      </c>
      <c r="V34" s="164">
        <f t="shared" si="4"/>
        <v>-0.16999995708465576</v>
      </c>
      <c r="W34" s="168">
        <f t="shared" si="7"/>
        <v>31703786.419999998</v>
      </c>
      <c r="X34" s="164">
        <f t="shared" si="5"/>
        <v>-0.41999999806284904</v>
      </c>
    </row>
    <row r="35" spans="1:25">
      <c r="A35" s="1" t="s">
        <v>180</v>
      </c>
      <c r="B35" s="72" t="s">
        <v>181</v>
      </c>
      <c r="C35" s="53"/>
      <c r="D35" s="36"/>
      <c r="E35" s="36" t="s">
        <v>167</v>
      </c>
      <c r="F35" s="181"/>
      <c r="G35" s="35"/>
      <c r="H35" s="35"/>
      <c r="I35" s="35"/>
      <c r="J35" s="36"/>
      <c r="K35" s="133">
        <v>3712820.7800000003</v>
      </c>
      <c r="L35" s="133">
        <v>0</v>
      </c>
      <c r="M35" s="133">
        <v>3712820.7800000003</v>
      </c>
      <c r="N35" s="133"/>
      <c r="O35" s="133">
        <v>8924598.2899999991</v>
      </c>
      <c r="P35" s="133">
        <v>12637419</v>
      </c>
      <c r="Q35" s="167"/>
      <c r="R35" s="81"/>
      <c r="S35" s="31"/>
      <c r="U35" s="164">
        <f t="shared" si="6"/>
        <v>3712820.7800000003</v>
      </c>
      <c r="V35" s="164">
        <f t="shared" si="4"/>
        <v>0.21999999973922968</v>
      </c>
      <c r="W35" s="168">
        <f t="shared" si="7"/>
        <v>8924598.2899999991</v>
      </c>
      <c r="X35" s="164">
        <f t="shared" si="5"/>
        <v>-0.28999999910593033</v>
      </c>
    </row>
    <row r="36" spans="1:25" s="64" customFormat="1" ht="7.5" customHeight="1">
      <c r="A36" s="12"/>
      <c r="B36" s="117"/>
      <c r="C36" s="71"/>
      <c r="D36" s="36"/>
      <c r="E36" s="36"/>
      <c r="F36" s="36"/>
      <c r="G36" s="36"/>
      <c r="H36" s="36"/>
      <c r="I36" s="36"/>
      <c r="J36" s="59"/>
      <c r="K36" s="81"/>
      <c r="L36" s="49"/>
      <c r="M36" s="81"/>
      <c r="N36" s="184"/>
      <c r="O36" s="49"/>
      <c r="P36" s="49"/>
      <c r="Q36" s="49"/>
      <c r="R36" s="81"/>
      <c r="S36" s="171"/>
      <c r="T36" s="172"/>
      <c r="U36" s="173"/>
      <c r="V36" s="173"/>
      <c r="W36" s="174"/>
      <c r="X36" s="173"/>
      <c r="Y36" s="227"/>
    </row>
    <row r="37" spans="1:25">
      <c r="A37" s="1" t="s">
        <v>182</v>
      </c>
      <c r="B37" s="72"/>
      <c r="C37" s="53"/>
      <c r="D37" s="101"/>
      <c r="E37" s="101" t="s">
        <v>183</v>
      </c>
      <c r="F37" s="181"/>
      <c r="G37" s="35"/>
      <c r="H37" s="35"/>
      <c r="I37" s="35"/>
      <c r="J37" s="36"/>
      <c r="K37" s="185">
        <v>5351717888</v>
      </c>
      <c r="L37" s="185">
        <v>51189481</v>
      </c>
      <c r="M37" s="185">
        <v>5402907368</v>
      </c>
      <c r="N37" s="49"/>
      <c r="O37" s="185">
        <v>974723191</v>
      </c>
      <c r="P37" s="185">
        <v>6376895314</v>
      </c>
      <c r="Q37" s="49"/>
      <c r="R37" s="81"/>
      <c r="S37" s="31"/>
      <c r="U37" s="176">
        <f>SUM(U28:U35)</f>
        <v>5402172123.3099985</v>
      </c>
      <c r="V37" s="176">
        <f>M37-U37</f>
        <v>735244.69000148773</v>
      </c>
      <c r="W37" s="177">
        <f>SUM(W28:W35)</f>
        <v>974723192.05999982</v>
      </c>
      <c r="X37" s="176">
        <f>W37-O37</f>
        <v>1.0599998235702515</v>
      </c>
    </row>
    <row r="38" spans="1:25" s="64" customFormat="1" ht="7.5" customHeight="1">
      <c r="A38" s="12"/>
      <c r="B38" s="117"/>
      <c r="C38" s="71"/>
      <c r="D38" s="36"/>
      <c r="E38" s="36"/>
      <c r="F38" s="36"/>
      <c r="G38" s="36"/>
      <c r="H38" s="36"/>
      <c r="I38" s="36"/>
      <c r="J38" s="59"/>
      <c r="K38" s="182"/>
      <c r="L38" s="187"/>
      <c r="M38" s="182"/>
      <c r="N38" s="186"/>
      <c r="O38" s="187"/>
      <c r="P38" s="187"/>
      <c r="Q38" s="187"/>
      <c r="R38" s="61"/>
      <c r="S38" s="171"/>
      <c r="T38" s="172"/>
      <c r="U38" s="173"/>
      <c r="V38" s="173"/>
      <c r="W38" s="174"/>
      <c r="X38" s="173"/>
      <c r="Y38" s="227"/>
    </row>
    <row r="39" spans="1:25" ht="13.5" thickBot="1">
      <c r="B39" s="72"/>
      <c r="C39" s="53"/>
      <c r="D39" s="101" t="s">
        <v>184</v>
      </c>
      <c r="E39" s="36"/>
      <c r="F39" s="181"/>
      <c r="G39" s="35"/>
      <c r="H39" s="35"/>
      <c r="I39" s="35"/>
      <c r="J39" s="36"/>
      <c r="K39" s="188">
        <v>6477012714</v>
      </c>
      <c r="L39" s="190">
        <v>583903</v>
      </c>
      <c r="M39" s="188">
        <v>6477596617</v>
      </c>
      <c r="N39" s="189"/>
      <c r="O39" s="190">
        <v>1210517953</v>
      </c>
      <c r="P39" s="190">
        <v>7687379325</v>
      </c>
      <c r="Q39" s="191"/>
      <c r="R39" s="192"/>
      <c r="S39" s="31"/>
      <c r="U39" s="176">
        <f>U25+U37</f>
        <v>6476861371.8899984</v>
      </c>
      <c r="V39" s="176">
        <f>M39-U39</f>
        <v>735245.11000156403</v>
      </c>
      <c r="W39" s="177">
        <f>W25+W37</f>
        <v>1210517955.0499997</v>
      </c>
      <c r="X39" s="176">
        <f>W39-O39</f>
        <v>2.0499997138977051</v>
      </c>
    </row>
    <row r="40" spans="1:25" ht="13.5" thickTop="1">
      <c r="B40" s="72"/>
      <c r="C40" s="53"/>
      <c r="D40" s="101"/>
      <c r="E40" s="36"/>
      <c r="F40" s="181"/>
      <c r="G40" s="35"/>
      <c r="H40" s="35"/>
      <c r="I40" s="35"/>
      <c r="J40" s="36"/>
      <c r="K40" s="193"/>
      <c r="L40" s="194"/>
      <c r="M40" s="193"/>
      <c r="N40" s="189"/>
      <c r="O40" s="194"/>
      <c r="P40" s="194"/>
      <c r="Q40" s="191"/>
      <c r="R40" s="192"/>
      <c r="S40" s="31"/>
      <c r="U40" s="195"/>
      <c r="V40" s="195"/>
      <c r="W40" s="168"/>
      <c r="X40" s="195"/>
    </row>
    <row r="41" spans="1:25">
      <c r="B41" s="72"/>
      <c r="C41" s="53"/>
      <c r="D41" s="196" t="s">
        <v>185</v>
      </c>
      <c r="E41" s="197"/>
      <c r="F41" s="198"/>
      <c r="G41" s="43"/>
      <c r="H41" s="43"/>
      <c r="I41" s="43"/>
      <c r="J41" s="197"/>
      <c r="K41" s="199"/>
      <c r="L41" s="199"/>
      <c r="M41" s="199"/>
      <c r="N41" s="200"/>
      <c r="O41" s="199"/>
      <c r="P41" s="194"/>
      <c r="Q41" s="191"/>
      <c r="R41" s="192"/>
      <c r="S41" s="31"/>
      <c r="U41" s="195"/>
      <c r="V41" s="195"/>
      <c r="W41" s="168"/>
      <c r="X41" s="195"/>
    </row>
    <row r="42" spans="1:25">
      <c r="B42" s="72"/>
      <c r="C42" s="53"/>
      <c r="D42" s="197" t="s">
        <v>186</v>
      </c>
      <c r="E42" s="197"/>
      <c r="F42" s="198"/>
      <c r="G42" s="43"/>
      <c r="H42" s="43"/>
      <c r="I42" s="43"/>
      <c r="J42" s="197"/>
      <c r="K42" s="166">
        <v>0</v>
      </c>
      <c r="L42" s="166">
        <v>0</v>
      </c>
      <c r="M42" s="166">
        <v>0</v>
      </c>
      <c r="N42" s="166">
        <v>0</v>
      </c>
      <c r="O42" s="166">
        <v>0</v>
      </c>
      <c r="P42" s="166">
        <v>0</v>
      </c>
      <c r="Q42" s="191"/>
      <c r="R42" s="192"/>
      <c r="S42" s="31"/>
      <c r="U42" s="195"/>
      <c r="V42" s="195"/>
      <c r="W42" s="168"/>
      <c r="X42" s="195"/>
    </row>
    <row r="43" spans="1:25">
      <c r="B43" s="72"/>
      <c r="C43" s="53"/>
      <c r="D43" s="197" t="s">
        <v>294</v>
      </c>
      <c r="E43" s="197"/>
      <c r="F43" s="198"/>
      <c r="G43" s="43"/>
      <c r="H43" s="43"/>
      <c r="I43" s="43"/>
      <c r="J43" s="197"/>
      <c r="K43" s="166">
        <v>397356728.57000005</v>
      </c>
      <c r="L43" s="166">
        <v>0</v>
      </c>
      <c r="M43" s="166">
        <v>397356728.57000005</v>
      </c>
      <c r="N43" s="166">
        <v>0</v>
      </c>
      <c r="O43" s="166">
        <v>0</v>
      </c>
      <c r="P43" s="166">
        <v>397356729</v>
      </c>
      <c r="Q43" s="191"/>
      <c r="R43" s="192"/>
      <c r="S43" s="31"/>
      <c r="U43" s="195"/>
      <c r="V43" s="195"/>
      <c r="W43" s="168"/>
      <c r="X43" s="195"/>
    </row>
    <row r="44" spans="1:25">
      <c r="B44" s="72"/>
      <c r="C44" s="53"/>
      <c r="D44" s="197" t="s">
        <v>295</v>
      </c>
      <c r="E44" s="197"/>
      <c r="F44" s="198"/>
      <c r="G44" s="43"/>
      <c r="H44" s="43"/>
      <c r="I44" s="43"/>
      <c r="J44" s="197"/>
      <c r="K44" s="166">
        <v>94319429.189999998</v>
      </c>
      <c r="L44" s="166">
        <v>-0.05</v>
      </c>
      <c r="M44" s="166">
        <v>94319429.139999986</v>
      </c>
      <c r="N44" s="166">
        <v>0</v>
      </c>
      <c r="O44" s="166">
        <v>0</v>
      </c>
      <c r="P44" s="166">
        <v>94319429</v>
      </c>
      <c r="Q44" s="191"/>
      <c r="R44" s="192"/>
      <c r="S44" s="31"/>
      <c r="U44" s="195"/>
      <c r="V44" s="195"/>
      <c r="W44" s="168"/>
      <c r="X44" s="195"/>
    </row>
    <row r="45" spans="1:25">
      <c r="B45" s="72"/>
      <c r="C45" s="53"/>
      <c r="D45" s="197" t="s">
        <v>187</v>
      </c>
      <c r="E45" s="197"/>
      <c r="F45" s="197"/>
      <c r="G45" s="197"/>
      <c r="H45" s="197"/>
      <c r="I45" s="197"/>
      <c r="J45" s="197"/>
      <c r="K45" s="133">
        <v>263025.87</v>
      </c>
      <c r="L45" s="133">
        <v>0</v>
      </c>
      <c r="M45" s="133">
        <v>263025.87</v>
      </c>
      <c r="N45" s="133">
        <v>0</v>
      </c>
      <c r="O45" s="133">
        <v>0</v>
      </c>
      <c r="P45" s="133">
        <v>263026</v>
      </c>
      <c r="Q45" s="191"/>
      <c r="R45" s="192"/>
      <c r="S45" s="31"/>
      <c r="U45" s="195">
        <f>P45</f>
        <v>263026</v>
      </c>
      <c r="V45" s="195"/>
      <c r="W45" s="168"/>
      <c r="X45" s="195"/>
    </row>
    <row r="46" spans="1:25" ht="7.5" customHeight="1">
      <c r="B46" s="72"/>
      <c r="C46" s="53"/>
      <c r="D46" s="196"/>
      <c r="E46" s="197"/>
      <c r="F46" s="198"/>
      <c r="G46" s="43"/>
      <c r="H46" s="43"/>
      <c r="I46" s="43"/>
      <c r="J46" s="197"/>
      <c r="K46" s="199"/>
      <c r="L46" s="199"/>
      <c r="M46" s="199"/>
      <c r="N46" s="200"/>
      <c r="O46" s="199"/>
      <c r="P46" s="49"/>
      <c r="Q46" s="191"/>
      <c r="R46" s="192"/>
      <c r="S46" s="31"/>
      <c r="U46" s="195"/>
      <c r="V46" s="195"/>
      <c r="W46" s="168"/>
      <c r="X46" s="195"/>
    </row>
    <row r="47" spans="1:25" ht="15.75" customHeight="1" thickBot="1">
      <c r="B47" s="72"/>
      <c r="C47" s="53"/>
      <c r="D47" s="196" t="s">
        <v>188</v>
      </c>
      <c r="E47" s="197"/>
      <c r="F47" s="198"/>
      <c r="G47" s="43"/>
      <c r="H47" s="43"/>
      <c r="I47" s="43"/>
      <c r="J47" s="197"/>
      <c r="K47" s="201">
        <v>491939183.63000005</v>
      </c>
      <c r="L47" s="201">
        <v>-0.05</v>
      </c>
      <c r="M47" s="201">
        <v>491939183.58000004</v>
      </c>
      <c r="N47" s="200"/>
      <c r="O47" s="201">
        <v>0</v>
      </c>
      <c r="P47" s="202">
        <v>491939184</v>
      </c>
      <c r="Q47" s="191"/>
      <c r="R47" s="192"/>
      <c r="S47" s="31"/>
      <c r="U47" s="195">
        <f>P47</f>
        <v>491939184</v>
      </c>
      <c r="V47" s="195"/>
      <c r="W47" s="168"/>
      <c r="X47" s="195"/>
    </row>
    <row r="48" spans="1:25" s="64" customFormat="1" ht="14.25" thickTop="1" thickBot="1">
      <c r="A48" s="12"/>
      <c r="B48" s="117"/>
      <c r="C48" s="71"/>
      <c r="D48" s="196" t="s">
        <v>189</v>
      </c>
      <c r="E48" s="197"/>
      <c r="F48" s="198"/>
      <c r="G48" s="43"/>
      <c r="H48" s="43"/>
      <c r="I48" s="43"/>
      <c r="J48" s="197"/>
      <c r="K48" s="201">
        <v>6968951897.6300001</v>
      </c>
      <c r="L48" s="201">
        <v>583902.94999999995</v>
      </c>
      <c r="M48" s="201">
        <v>6969535800.5799999</v>
      </c>
      <c r="N48" s="200"/>
      <c r="O48" s="201">
        <v>1210517953</v>
      </c>
      <c r="P48" s="190">
        <v>8180053753.5799999</v>
      </c>
      <c r="Q48" s="187"/>
      <c r="R48" s="61"/>
      <c r="S48" s="171"/>
      <c r="T48" s="172"/>
      <c r="U48" s="173"/>
      <c r="V48" s="173"/>
      <c r="W48" s="174"/>
      <c r="X48" s="173"/>
      <c r="Y48" s="227"/>
    </row>
    <row r="49" spans="1:25" s="64" customFormat="1" ht="13.5" thickTop="1">
      <c r="A49" s="12"/>
      <c r="B49" s="117"/>
      <c r="C49" s="71"/>
      <c r="D49" s="36"/>
      <c r="E49" s="36"/>
      <c r="F49" s="36"/>
      <c r="G49" s="36"/>
      <c r="H49" s="36"/>
      <c r="I49" s="36"/>
      <c r="J49" s="59"/>
      <c r="K49" s="186"/>
      <c r="L49" s="187"/>
      <c r="M49" s="186"/>
      <c r="N49" s="186"/>
      <c r="O49" s="187"/>
      <c r="P49" s="187"/>
      <c r="Q49" s="187"/>
      <c r="R49" s="61"/>
      <c r="S49" s="171"/>
      <c r="T49" s="172"/>
      <c r="U49" s="173"/>
      <c r="V49" s="173"/>
      <c r="W49" s="174"/>
      <c r="X49" s="173"/>
      <c r="Y49" s="227"/>
    </row>
    <row r="50" spans="1:25">
      <c r="B50" s="72"/>
      <c r="C50" s="53"/>
      <c r="D50" s="101" t="s">
        <v>190</v>
      </c>
      <c r="E50" s="36"/>
      <c r="F50" s="36"/>
      <c r="G50" s="36"/>
      <c r="H50" s="36"/>
      <c r="I50" s="36"/>
      <c r="J50" s="36"/>
      <c r="K50" s="203"/>
      <c r="L50" s="203"/>
      <c r="M50" s="203"/>
      <c r="N50" s="203"/>
      <c r="O50" s="203"/>
      <c r="P50" s="203"/>
      <c r="Q50" s="203"/>
      <c r="R50" s="204"/>
      <c r="S50" s="31"/>
      <c r="T50" s="205"/>
      <c r="W50" s="168"/>
    </row>
    <row r="51" spans="1:25">
      <c r="B51" s="206"/>
      <c r="C51" s="207"/>
      <c r="D51" s="36" t="s">
        <v>191</v>
      </c>
      <c r="E51" s="36"/>
      <c r="F51" s="36"/>
      <c r="G51" s="36"/>
      <c r="H51" s="36"/>
      <c r="I51" s="36"/>
      <c r="J51" s="36"/>
      <c r="K51" s="208"/>
      <c r="L51" s="203"/>
      <c r="M51" s="208"/>
      <c r="N51" s="203"/>
      <c r="O51" s="203"/>
      <c r="P51" s="203"/>
      <c r="Q51" s="203"/>
      <c r="R51" s="204"/>
      <c r="S51" s="31"/>
      <c r="T51" s="205"/>
      <c r="W51" s="168"/>
    </row>
    <row r="52" spans="1:25">
      <c r="A52" s="1" t="s">
        <v>192</v>
      </c>
      <c r="B52" s="72" t="s">
        <v>193</v>
      </c>
      <c r="C52" s="53"/>
      <c r="D52" s="36"/>
      <c r="E52" s="36" t="s">
        <v>194</v>
      </c>
      <c r="F52" s="36"/>
      <c r="G52" s="36"/>
      <c r="H52" s="36"/>
      <c r="I52" s="36"/>
      <c r="J52" s="36"/>
      <c r="K52" s="161">
        <v>93331898.790000007</v>
      </c>
      <c r="L52" s="161">
        <v>-17266640.600000001</v>
      </c>
      <c r="M52" s="161">
        <v>76065258.190000013</v>
      </c>
      <c r="N52" s="161">
        <v>0</v>
      </c>
      <c r="O52" s="161">
        <v>4136348.38</v>
      </c>
      <c r="P52" s="161">
        <v>80201606</v>
      </c>
      <c r="Q52" s="162"/>
      <c r="R52" s="163"/>
      <c r="S52" s="31"/>
      <c r="T52" s="205"/>
      <c r="U52" s="164">
        <f>M52</f>
        <v>76065258.190000013</v>
      </c>
      <c r="V52" s="164">
        <f t="shared" ref="V52:V70" si="8">ROUND(U52,0)-U52</f>
        <v>-0.1900000125169754</v>
      </c>
      <c r="W52" s="168">
        <f>O52</f>
        <v>4136348.38</v>
      </c>
      <c r="X52" s="164">
        <f t="shared" ref="X52:X70" si="9">ROUND(W52,0)-W52</f>
        <v>-0.37999999988824129</v>
      </c>
    </row>
    <row r="53" spans="1:25">
      <c r="A53" s="1" t="s">
        <v>195</v>
      </c>
      <c r="B53" s="72" t="s">
        <v>196</v>
      </c>
      <c r="C53" s="53"/>
      <c r="D53" s="36"/>
      <c r="E53" s="36" t="s">
        <v>197</v>
      </c>
      <c r="F53" s="36"/>
      <c r="G53" s="36"/>
      <c r="H53" s="36"/>
      <c r="I53" s="36"/>
      <c r="J53" s="36"/>
      <c r="K53" s="166">
        <v>142172.55999999997</v>
      </c>
      <c r="L53" s="166">
        <v>0</v>
      </c>
      <c r="M53" s="166">
        <v>142172.55999999997</v>
      </c>
      <c r="N53" s="166">
        <v>0</v>
      </c>
      <c r="O53" s="166">
        <v>187994</v>
      </c>
      <c r="P53" s="166">
        <v>330167</v>
      </c>
      <c r="Q53" s="167"/>
      <c r="R53" s="81"/>
      <c r="S53" s="31"/>
      <c r="T53" s="205"/>
      <c r="U53" s="164">
        <f t="shared" ref="U53:U70" si="10">M53</f>
        <v>142172.55999999997</v>
      </c>
      <c r="V53" s="164">
        <f t="shared" si="8"/>
        <v>0.44000000003143214</v>
      </c>
      <c r="W53" s="168">
        <f t="shared" ref="W53:W70" si="11">O53</f>
        <v>187994</v>
      </c>
      <c r="X53" s="164">
        <f t="shared" si="9"/>
        <v>0</v>
      </c>
    </row>
    <row r="54" spans="1:25">
      <c r="A54" s="1" t="s">
        <v>198</v>
      </c>
      <c r="B54" s="72" t="s">
        <v>199</v>
      </c>
      <c r="C54" s="53"/>
      <c r="D54" s="36"/>
      <c r="E54" s="36" t="s">
        <v>200</v>
      </c>
      <c r="F54" s="36"/>
      <c r="G54" s="36"/>
      <c r="H54" s="36"/>
      <c r="I54" s="36"/>
      <c r="J54" s="36"/>
      <c r="K54" s="166">
        <v>56756590.490000002</v>
      </c>
      <c r="L54" s="166">
        <v>11962927.890000001</v>
      </c>
      <c r="M54" s="166">
        <v>68719518.379999995</v>
      </c>
      <c r="N54" s="166">
        <v>0</v>
      </c>
      <c r="O54" s="166">
        <v>0</v>
      </c>
      <c r="P54" s="166">
        <v>68719518</v>
      </c>
      <c r="Q54" s="167"/>
      <c r="R54" s="81"/>
      <c r="S54" s="31"/>
      <c r="T54" s="205"/>
      <c r="U54" s="164">
        <f t="shared" si="10"/>
        <v>68719518.379999995</v>
      </c>
      <c r="V54" s="164">
        <f t="shared" si="8"/>
        <v>-0.37999999523162842</v>
      </c>
      <c r="W54" s="168">
        <f t="shared" si="11"/>
        <v>0</v>
      </c>
      <c r="X54" s="164">
        <f t="shared" si="9"/>
        <v>0</v>
      </c>
    </row>
    <row r="55" spans="1:25">
      <c r="A55" s="1" t="s">
        <v>201</v>
      </c>
      <c r="B55" s="72" t="s">
        <v>202</v>
      </c>
      <c r="C55" s="53"/>
      <c r="D55" s="36"/>
      <c r="E55" s="36" t="s">
        <v>203</v>
      </c>
      <c r="F55" s="36"/>
      <c r="G55" s="36"/>
      <c r="H55" s="36"/>
      <c r="I55" s="36"/>
      <c r="J55" s="36"/>
      <c r="K55" s="166">
        <v>10695821.580000002</v>
      </c>
      <c r="L55" s="166">
        <v>-0.51</v>
      </c>
      <c r="M55" s="166">
        <v>10695821.07</v>
      </c>
      <c r="N55" s="166">
        <v>0</v>
      </c>
      <c r="O55" s="166">
        <v>0</v>
      </c>
      <c r="P55" s="166">
        <v>10695821</v>
      </c>
      <c r="Q55" s="167"/>
      <c r="R55" s="81"/>
      <c r="S55" s="31"/>
      <c r="T55" s="205"/>
      <c r="U55" s="164">
        <f t="shared" si="10"/>
        <v>10695821.07</v>
      </c>
      <c r="V55" s="164">
        <f t="shared" si="8"/>
        <v>-7.0000000298023224E-2</v>
      </c>
      <c r="W55" s="168">
        <f t="shared" si="11"/>
        <v>0</v>
      </c>
      <c r="X55" s="164">
        <f t="shared" si="9"/>
        <v>0</v>
      </c>
    </row>
    <row r="56" spans="1:25">
      <c r="A56" s="1" t="s">
        <v>204</v>
      </c>
      <c r="B56" s="72" t="s">
        <v>205</v>
      </c>
      <c r="C56" s="53"/>
      <c r="D56" s="36"/>
      <c r="E56" s="36" t="s">
        <v>206</v>
      </c>
      <c r="F56" s="36"/>
      <c r="G56" s="36"/>
      <c r="H56" s="36"/>
      <c r="I56" s="36"/>
      <c r="J56" s="36"/>
      <c r="K56" s="166">
        <v>1894421.2899999998</v>
      </c>
      <c r="L56" s="166">
        <v>-0.27</v>
      </c>
      <c r="M56" s="166">
        <v>1894421.0199999998</v>
      </c>
      <c r="N56" s="166">
        <v>0</v>
      </c>
      <c r="O56" s="166">
        <v>946</v>
      </c>
      <c r="P56" s="166">
        <v>1895367</v>
      </c>
      <c r="Q56" s="167"/>
      <c r="R56" s="81"/>
      <c r="S56" s="31"/>
      <c r="U56" s="164">
        <f t="shared" si="10"/>
        <v>1894421.0199999998</v>
      </c>
      <c r="V56" s="164">
        <f t="shared" si="8"/>
        <v>-1.9999999785795808E-2</v>
      </c>
      <c r="W56" s="168">
        <f t="shared" si="11"/>
        <v>946</v>
      </c>
      <c r="X56" s="164">
        <f t="shared" si="9"/>
        <v>0</v>
      </c>
    </row>
    <row r="57" spans="1:25">
      <c r="A57" s="1" t="s">
        <v>207</v>
      </c>
      <c r="B57" s="72" t="s">
        <v>208</v>
      </c>
      <c r="C57" s="53"/>
      <c r="D57" s="36"/>
      <c r="E57" s="36" t="s">
        <v>209</v>
      </c>
      <c r="F57" s="36"/>
      <c r="G57" s="36"/>
      <c r="H57" s="36"/>
      <c r="I57" s="36"/>
      <c r="J57" s="36"/>
      <c r="K57" s="166">
        <v>3102362.37</v>
      </c>
      <c r="L57" s="166">
        <v>0</v>
      </c>
      <c r="M57" s="166">
        <v>3102362.37</v>
      </c>
      <c r="N57" s="166">
        <v>0</v>
      </c>
      <c r="O57" s="166">
        <v>9572119.75</v>
      </c>
      <c r="P57" s="166">
        <v>12674482</v>
      </c>
      <c r="Q57" s="167"/>
      <c r="R57" s="81"/>
      <c r="S57" s="31"/>
      <c r="T57" s="205"/>
      <c r="U57" s="164">
        <f t="shared" si="10"/>
        <v>3102362.37</v>
      </c>
      <c r="V57" s="164">
        <f t="shared" si="8"/>
        <v>-0.37000000011175871</v>
      </c>
      <c r="W57" s="168">
        <f t="shared" si="11"/>
        <v>9572119.75</v>
      </c>
      <c r="X57" s="164">
        <f t="shared" si="9"/>
        <v>0.25</v>
      </c>
    </row>
    <row r="58" spans="1:25">
      <c r="A58" s="1" t="s">
        <v>210</v>
      </c>
      <c r="B58" s="72" t="s">
        <v>211</v>
      </c>
      <c r="C58" s="53"/>
      <c r="D58" s="36"/>
      <c r="E58" s="197" t="s">
        <v>212</v>
      </c>
      <c r="F58" s="197"/>
      <c r="G58" s="197"/>
      <c r="H58" s="36"/>
      <c r="I58" s="36"/>
      <c r="J58" s="36"/>
      <c r="K58" s="166">
        <v>64809697.290000007</v>
      </c>
      <c r="L58" s="166">
        <v>9.9999999999999978E-2</v>
      </c>
      <c r="M58" s="166">
        <v>64809697.390000008</v>
      </c>
      <c r="N58" s="166">
        <v>0</v>
      </c>
      <c r="O58" s="166">
        <v>2978276.59</v>
      </c>
      <c r="P58" s="166">
        <v>67787974</v>
      </c>
      <c r="Q58" s="167"/>
      <c r="R58" s="81"/>
      <c r="S58" s="31"/>
      <c r="T58" s="205"/>
      <c r="U58" s="164">
        <f t="shared" si="10"/>
        <v>64809697.390000008</v>
      </c>
      <c r="V58" s="164">
        <f t="shared" si="8"/>
        <v>-0.39000000804662704</v>
      </c>
      <c r="W58" s="168">
        <f t="shared" si="11"/>
        <v>2978276.59</v>
      </c>
      <c r="X58" s="164">
        <f t="shared" si="9"/>
        <v>0.41000000014901161</v>
      </c>
    </row>
    <row r="59" spans="1:25">
      <c r="A59" s="1" t="s">
        <v>213</v>
      </c>
      <c r="B59" s="72" t="s">
        <v>214</v>
      </c>
      <c r="C59" s="53"/>
      <c r="D59" s="36"/>
      <c r="E59" s="36" t="s">
        <v>215</v>
      </c>
      <c r="F59" s="36"/>
      <c r="G59" s="36"/>
      <c r="H59" s="36"/>
      <c r="I59" s="36"/>
      <c r="J59" s="36"/>
      <c r="K59" s="166">
        <v>19210318.93</v>
      </c>
      <c r="L59" s="166">
        <v>-5000.37</v>
      </c>
      <c r="M59" s="166">
        <v>19205318.559999999</v>
      </c>
      <c r="N59" s="166">
        <v>0</v>
      </c>
      <c r="O59" s="166">
        <v>237221</v>
      </c>
      <c r="P59" s="166">
        <v>19442540</v>
      </c>
      <c r="Q59" s="167"/>
      <c r="R59" s="81"/>
      <c r="S59" s="31"/>
      <c r="T59" s="205"/>
      <c r="U59" s="164">
        <f t="shared" si="10"/>
        <v>19205318.559999999</v>
      </c>
      <c r="V59" s="164">
        <f t="shared" si="8"/>
        <v>0.44000000134110451</v>
      </c>
      <c r="W59" s="168">
        <f t="shared" si="11"/>
        <v>237221</v>
      </c>
      <c r="X59" s="164">
        <f t="shared" si="9"/>
        <v>0</v>
      </c>
    </row>
    <row r="60" spans="1:25">
      <c r="A60" s="1" t="s">
        <v>216</v>
      </c>
      <c r="B60" s="72">
        <v>33100</v>
      </c>
      <c r="C60" s="53"/>
      <c r="D60" s="36"/>
      <c r="E60" s="36" t="s">
        <v>217</v>
      </c>
      <c r="F60" s="36"/>
      <c r="G60" s="36"/>
      <c r="H60" s="36"/>
      <c r="I60" s="36"/>
      <c r="J60" s="36"/>
      <c r="K60" s="166">
        <v>110181895.18000002</v>
      </c>
      <c r="L60" s="166">
        <v>5198087.8500000006</v>
      </c>
      <c r="M60" s="166">
        <v>115379983.03000002</v>
      </c>
      <c r="N60" s="166">
        <v>0</v>
      </c>
      <c r="O60" s="166">
        <v>2650128</v>
      </c>
      <c r="P60" s="166">
        <v>118030111</v>
      </c>
      <c r="Q60" s="167"/>
      <c r="R60" s="81"/>
      <c r="S60" s="31"/>
      <c r="T60" s="205"/>
      <c r="U60" s="164">
        <f t="shared" si="10"/>
        <v>115379983.03000002</v>
      </c>
      <c r="V60" s="164">
        <f t="shared" si="8"/>
        <v>-3.0000016093254089E-2</v>
      </c>
      <c r="W60" s="168">
        <f t="shared" si="11"/>
        <v>2650128</v>
      </c>
      <c r="X60" s="164">
        <f t="shared" si="9"/>
        <v>0</v>
      </c>
    </row>
    <row r="61" spans="1:25">
      <c r="B61" s="72"/>
      <c r="C61" s="53"/>
      <c r="D61" s="36"/>
      <c r="E61" s="36" t="s">
        <v>218</v>
      </c>
      <c r="F61" s="36"/>
      <c r="G61" s="36"/>
      <c r="H61" s="36"/>
      <c r="I61" s="36"/>
      <c r="J61" s="36"/>
      <c r="K61" s="166">
        <v>0</v>
      </c>
      <c r="L61" s="166">
        <v>0</v>
      </c>
      <c r="M61" s="166">
        <v>0</v>
      </c>
      <c r="N61" s="166">
        <v>0</v>
      </c>
      <c r="O61" s="166">
        <v>0</v>
      </c>
      <c r="P61" s="81"/>
      <c r="Q61" s="49"/>
      <c r="R61" s="81"/>
      <c r="S61" s="31"/>
      <c r="T61" s="205"/>
      <c r="U61" s="164">
        <f t="shared" si="10"/>
        <v>0</v>
      </c>
      <c r="V61" s="164">
        <f t="shared" si="8"/>
        <v>0</v>
      </c>
      <c r="W61" s="168">
        <f t="shared" si="11"/>
        <v>0</v>
      </c>
      <c r="X61" s="164">
        <f t="shared" si="9"/>
        <v>0</v>
      </c>
    </row>
    <row r="62" spans="1:25">
      <c r="A62" s="1" t="s">
        <v>219</v>
      </c>
      <c r="B62" s="72" t="s">
        <v>220</v>
      </c>
      <c r="C62" s="53"/>
      <c r="D62" s="36"/>
      <c r="E62" s="36"/>
      <c r="F62" s="36" t="s">
        <v>221</v>
      </c>
      <c r="G62" s="36"/>
      <c r="H62" s="36"/>
      <c r="I62" s="36"/>
      <c r="J62" s="36"/>
      <c r="K62" s="166">
        <v>10827597</v>
      </c>
      <c r="L62" s="166">
        <v>0</v>
      </c>
      <c r="M62" s="166">
        <v>10827597</v>
      </c>
      <c r="N62" s="166">
        <v>0</v>
      </c>
      <c r="O62" s="166">
        <v>540000</v>
      </c>
      <c r="P62" s="166">
        <v>11367597</v>
      </c>
      <c r="Q62" s="167"/>
      <c r="R62" s="81"/>
      <c r="S62" s="31"/>
      <c r="T62" s="205"/>
      <c r="U62" s="164">
        <f t="shared" si="10"/>
        <v>10827597</v>
      </c>
      <c r="V62" s="164">
        <f t="shared" si="8"/>
        <v>0</v>
      </c>
      <c r="W62" s="168">
        <f t="shared" si="11"/>
        <v>540000</v>
      </c>
      <c r="X62" s="164">
        <f t="shared" si="9"/>
        <v>0</v>
      </c>
    </row>
    <row r="63" spans="1:25">
      <c r="A63" s="1" t="s">
        <v>222</v>
      </c>
      <c r="B63" s="72" t="s">
        <v>223</v>
      </c>
      <c r="C63" s="53"/>
      <c r="D63" s="36"/>
      <c r="E63" s="36"/>
      <c r="F63" s="36" t="s">
        <v>224</v>
      </c>
      <c r="G63" s="36"/>
      <c r="H63" s="36"/>
      <c r="I63" s="36"/>
      <c r="J63" s="36"/>
      <c r="K63" s="166">
        <v>8264645.2800000003</v>
      </c>
      <c r="L63" s="166">
        <v>1</v>
      </c>
      <c r="M63" s="166">
        <v>8264646.2800000003</v>
      </c>
      <c r="N63" s="166">
        <v>0</v>
      </c>
      <c r="O63" s="166">
        <v>2741462</v>
      </c>
      <c r="P63" s="166">
        <v>11006108</v>
      </c>
      <c r="Q63" s="167"/>
      <c r="R63" s="81"/>
      <c r="S63" s="31"/>
      <c r="U63" s="164">
        <f t="shared" si="10"/>
        <v>8264646.2800000003</v>
      </c>
      <c r="V63" s="164">
        <f t="shared" si="8"/>
        <v>-0.28000000026077032</v>
      </c>
      <c r="W63" s="168">
        <f t="shared" si="11"/>
        <v>2741462</v>
      </c>
      <c r="X63" s="164">
        <f t="shared" si="9"/>
        <v>0</v>
      </c>
    </row>
    <row r="64" spans="1:25">
      <c r="A64" s="1" t="s">
        <v>225</v>
      </c>
      <c r="B64" s="72" t="s">
        <v>226</v>
      </c>
      <c r="C64" s="53"/>
      <c r="D64" s="36"/>
      <c r="E64" s="36"/>
      <c r="F64" s="36" t="s">
        <v>227</v>
      </c>
      <c r="G64" s="36"/>
      <c r="H64" s="36"/>
      <c r="I64" s="36"/>
      <c r="J64" s="36"/>
      <c r="K64" s="166">
        <v>0</v>
      </c>
      <c r="L64" s="166">
        <v>0</v>
      </c>
      <c r="M64" s="166">
        <v>0</v>
      </c>
      <c r="N64" s="166">
        <v>0</v>
      </c>
      <c r="O64" s="166">
        <v>0</v>
      </c>
      <c r="P64" s="166">
        <v>0</v>
      </c>
      <c r="Q64" s="167"/>
      <c r="R64" s="81"/>
      <c r="S64" s="31"/>
      <c r="U64" s="164">
        <f t="shared" si="10"/>
        <v>0</v>
      </c>
      <c r="V64" s="164">
        <f t="shared" si="8"/>
        <v>0</v>
      </c>
      <c r="W64" s="168">
        <f t="shared" si="11"/>
        <v>0</v>
      </c>
      <c r="X64" s="164">
        <f t="shared" si="9"/>
        <v>0</v>
      </c>
    </row>
    <row r="65" spans="1:25">
      <c r="A65" s="1" t="s">
        <v>228</v>
      </c>
      <c r="B65" s="72" t="s">
        <v>229</v>
      </c>
      <c r="C65" s="53"/>
      <c r="D65" s="36"/>
      <c r="E65" s="36"/>
      <c r="F65" s="36" t="s">
        <v>230</v>
      </c>
      <c r="G65" s="36"/>
      <c r="H65" s="36"/>
      <c r="I65" s="36"/>
      <c r="J65" s="36"/>
      <c r="K65" s="166">
        <v>2400317.58</v>
      </c>
      <c r="L65" s="166">
        <v>-0.51</v>
      </c>
      <c r="M65" s="166">
        <v>2400317.0699999998</v>
      </c>
      <c r="N65" s="166">
        <v>0</v>
      </c>
      <c r="O65" s="166">
        <v>0</v>
      </c>
      <c r="P65" s="166">
        <v>2400317</v>
      </c>
      <c r="Q65" s="167"/>
      <c r="R65" s="81"/>
      <c r="S65" s="31"/>
      <c r="U65" s="164">
        <f t="shared" si="10"/>
        <v>2400317.0699999998</v>
      </c>
      <c r="V65" s="164">
        <f t="shared" si="8"/>
        <v>-6.9999999832361937E-2</v>
      </c>
      <c r="W65" s="168">
        <f t="shared" si="11"/>
        <v>0</v>
      </c>
      <c r="X65" s="164">
        <f t="shared" si="9"/>
        <v>0</v>
      </c>
    </row>
    <row r="66" spans="1:25">
      <c r="A66" s="1" t="s">
        <v>231</v>
      </c>
      <c r="B66" s="72" t="s">
        <v>223</v>
      </c>
      <c r="C66" s="53"/>
      <c r="D66" s="36"/>
      <c r="E66" s="36"/>
      <c r="F66" s="36" t="s">
        <v>232</v>
      </c>
      <c r="G66" s="36"/>
      <c r="H66" s="36"/>
      <c r="I66" s="36"/>
      <c r="J66" s="36"/>
      <c r="K66" s="166">
        <v>1153094.2</v>
      </c>
      <c r="L66" s="166">
        <v>-0.39</v>
      </c>
      <c r="M66" s="166">
        <v>1153093.81</v>
      </c>
      <c r="N66" s="166">
        <v>0</v>
      </c>
      <c r="O66" s="166">
        <v>0</v>
      </c>
      <c r="P66" s="166">
        <v>1153094</v>
      </c>
      <c r="Q66" s="167"/>
      <c r="R66" s="81"/>
      <c r="S66" s="31"/>
      <c r="U66" s="164">
        <f t="shared" si="10"/>
        <v>1153093.81</v>
      </c>
      <c r="V66" s="164">
        <f t="shared" si="8"/>
        <v>0.18999999994412065</v>
      </c>
      <c r="W66" s="168">
        <f t="shared" si="11"/>
        <v>0</v>
      </c>
      <c r="X66" s="164">
        <f t="shared" si="9"/>
        <v>0</v>
      </c>
    </row>
    <row r="67" spans="1:25">
      <c r="A67" s="1" t="s">
        <v>233</v>
      </c>
      <c r="B67" s="72" t="s">
        <v>234</v>
      </c>
      <c r="C67" s="53"/>
      <c r="D67" s="36"/>
      <c r="E67" s="36"/>
      <c r="F67" s="36" t="s">
        <v>235</v>
      </c>
      <c r="G67" s="36"/>
      <c r="H67" s="36"/>
      <c r="I67" s="36"/>
      <c r="J67" s="36"/>
      <c r="K67" s="166">
        <v>29601325.659999996</v>
      </c>
      <c r="L67" s="166">
        <v>0.26</v>
      </c>
      <c r="M67" s="166">
        <v>29601325.919999998</v>
      </c>
      <c r="N67" s="166">
        <v>0</v>
      </c>
      <c r="O67" s="166">
        <v>0</v>
      </c>
      <c r="P67" s="166">
        <v>29601326</v>
      </c>
      <c r="Q67" s="167"/>
      <c r="R67" s="81"/>
      <c r="S67" s="31"/>
      <c r="U67" s="164">
        <f t="shared" si="10"/>
        <v>29601325.919999998</v>
      </c>
      <c r="V67" s="164">
        <f t="shared" si="8"/>
        <v>8.0000001937150955E-2</v>
      </c>
      <c r="W67" s="168">
        <f t="shared" si="11"/>
        <v>0</v>
      </c>
      <c r="X67" s="164">
        <f t="shared" si="9"/>
        <v>0</v>
      </c>
    </row>
    <row r="68" spans="1:25">
      <c r="B68" s="72"/>
      <c r="C68" s="53"/>
      <c r="D68" s="36"/>
      <c r="E68" s="36"/>
      <c r="F68" s="36" t="s">
        <v>296</v>
      </c>
      <c r="G68" s="36"/>
      <c r="H68" s="36"/>
      <c r="I68" s="36"/>
      <c r="J68" s="36"/>
      <c r="K68" s="166">
        <v>16703772</v>
      </c>
      <c r="L68" s="166">
        <v>0</v>
      </c>
      <c r="M68" s="166">
        <v>16703772</v>
      </c>
      <c r="N68" s="166">
        <v>0</v>
      </c>
      <c r="O68" s="166">
        <v>0</v>
      </c>
      <c r="P68" s="166">
        <v>16703772</v>
      </c>
      <c r="Q68" s="167"/>
      <c r="R68" s="81"/>
      <c r="S68" s="31"/>
      <c r="W68" s="168"/>
    </row>
    <row r="69" spans="1:25">
      <c r="B69" s="72"/>
      <c r="C69" s="53"/>
      <c r="D69" s="36"/>
      <c r="E69" s="36"/>
      <c r="F69" s="36" t="s">
        <v>297</v>
      </c>
      <c r="G69" s="36"/>
      <c r="H69" s="36"/>
      <c r="I69" s="36"/>
      <c r="J69" s="36"/>
      <c r="K69" s="166">
        <v>18084949.400000002</v>
      </c>
      <c r="L69" s="166">
        <v>0.28999999999999998</v>
      </c>
      <c r="M69" s="166">
        <v>18084949.690000001</v>
      </c>
      <c r="N69" s="166">
        <v>0</v>
      </c>
      <c r="O69" s="166">
        <v>0</v>
      </c>
      <c r="P69" s="166">
        <v>18084950</v>
      </c>
      <c r="Q69" s="167"/>
      <c r="R69" s="81"/>
      <c r="S69" s="31"/>
      <c r="W69" s="168"/>
    </row>
    <row r="70" spans="1:25">
      <c r="A70" s="1" t="s">
        <v>236</v>
      </c>
      <c r="B70" s="72" t="s">
        <v>223</v>
      </c>
      <c r="C70" s="53"/>
      <c r="D70" s="36"/>
      <c r="E70" s="36"/>
      <c r="F70" s="36" t="s">
        <v>237</v>
      </c>
      <c r="G70" s="36"/>
      <c r="H70" s="36"/>
      <c r="I70" s="36"/>
      <c r="J70" s="36"/>
      <c r="K70" s="133">
        <v>103</v>
      </c>
      <c r="L70" s="133">
        <v>0</v>
      </c>
      <c r="M70" s="133">
        <v>103</v>
      </c>
      <c r="N70" s="133">
        <v>0</v>
      </c>
      <c r="O70" s="133">
        <v>5630514</v>
      </c>
      <c r="P70" s="133">
        <v>5630617</v>
      </c>
      <c r="Q70" s="167"/>
      <c r="R70" s="81"/>
      <c r="S70" s="31"/>
      <c r="U70" s="164">
        <f t="shared" si="10"/>
        <v>103</v>
      </c>
      <c r="V70" s="164">
        <f t="shared" si="8"/>
        <v>0</v>
      </c>
      <c r="W70" s="168">
        <f t="shared" si="11"/>
        <v>5630514</v>
      </c>
      <c r="X70" s="164">
        <f t="shared" si="9"/>
        <v>0</v>
      </c>
    </row>
    <row r="71" spans="1:25" s="64" customFormat="1" ht="7.5" customHeight="1">
      <c r="A71" s="12"/>
      <c r="B71" s="117"/>
      <c r="C71" s="71"/>
      <c r="D71" s="36"/>
      <c r="E71" s="36"/>
      <c r="F71" s="36"/>
      <c r="G71" s="36"/>
      <c r="H71" s="36"/>
      <c r="I71" s="36"/>
      <c r="J71" s="59"/>
      <c r="K71" s="59"/>
      <c r="L71" s="60"/>
      <c r="M71" s="59"/>
      <c r="N71" s="59"/>
      <c r="O71" s="60"/>
      <c r="P71" s="60"/>
      <c r="Q71" s="60"/>
      <c r="R71" s="61"/>
      <c r="S71" s="171"/>
      <c r="T71" s="172"/>
      <c r="U71" s="173"/>
      <c r="V71" s="173"/>
      <c r="W71" s="174"/>
      <c r="X71" s="173"/>
      <c r="Y71" s="227"/>
    </row>
    <row r="72" spans="1:25">
      <c r="A72" s="1" t="s">
        <v>238</v>
      </c>
      <c r="B72" s="72"/>
      <c r="C72" s="53"/>
      <c r="D72" s="36"/>
      <c r="E72" s="101" t="s">
        <v>239</v>
      </c>
      <c r="F72" s="36"/>
      <c r="G72" s="36"/>
      <c r="H72" s="36"/>
      <c r="I72" s="36"/>
      <c r="J72" s="36"/>
      <c r="K72" s="175">
        <v>447160982</v>
      </c>
      <c r="L72" s="175">
        <v>-110626</v>
      </c>
      <c r="M72" s="175">
        <v>447050357</v>
      </c>
      <c r="N72" s="92"/>
      <c r="O72" s="175">
        <v>28675010</v>
      </c>
      <c r="P72" s="175">
        <v>475725367</v>
      </c>
      <c r="Q72" s="49"/>
      <c r="R72" s="81"/>
      <c r="S72" s="31"/>
      <c r="U72" s="176">
        <f>SUM(U52:U70)</f>
        <v>412261635.65000004</v>
      </c>
      <c r="V72" s="176">
        <f>M72-U72</f>
        <v>34788721.349999964</v>
      </c>
      <c r="W72" s="176">
        <f>SUM(W52:W70)</f>
        <v>28675009.719999999</v>
      </c>
      <c r="X72" s="176">
        <f>W72-O72</f>
        <v>-0.2800000011920929</v>
      </c>
    </row>
    <row r="73" spans="1:25" s="64" customFormat="1">
      <c r="A73" s="12"/>
      <c r="B73" s="117"/>
      <c r="C73" s="71"/>
      <c r="D73" s="36"/>
      <c r="E73" s="36"/>
      <c r="F73" s="36"/>
      <c r="G73" s="36"/>
      <c r="H73" s="36"/>
      <c r="I73" s="36"/>
      <c r="J73" s="59"/>
      <c r="K73" s="59"/>
      <c r="L73" s="59"/>
      <c r="M73" s="59"/>
      <c r="N73" s="59"/>
      <c r="O73" s="60"/>
      <c r="P73" s="60"/>
      <c r="Q73" s="60"/>
      <c r="R73" s="61"/>
      <c r="S73" s="171"/>
      <c r="T73" s="172"/>
      <c r="U73" s="173"/>
      <c r="V73" s="173"/>
      <c r="W73" s="174"/>
      <c r="X73" s="173"/>
      <c r="Y73" s="227"/>
    </row>
    <row r="74" spans="1:25">
      <c r="B74" s="72"/>
      <c r="C74" s="53"/>
      <c r="D74" s="365" t="str">
        <f>D3</f>
        <v>FLORIDA COLLEGE SYSTEM - ALL COLLEGES</v>
      </c>
      <c r="E74" s="365"/>
      <c r="F74" s="365"/>
      <c r="G74" s="365"/>
      <c r="H74" s="365"/>
      <c r="I74" s="365"/>
      <c r="J74" s="365"/>
      <c r="K74" s="365"/>
      <c r="L74" s="365"/>
      <c r="M74" s="365"/>
      <c r="N74" s="365"/>
      <c r="O74" s="365"/>
      <c r="P74" s="233"/>
      <c r="Q74" s="233"/>
      <c r="R74" s="7"/>
      <c r="S74" s="31"/>
      <c r="V74" s="195"/>
      <c r="W74" s="195"/>
    </row>
    <row r="75" spans="1:25">
      <c r="B75" s="72"/>
      <c r="C75" s="53"/>
      <c r="D75" s="365" t="s">
        <v>0</v>
      </c>
      <c r="E75" s="365"/>
      <c r="F75" s="365"/>
      <c r="G75" s="365"/>
      <c r="H75" s="365"/>
      <c r="I75" s="365"/>
      <c r="J75" s="365"/>
      <c r="K75" s="365"/>
      <c r="L75" s="365"/>
      <c r="M75" s="365"/>
      <c r="N75" s="365"/>
      <c r="O75" s="365"/>
      <c r="P75" s="233"/>
      <c r="Q75" s="233"/>
      <c r="R75" s="7"/>
      <c r="S75" s="31"/>
      <c r="V75" s="195"/>
      <c r="W75" s="195"/>
    </row>
    <row r="76" spans="1:25">
      <c r="B76" s="72"/>
      <c r="C76" s="53"/>
      <c r="D76" s="365" t="s">
        <v>240</v>
      </c>
      <c r="E76" s="365"/>
      <c r="F76" s="365"/>
      <c r="G76" s="365"/>
      <c r="H76" s="365"/>
      <c r="I76" s="365"/>
      <c r="J76" s="365"/>
      <c r="K76" s="365"/>
      <c r="L76" s="365"/>
      <c r="M76" s="365"/>
      <c r="N76" s="365"/>
      <c r="O76" s="365"/>
      <c r="P76" s="233"/>
      <c r="Q76" s="233"/>
      <c r="R76" s="7"/>
      <c r="S76" s="31"/>
      <c r="V76" s="195"/>
      <c r="W76" s="195"/>
    </row>
    <row r="77" spans="1:25">
      <c r="B77" s="72"/>
      <c r="C77" s="53"/>
      <c r="D77" s="362">
        <f>D6</f>
        <v>42916</v>
      </c>
      <c r="E77" s="362"/>
      <c r="F77" s="362"/>
      <c r="G77" s="362"/>
      <c r="H77" s="362"/>
      <c r="I77" s="362"/>
      <c r="J77" s="362"/>
      <c r="K77" s="362"/>
      <c r="L77" s="362"/>
      <c r="M77" s="362"/>
      <c r="N77" s="362"/>
      <c r="O77" s="362"/>
      <c r="P77" s="231"/>
      <c r="Q77" s="209"/>
      <c r="R77" s="210"/>
      <c r="S77" s="31"/>
      <c r="V77" s="195"/>
      <c r="W77" s="195"/>
    </row>
    <row r="78" spans="1:25" s="64" customFormat="1" ht="9" customHeight="1">
      <c r="A78" s="12"/>
      <c r="B78" s="117"/>
      <c r="C78" s="71"/>
      <c r="D78" s="36"/>
      <c r="E78" s="36"/>
      <c r="F78" s="36"/>
      <c r="G78" s="36"/>
      <c r="H78" s="36"/>
      <c r="I78" s="59"/>
      <c r="J78" s="59"/>
      <c r="K78" s="148" t="s">
        <v>4</v>
      </c>
      <c r="L78" s="148"/>
      <c r="M78" s="59"/>
      <c r="N78" s="60"/>
      <c r="O78" s="60"/>
      <c r="P78" s="60"/>
      <c r="Q78" s="60"/>
      <c r="R78" s="61"/>
      <c r="S78" s="171"/>
      <c r="T78" s="172"/>
      <c r="U78" s="363" t="s">
        <v>134</v>
      </c>
      <c r="V78" s="363"/>
      <c r="W78" s="363"/>
      <c r="X78" s="363"/>
      <c r="Y78" s="227"/>
    </row>
    <row r="79" spans="1:25">
      <c r="B79" s="72"/>
      <c r="C79" s="53"/>
      <c r="D79" s="233"/>
      <c r="E79" s="233"/>
      <c r="F79" s="233"/>
      <c r="G79" s="233"/>
      <c r="H79" s="233"/>
      <c r="I79" s="233"/>
      <c r="J79" s="233"/>
      <c r="K79" s="235" t="s">
        <v>303</v>
      </c>
      <c r="L79" s="26" t="s">
        <v>304</v>
      </c>
      <c r="M79" s="211" t="s">
        <v>4</v>
      </c>
      <c r="N79" s="212"/>
      <c r="O79" s="213" t="s">
        <v>5</v>
      </c>
      <c r="P79" s="213" t="s">
        <v>6</v>
      </c>
      <c r="Q79" s="213"/>
      <c r="R79" s="27"/>
      <c r="S79" s="31"/>
      <c r="U79" s="364"/>
      <c r="V79" s="364"/>
      <c r="W79" s="364"/>
      <c r="X79" s="364"/>
    </row>
    <row r="80" spans="1:25">
      <c r="B80" s="72"/>
      <c r="C80" s="53"/>
      <c r="D80" s="101"/>
      <c r="E80" s="101"/>
      <c r="F80" s="101"/>
      <c r="G80" s="101"/>
      <c r="H80" s="101"/>
      <c r="I80" s="101"/>
      <c r="J80" s="101"/>
      <c r="K80" s="155"/>
      <c r="L80" s="155"/>
      <c r="M80" s="26"/>
      <c r="N80" s="212"/>
      <c r="O80" s="26" t="str">
        <f>O9</f>
        <v>Unit</v>
      </c>
      <c r="P80" s="26"/>
      <c r="Q80" s="152"/>
      <c r="R80" s="27"/>
      <c r="S80" s="31"/>
      <c r="U80" s="39" t="s">
        <v>4</v>
      </c>
      <c r="V80" s="40" t="s">
        <v>14</v>
      </c>
      <c r="W80" s="41" t="s">
        <v>15</v>
      </c>
      <c r="X80" s="42" t="s">
        <v>14</v>
      </c>
    </row>
    <row r="81" spans="1:25">
      <c r="B81" s="72"/>
      <c r="C81" s="53"/>
      <c r="D81" s="36" t="s">
        <v>241</v>
      </c>
      <c r="E81" s="36"/>
      <c r="F81" s="36"/>
      <c r="G81" s="36"/>
      <c r="H81" s="36"/>
      <c r="I81" s="36"/>
      <c r="J81" s="36"/>
      <c r="K81" s="160"/>
      <c r="L81" s="155"/>
      <c r="M81" s="59"/>
      <c r="N81" s="59"/>
      <c r="O81" s="59"/>
      <c r="P81" s="59"/>
      <c r="Q81" s="59"/>
      <c r="R81" s="77"/>
      <c r="S81" s="31"/>
      <c r="W81" s="168"/>
    </row>
    <row r="82" spans="1:25">
      <c r="A82" s="52" t="s">
        <v>242</v>
      </c>
      <c r="B82" s="159" t="s">
        <v>243</v>
      </c>
      <c r="C82" s="159"/>
      <c r="D82" s="36"/>
      <c r="E82" s="36" t="s">
        <v>221</v>
      </c>
      <c r="F82" s="36"/>
      <c r="G82" s="36"/>
      <c r="H82" s="36"/>
      <c r="I82" s="36"/>
      <c r="J82" s="36"/>
      <c r="K82" s="161">
        <v>112921035.53</v>
      </c>
      <c r="L82" s="161">
        <v>0</v>
      </c>
      <c r="M82" s="161">
        <v>112921035.53</v>
      </c>
      <c r="N82" s="161">
        <v>0</v>
      </c>
      <c r="O82" s="161">
        <v>8750859</v>
      </c>
      <c r="P82" s="161">
        <v>121671895</v>
      </c>
      <c r="Q82" s="162"/>
      <c r="R82" s="163"/>
      <c r="S82" s="31"/>
      <c r="U82" s="164">
        <f t="shared" ref="U82:U91" si="12">M82</f>
        <v>112921035.53</v>
      </c>
      <c r="V82" s="164">
        <f t="shared" ref="V82:V91" si="13">ROUND(U82,0)-U82</f>
        <v>0.4699999988079071</v>
      </c>
      <c r="W82" s="168">
        <f t="shared" ref="W82:W91" si="14">O82</f>
        <v>8750859</v>
      </c>
      <c r="X82" s="164">
        <f t="shared" ref="X82:X91" si="15">ROUND(W82,0)-W82</f>
        <v>0</v>
      </c>
    </row>
    <row r="83" spans="1:25">
      <c r="A83" s="52" t="s">
        <v>244</v>
      </c>
      <c r="B83" s="53" t="s">
        <v>245</v>
      </c>
      <c r="C83" s="53"/>
      <c r="D83" s="36"/>
      <c r="E83" s="36" t="s">
        <v>224</v>
      </c>
      <c r="F83" s="36"/>
      <c r="G83" s="36"/>
      <c r="H83" s="36"/>
      <c r="I83" s="36"/>
      <c r="J83" s="36"/>
      <c r="K83" s="166">
        <v>30729689.380000003</v>
      </c>
      <c r="L83" s="166">
        <v>-0.27</v>
      </c>
      <c r="M83" s="166">
        <v>30729689.110000003</v>
      </c>
      <c r="N83" s="166">
        <v>0</v>
      </c>
      <c r="O83" s="166">
        <v>24794244</v>
      </c>
      <c r="P83" s="166">
        <v>55523933</v>
      </c>
      <c r="Q83" s="167"/>
      <c r="R83" s="81"/>
      <c r="S83" s="31"/>
      <c r="U83" s="164">
        <f t="shared" si="12"/>
        <v>30729689.110000003</v>
      </c>
      <c r="V83" s="164">
        <f t="shared" si="13"/>
        <v>-0.11000000312924385</v>
      </c>
      <c r="W83" s="168">
        <f t="shared" si="14"/>
        <v>24794244</v>
      </c>
      <c r="X83" s="164">
        <f t="shared" si="15"/>
        <v>0</v>
      </c>
    </row>
    <row r="84" spans="1:25">
      <c r="A84" s="52" t="s">
        <v>246</v>
      </c>
      <c r="B84" s="53" t="s">
        <v>247</v>
      </c>
      <c r="C84" s="53"/>
      <c r="D84" s="36"/>
      <c r="E84" s="36" t="s">
        <v>227</v>
      </c>
      <c r="F84" s="36"/>
      <c r="G84" s="36"/>
      <c r="H84" s="36"/>
      <c r="I84" s="36"/>
      <c r="J84" s="36"/>
      <c r="K84" s="166">
        <v>0</v>
      </c>
      <c r="L84" s="166">
        <v>0</v>
      </c>
      <c r="M84" s="166">
        <v>0</v>
      </c>
      <c r="N84" s="166">
        <v>0</v>
      </c>
      <c r="O84" s="166">
        <v>0</v>
      </c>
      <c r="P84" s="166">
        <v>0</v>
      </c>
      <c r="Q84" s="167"/>
      <c r="R84" s="81"/>
      <c r="S84" s="31"/>
      <c r="U84" s="164">
        <f t="shared" si="12"/>
        <v>0</v>
      </c>
      <c r="V84" s="164">
        <f t="shared" si="13"/>
        <v>0</v>
      </c>
      <c r="W84" s="168">
        <f t="shared" si="14"/>
        <v>0</v>
      </c>
      <c r="X84" s="164">
        <f t="shared" si="15"/>
        <v>0</v>
      </c>
    </row>
    <row r="85" spans="1:25">
      <c r="A85" s="52" t="s">
        <v>248</v>
      </c>
      <c r="B85" s="53" t="s">
        <v>249</v>
      </c>
      <c r="C85" s="53"/>
      <c r="D85" s="36"/>
      <c r="E85" s="36" t="s">
        <v>230</v>
      </c>
      <c r="F85" s="36"/>
      <c r="G85" s="36"/>
      <c r="H85" s="36"/>
      <c r="I85" s="36"/>
      <c r="J85" s="36"/>
      <c r="K85" s="166">
        <v>28217754.640000001</v>
      </c>
      <c r="L85" s="166">
        <v>0.74</v>
      </c>
      <c r="M85" s="166">
        <v>28217755.380000003</v>
      </c>
      <c r="N85" s="166">
        <v>0</v>
      </c>
      <c r="O85" s="166">
        <v>0</v>
      </c>
      <c r="P85" s="166">
        <v>28217755</v>
      </c>
      <c r="Q85" s="167"/>
      <c r="R85" s="81"/>
      <c r="S85" s="31"/>
      <c r="U85" s="164">
        <f t="shared" si="12"/>
        <v>28217755.380000003</v>
      </c>
      <c r="V85" s="164">
        <f t="shared" si="13"/>
        <v>-0.38000000268220901</v>
      </c>
      <c r="W85" s="168">
        <f t="shared" si="14"/>
        <v>0</v>
      </c>
      <c r="X85" s="164">
        <f t="shared" si="15"/>
        <v>0</v>
      </c>
    </row>
    <row r="86" spans="1:25">
      <c r="A86" s="52" t="s">
        <v>250</v>
      </c>
      <c r="B86" s="53" t="s">
        <v>245</v>
      </c>
      <c r="C86" s="53"/>
      <c r="D86" s="36"/>
      <c r="E86" s="36" t="s">
        <v>232</v>
      </c>
      <c r="F86" s="36"/>
      <c r="G86" s="36"/>
      <c r="H86" s="36"/>
      <c r="I86" s="36"/>
      <c r="J86" s="36"/>
      <c r="K86" s="166">
        <v>2768558.37</v>
      </c>
      <c r="L86" s="166">
        <v>-0.47</v>
      </c>
      <c r="M86" s="166">
        <v>2768557.9</v>
      </c>
      <c r="N86" s="166">
        <v>0</v>
      </c>
      <c r="O86" s="166">
        <v>0</v>
      </c>
      <c r="P86" s="166">
        <v>2768558</v>
      </c>
      <c r="Q86" s="167"/>
      <c r="R86" s="81"/>
      <c r="S86" s="31"/>
      <c r="U86" s="164">
        <f t="shared" si="12"/>
        <v>2768557.9</v>
      </c>
      <c r="V86" s="164">
        <f t="shared" si="13"/>
        <v>0.10000000009313226</v>
      </c>
      <c r="W86" s="168">
        <f t="shared" si="14"/>
        <v>0</v>
      </c>
      <c r="X86" s="164">
        <f t="shared" si="15"/>
        <v>0</v>
      </c>
    </row>
    <row r="87" spans="1:25">
      <c r="A87" s="52" t="s">
        <v>251</v>
      </c>
      <c r="B87" s="53" t="s">
        <v>252</v>
      </c>
      <c r="C87" s="53"/>
      <c r="D87" s="36"/>
      <c r="E87" s="36" t="s">
        <v>235</v>
      </c>
      <c r="F87" s="36"/>
      <c r="G87" s="36"/>
      <c r="H87" s="36"/>
      <c r="I87" s="36"/>
      <c r="J87" s="36"/>
      <c r="K87" s="166">
        <v>153231164.69000003</v>
      </c>
      <c r="L87" s="166">
        <v>0.19</v>
      </c>
      <c r="M87" s="166">
        <v>153231164.88000003</v>
      </c>
      <c r="N87" s="166">
        <v>0</v>
      </c>
      <c r="O87" s="166">
        <v>3089</v>
      </c>
      <c r="P87" s="166">
        <v>153234254</v>
      </c>
      <c r="Q87" s="167"/>
      <c r="R87" s="81"/>
      <c r="S87" s="31"/>
      <c r="U87" s="164">
        <f t="shared" si="12"/>
        <v>153231164.88000003</v>
      </c>
      <c r="V87" s="164">
        <f t="shared" si="13"/>
        <v>0.11999997496604919</v>
      </c>
      <c r="W87" s="168">
        <f t="shared" si="14"/>
        <v>3089</v>
      </c>
      <c r="X87" s="164">
        <f t="shared" si="15"/>
        <v>0</v>
      </c>
    </row>
    <row r="88" spans="1:25">
      <c r="A88" s="52"/>
      <c r="B88" s="53"/>
      <c r="C88" s="53"/>
      <c r="D88" s="36"/>
      <c r="E88" s="36" t="s">
        <v>296</v>
      </c>
      <c r="F88" s="36"/>
      <c r="G88" s="36"/>
      <c r="H88" s="36"/>
      <c r="I88" s="36"/>
      <c r="J88" s="36"/>
      <c r="K88" s="166">
        <v>633104813.56999993</v>
      </c>
      <c r="L88" s="166">
        <v>0</v>
      </c>
      <c r="M88" s="166">
        <v>633104813.56999993</v>
      </c>
      <c r="N88" s="166">
        <v>0</v>
      </c>
      <c r="O88" s="166">
        <v>0</v>
      </c>
      <c r="P88" s="166">
        <v>633104814</v>
      </c>
      <c r="Q88" s="167"/>
      <c r="R88" s="81"/>
      <c r="S88" s="31"/>
      <c r="W88" s="168"/>
    </row>
    <row r="89" spans="1:25">
      <c r="A89" s="52"/>
      <c r="B89" s="53"/>
      <c r="C89" s="53"/>
      <c r="D89" s="36"/>
      <c r="E89" s="36" t="s">
        <v>297</v>
      </c>
      <c r="F89" s="36"/>
      <c r="G89" s="36"/>
      <c r="H89" s="36"/>
      <c r="I89" s="36"/>
      <c r="J89" s="36"/>
      <c r="K89" s="166">
        <v>392382863.02999997</v>
      </c>
      <c r="L89" s="166">
        <v>-0.27</v>
      </c>
      <c r="M89" s="166">
        <v>392382862.75999999</v>
      </c>
      <c r="N89" s="166">
        <v>0</v>
      </c>
      <c r="O89" s="166">
        <v>0</v>
      </c>
      <c r="P89" s="166">
        <v>392382863</v>
      </c>
      <c r="Q89" s="167"/>
      <c r="R89" s="81"/>
      <c r="S89" s="31"/>
      <c r="W89" s="168"/>
    </row>
    <row r="90" spans="1:25">
      <c r="A90" s="52" t="s">
        <v>253</v>
      </c>
      <c r="B90" s="53" t="s">
        <v>245</v>
      </c>
      <c r="C90" s="53"/>
      <c r="D90" s="36"/>
      <c r="E90" s="36" t="s">
        <v>254</v>
      </c>
      <c r="F90" s="36"/>
      <c r="G90" s="36"/>
      <c r="H90" s="36"/>
      <c r="I90" s="36"/>
      <c r="J90" s="36"/>
      <c r="K90" s="166">
        <v>49132160.449999996</v>
      </c>
      <c r="L90" s="166">
        <v>-0.29000000000000004</v>
      </c>
      <c r="M90" s="166">
        <v>49132160.159999989</v>
      </c>
      <c r="N90" s="166">
        <v>0</v>
      </c>
      <c r="O90" s="166">
        <v>0</v>
      </c>
      <c r="P90" s="166">
        <v>49132160</v>
      </c>
      <c r="Q90" s="167"/>
      <c r="R90" s="81"/>
      <c r="S90" s="31"/>
      <c r="U90" s="164">
        <f t="shared" si="12"/>
        <v>49132160.159999989</v>
      </c>
      <c r="V90" s="164">
        <f t="shared" si="13"/>
        <v>-0.15999998897314072</v>
      </c>
      <c r="W90" s="168">
        <f t="shared" si="14"/>
        <v>0</v>
      </c>
      <c r="X90" s="164">
        <f t="shared" si="15"/>
        <v>0</v>
      </c>
    </row>
    <row r="91" spans="1:25">
      <c r="A91" s="52" t="s">
        <v>255</v>
      </c>
      <c r="B91" s="53" t="s">
        <v>245</v>
      </c>
      <c r="C91" s="53"/>
      <c r="D91" s="36"/>
      <c r="E91" s="36" t="s">
        <v>237</v>
      </c>
      <c r="F91" s="36"/>
      <c r="G91" s="36"/>
      <c r="H91" s="36"/>
      <c r="I91" s="36"/>
      <c r="J91" s="36"/>
      <c r="K91" s="133">
        <v>18343963.23</v>
      </c>
      <c r="L91" s="133">
        <v>0</v>
      </c>
      <c r="M91" s="133">
        <v>18343963.23</v>
      </c>
      <c r="N91" s="133">
        <v>0</v>
      </c>
      <c r="O91" s="133">
        <v>3304169</v>
      </c>
      <c r="P91" s="133">
        <v>21648132</v>
      </c>
      <c r="Q91" s="167"/>
      <c r="R91" s="81"/>
      <c r="S91" s="31"/>
      <c r="U91" s="164">
        <f t="shared" si="12"/>
        <v>18343963.23</v>
      </c>
      <c r="V91" s="164">
        <f t="shared" si="13"/>
        <v>-0.23000000044703484</v>
      </c>
      <c r="W91" s="168">
        <f t="shared" si="14"/>
        <v>3304169</v>
      </c>
      <c r="X91" s="164">
        <f t="shared" si="15"/>
        <v>0</v>
      </c>
    </row>
    <row r="92" spans="1:25" s="64" customFormat="1" ht="7.5" customHeight="1">
      <c r="A92" s="70"/>
      <c r="B92" s="71"/>
      <c r="C92" s="71"/>
      <c r="D92" s="36"/>
      <c r="E92" s="36"/>
      <c r="F92" s="36"/>
      <c r="G92" s="36"/>
      <c r="H92" s="36"/>
      <c r="I92" s="36"/>
      <c r="J92" s="59"/>
      <c r="K92" s="59"/>
      <c r="L92" s="59"/>
      <c r="M92" s="92"/>
      <c r="N92" s="92"/>
      <c r="O92" s="99"/>
      <c r="P92" s="99"/>
      <c r="Q92" s="99"/>
      <c r="R92" s="100"/>
      <c r="S92" s="171"/>
      <c r="T92" s="172"/>
      <c r="U92" s="164"/>
      <c r="V92" s="164"/>
      <c r="W92" s="168"/>
      <c r="X92" s="164"/>
      <c r="Y92" s="227"/>
    </row>
    <row r="93" spans="1:25">
      <c r="A93" s="52" t="s">
        <v>256</v>
      </c>
      <c r="B93" s="53"/>
      <c r="C93" s="53"/>
      <c r="D93" s="36"/>
      <c r="E93" s="101" t="s">
        <v>257</v>
      </c>
      <c r="F93" s="36"/>
      <c r="G93" s="36"/>
      <c r="H93" s="36"/>
      <c r="I93" s="36"/>
      <c r="J93" s="36"/>
      <c r="K93" s="175">
        <v>1420832003</v>
      </c>
      <c r="L93" s="175">
        <v>1</v>
      </c>
      <c r="M93" s="175">
        <v>1420832003</v>
      </c>
      <c r="N93" s="92"/>
      <c r="O93" s="175">
        <v>36852361</v>
      </c>
      <c r="P93" s="175">
        <v>1457684364</v>
      </c>
      <c r="Q93" s="49"/>
      <c r="R93" s="81"/>
      <c r="S93" s="31"/>
      <c r="U93" s="176">
        <f>SUM(U82:U91)</f>
        <v>395344326.19000006</v>
      </c>
      <c r="V93" s="176">
        <f>M93-U93</f>
        <v>1025487676.8099999</v>
      </c>
      <c r="W93" s="176">
        <f>SUM(W82:W91)</f>
        <v>36852361</v>
      </c>
      <c r="X93" s="176">
        <f>W93-O93</f>
        <v>0</v>
      </c>
    </row>
    <row r="94" spans="1:25" s="64" customFormat="1" ht="7.5" customHeight="1">
      <c r="A94" s="70"/>
      <c r="B94" s="71"/>
      <c r="C94" s="71"/>
      <c r="D94" s="36"/>
      <c r="E94" s="36"/>
      <c r="F94" s="36"/>
      <c r="G94" s="36"/>
      <c r="H94" s="36"/>
      <c r="I94" s="36"/>
      <c r="J94" s="59"/>
      <c r="K94" s="59"/>
      <c r="L94" s="59"/>
      <c r="M94" s="59"/>
      <c r="N94" s="59"/>
      <c r="O94" s="60"/>
      <c r="P94" s="60"/>
      <c r="Q94" s="60"/>
      <c r="R94" s="61"/>
      <c r="S94" s="171"/>
      <c r="T94" s="172"/>
      <c r="U94" s="164"/>
      <c r="V94" s="164"/>
      <c r="W94" s="168"/>
      <c r="X94" s="164"/>
      <c r="Y94" s="227"/>
    </row>
    <row r="95" spans="1:25" ht="13.5" thickBot="1">
      <c r="A95" s="6"/>
      <c r="B95" s="53"/>
      <c r="C95" s="53"/>
      <c r="D95" s="101" t="s">
        <v>258</v>
      </c>
      <c r="E95" s="36"/>
      <c r="F95" s="36"/>
      <c r="G95" s="36"/>
      <c r="H95" s="36"/>
      <c r="I95" s="36"/>
      <c r="J95" s="36"/>
      <c r="K95" s="188">
        <v>1867992985</v>
      </c>
      <c r="L95" s="188">
        <v>-110625</v>
      </c>
      <c r="M95" s="188">
        <v>1867882360</v>
      </c>
      <c r="N95" s="189"/>
      <c r="O95" s="190">
        <v>65527371</v>
      </c>
      <c r="P95" s="214">
        <v>1933409731</v>
      </c>
      <c r="Q95" s="49"/>
      <c r="R95" s="81"/>
      <c r="S95" s="31"/>
      <c r="U95" s="176">
        <f>U93+U72</f>
        <v>807605961.84000015</v>
      </c>
      <c r="V95" s="176">
        <f>M95-U95</f>
        <v>1060276398.1599998</v>
      </c>
      <c r="W95" s="177">
        <f>W93+W72</f>
        <v>65527370.719999999</v>
      </c>
      <c r="X95" s="176">
        <f>W95-O95</f>
        <v>-0.2800000011920929</v>
      </c>
    </row>
    <row r="96" spans="1:25" ht="13.5" thickTop="1">
      <c r="A96" s="6"/>
      <c r="B96" s="53"/>
      <c r="C96" s="53"/>
      <c r="D96" s="101"/>
      <c r="E96" s="36"/>
      <c r="F96" s="36"/>
      <c r="G96" s="36"/>
      <c r="H96" s="36"/>
      <c r="I96" s="36"/>
      <c r="J96" s="36"/>
      <c r="K96" s="36"/>
      <c r="L96" s="36"/>
      <c r="M96" s="96"/>
      <c r="N96" s="184"/>
      <c r="O96" s="96"/>
      <c r="P96" s="96"/>
      <c r="Q96" s="49"/>
      <c r="R96" s="81"/>
      <c r="S96" s="31"/>
      <c r="U96" s="195"/>
      <c r="V96" s="195"/>
      <c r="W96" s="168"/>
      <c r="X96" s="195"/>
    </row>
    <row r="97" spans="1:25">
      <c r="B97" s="72"/>
      <c r="C97" s="53"/>
      <c r="D97" s="196" t="s">
        <v>259</v>
      </c>
      <c r="E97" s="197"/>
      <c r="F97" s="198"/>
      <c r="G97" s="43"/>
      <c r="H97" s="43"/>
      <c r="I97" s="43"/>
      <c r="J97" s="197"/>
      <c r="K97" s="197"/>
      <c r="L97" s="197"/>
      <c r="M97" s="199"/>
      <c r="N97" s="200"/>
      <c r="O97" s="199"/>
      <c r="P97" s="194"/>
      <c r="Q97" s="191"/>
      <c r="R97" s="192"/>
      <c r="S97" s="31"/>
      <c r="U97" s="195"/>
      <c r="V97" s="195"/>
      <c r="W97" s="168"/>
      <c r="X97" s="195"/>
    </row>
    <row r="98" spans="1:25">
      <c r="B98" s="72"/>
      <c r="C98" s="53"/>
      <c r="D98" s="197" t="s">
        <v>260</v>
      </c>
      <c r="E98" s="197"/>
      <c r="F98" s="198"/>
      <c r="G98" s="43"/>
      <c r="H98" s="43"/>
      <c r="I98" s="43"/>
      <c r="J98" s="197"/>
      <c r="K98" s="166">
        <v>0</v>
      </c>
      <c r="L98" s="166">
        <v>0</v>
      </c>
      <c r="M98" s="166">
        <v>0</v>
      </c>
      <c r="N98" s="166">
        <v>0</v>
      </c>
      <c r="O98" s="166">
        <v>1948803</v>
      </c>
      <c r="P98" s="166">
        <v>1948803</v>
      </c>
      <c r="Q98" s="191"/>
      <c r="R98" s="192"/>
      <c r="S98" s="31"/>
      <c r="U98" s="195"/>
      <c r="V98" s="195"/>
      <c r="W98" s="168"/>
      <c r="X98" s="195"/>
    </row>
    <row r="99" spans="1:25">
      <c r="B99" s="72"/>
      <c r="C99" s="53"/>
      <c r="D99" s="197" t="s">
        <v>298</v>
      </c>
      <c r="E99" s="197"/>
      <c r="F99" s="198"/>
      <c r="G99" s="43"/>
      <c r="H99" s="43"/>
      <c r="I99" s="43"/>
      <c r="J99" s="197"/>
      <c r="K99" s="166">
        <v>86973914</v>
      </c>
      <c r="L99" s="166">
        <v>0</v>
      </c>
      <c r="M99" s="166">
        <v>86973914</v>
      </c>
      <c r="N99" s="166">
        <v>0</v>
      </c>
      <c r="O99" s="166">
        <v>0</v>
      </c>
      <c r="P99" s="166">
        <v>86973914</v>
      </c>
      <c r="Q99" s="191"/>
      <c r="R99" s="192"/>
      <c r="S99" s="31"/>
      <c r="U99" s="195"/>
      <c r="V99" s="195"/>
      <c r="W99" s="168"/>
      <c r="X99" s="195"/>
    </row>
    <row r="100" spans="1:25">
      <c r="B100" s="72"/>
      <c r="C100" s="53"/>
      <c r="D100" s="197" t="s">
        <v>299</v>
      </c>
      <c r="E100" s="197"/>
      <c r="F100" s="198"/>
      <c r="G100" s="43"/>
      <c r="H100" s="43"/>
      <c r="I100" s="43"/>
      <c r="J100" s="197"/>
      <c r="K100" s="166">
        <v>13071747.01</v>
      </c>
      <c r="L100" s="166">
        <v>0</v>
      </c>
      <c r="M100" s="166">
        <v>13071747.01</v>
      </c>
      <c r="N100" s="166">
        <v>0</v>
      </c>
      <c r="O100" s="166">
        <v>0</v>
      </c>
      <c r="P100" s="166">
        <v>13071747</v>
      </c>
      <c r="Q100" s="191"/>
      <c r="R100" s="192"/>
      <c r="S100" s="31"/>
      <c r="U100" s="195"/>
      <c r="V100" s="195"/>
      <c r="W100" s="168"/>
      <c r="X100" s="195"/>
    </row>
    <row r="101" spans="1:25">
      <c r="A101" s="1" t="s">
        <v>305</v>
      </c>
      <c r="B101" s="72" t="s">
        <v>306</v>
      </c>
      <c r="C101" s="53"/>
      <c r="D101" s="197" t="s">
        <v>307</v>
      </c>
      <c r="E101" s="197"/>
      <c r="F101" s="198"/>
      <c r="G101" s="43"/>
      <c r="H101" s="43"/>
      <c r="I101" s="43"/>
      <c r="J101" s="43"/>
      <c r="K101" s="166">
        <v>0</v>
      </c>
      <c r="L101" s="166">
        <v>0</v>
      </c>
      <c r="M101" s="166">
        <v>0</v>
      </c>
      <c r="N101" s="166">
        <v>0</v>
      </c>
      <c r="O101" s="166">
        <v>108600</v>
      </c>
      <c r="P101" s="81">
        <v>108600</v>
      </c>
      <c r="Q101" s="191"/>
      <c r="R101" s="192"/>
      <c r="S101" s="31"/>
      <c r="U101" s="195"/>
      <c r="V101" s="195"/>
      <c r="W101" s="168"/>
      <c r="X101" s="195"/>
      <c r="Y101" s="6"/>
    </row>
    <row r="102" spans="1:25">
      <c r="B102" s="72"/>
      <c r="C102" s="53"/>
      <c r="D102" s="197" t="s">
        <v>261</v>
      </c>
      <c r="E102" s="197"/>
      <c r="F102" s="198"/>
      <c r="G102" s="43"/>
      <c r="H102" s="43"/>
      <c r="I102" s="43"/>
      <c r="J102" s="197"/>
      <c r="K102" s="133">
        <v>0</v>
      </c>
      <c r="L102" s="133">
        <v>0</v>
      </c>
      <c r="M102" s="133">
        <v>0</v>
      </c>
      <c r="N102" s="133">
        <v>0</v>
      </c>
      <c r="O102" s="133">
        <v>0</v>
      </c>
      <c r="P102" s="133">
        <v>0</v>
      </c>
      <c r="Q102" s="191"/>
      <c r="R102" s="192"/>
      <c r="S102" s="31"/>
      <c r="U102" s="195">
        <f>P102</f>
        <v>0</v>
      </c>
      <c r="V102" s="195"/>
      <c r="W102" s="168"/>
      <c r="X102" s="195"/>
    </row>
    <row r="103" spans="1:25">
      <c r="B103" s="72"/>
      <c r="C103" s="53"/>
      <c r="D103" s="196"/>
      <c r="E103" s="197"/>
      <c r="F103" s="198"/>
      <c r="G103" s="43"/>
      <c r="H103" s="43"/>
      <c r="I103" s="43"/>
      <c r="J103" s="197"/>
      <c r="K103" s="197"/>
      <c r="L103" s="197"/>
      <c r="M103" s="199"/>
      <c r="N103" s="200"/>
      <c r="O103" s="199"/>
      <c r="P103" s="49"/>
      <c r="Q103" s="191"/>
      <c r="R103" s="192"/>
      <c r="S103" s="31"/>
      <c r="U103" s="195"/>
      <c r="V103" s="195"/>
      <c r="W103" s="168"/>
      <c r="X103" s="195"/>
    </row>
    <row r="104" spans="1:25" ht="13.5" thickBot="1">
      <c r="B104" s="72"/>
      <c r="C104" s="53"/>
      <c r="D104" s="196" t="s">
        <v>262</v>
      </c>
      <c r="E104" s="197"/>
      <c r="F104" s="198"/>
      <c r="G104" s="43"/>
      <c r="H104" s="43"/>
      <c r="I104" s="43"/>
      <c r="J104" s="197"/>
      <c r="K104" s="201">
        <v>100045661.01000001</v>
      </c>
      <c r="L104" s="201">
        <v>0</v>
      </c>
      <c r="M104" s="201">
        <v>100045661.01000001</v>
      </c>
      <c r="N104" s="200"/>
      <c r="O104" s="201">
        <v>2057403</v>
      </c>
      <c r="P104" s="202">
        <v>102103064</v>
      </c>
      <c r="Q104" s="191"/>
      <c r="R104" s="192"/>
      <c r="S104" s="31"/>
      <c r="U104" s="195">
        <f>P104</f>
        <v>102103064</v>
      </c>
      <c r="V104" s="195"/>
      <c r="W104" s="168"/>
      <c r="X104" s="195"/>
    </row>
    <row r="105" spans="1:25" ht="14.25" thickTop="1" thickBot="1">
      <c r="B105" s="72"/>
      <c r="C105" s="53"/>
      <c r="D105" s="196" t="s">
        <v>300</v>
      </c>
      <c r="E105" s="197"/>
      <c r="F105" s="198"/>
      <c r="G105" s="43"/>
      <c r="H105" s="43"/>
      <c r="I105" s="43"/>
      <c r="J105" s="197"/>
      <c r="K105" s="201">
        <v>1968038646.01</v>
      </c>
      <c r="L105" s="201">
        <v>-110625</v>
      </c>
      <c r="M105" s="201">
        <v>1967928021.01</v>
      </c>
      <c r="N105" s="199">
        <v>0</v>
      </c>
      <c r="O105" s="201">
        <v>67584774</v>
      </c>
      <c r="P105" s="201">
        <v>2035512795</v>
      </c>
      <c r="Q105" s="191"/>
      <c r="R105" s="192"/>
      <c r="S105" s="31"/>
      <c r="U105" s="195"/>
      <c r="V105" s="195"/>
      <c r="W105" s="168"/>
      <c r="X105" s="195"/>
    </row>
    <row r="106" spans="1:25" s="64" customFormat="1" ht="9" customHeight="1" thickTop="1">
      <c r="A106" s="70"/>
      <c r="B106" s="71"/>
      <c r="C106" s="71"/>
      <c r="D106" s="36"/>
      <c r="E106" s="36"/>
      <c r="F106" s="36"/>
      <c r="G106" s="36"/>
      <c r="H106" s="36"/>
      <c r="I106" s="36"/>
      <c r="J106" s="59"/>
      <c r="K106" s="59"/>
      <c r="L106" s="59"/>
      <c r="M106" s="59"/>
      <c r="N106" s="59"/>
      <c r="O106" s="60"/>
      <c r="P106" s="60"/>
      <c r="Q106" s="60"/>
      <c r="R106" s="61"/>
      <c r="S106" s="171"/>
      <c r="T106" s="172"/>
      <c r="U106" s="164"/>
      <c r="V106" s="164"/>
      <c r="W106" s="168"/>
      <c r="X106" s="164"/>
      <c r="Y106" s="227"/>
    </row>
    <row r="107" spans="1:25">
      <c r="A107" s="52"/>
      <c r="B107" s="53"/>
      <c r="C107" s="53"/>
      <c r="D107" s="101" t="s">
        <v>263</v>
      </c>
      <c r="E107" s="36"/>
      <c r="F107" s="36"/>
      <c r="G107" s="36"/>
      <c r="H107" s="36"/>
      <c r="I107" s="36"/>
      <c r="J107" s="36"/>
      <c r="K107" s="36"/>
      <c r="L107" s="36"/>
      <c r="M107" s="59"/>
      <c r="N107" s="59"/>
      <c r="O107" s="59"/>
      <c r="P107" s="59"/>
      <c r="Q107" s="59"/>
      <c r="R107" s="77"/>
      <c r="S107" s="31"/>
      <c r="W107" s="168"/>
    </row>
    <row r="108" spans="1:25">
      <c r="A108" s="52" t="s">
        <v>264</v>
      </c>
      <c r="B108" s="53" t="s">
        <v>265</v>
      </c>
      <c r="C108" s="53"/>
      <c r="D108" s="36" t="s">
        <v>266</v>
      </c>
      <c r="E108" s="36"/>
      <c r="F108" s="36"/>
      <c r="G108" s="36"/>
      <c r="H108" s="36"/>
      <c r="I108" s="36"/>
      <c r="J108" s="36"/>
      <c r="K108" s="161">
        <v>3921097614.7400007</v>
      </c>
      <c r="L108" s="161">
        <v>-4.9999999999999989E-2</v>
      </c>
      <c r="M108" s="161">
        <v>3921097614.6900005</v>
      </c>
      <c r="N108" s="161">
        <v>0</v>
      </c>
      <c r="O108" s="161">
        <v>53705993.850000001</v>
      </c>
      <c r="P108" s="166">
        <v>3974803609</v>
      </c>
      <c r="Q108" s="162"/>
      <c r="R108" s="163"/>
      <c r="S108" s="31"/>
      <c r="U108" s="164">
        <f t="shared" ref="U108:U118" si="16">M108</f>
        <v>3921097614.6900005</v>
      </c>
      <c r="V108" s="164">
        <f>ROUND(U108,0)-U108</f>
        <v>0.30999946594238281</v>
      </c>
      <c r="W108" s="168">
        <f>O108</f>
        <v>53705993.850000001</v>
      </c>
      <c r="X108" s="164">
        <f>ROUND(W108,0)-W108</f>
        <v>0.14999999850988388</v>
      </c>
    </row>
    <row r="109" spans="1:25">
      <c r="A109" s="52"/>
      <c r="B109" s="53"/>
      <c r="C109" s="53"/>
      <c r="D109" s="36" t="s">
        <v>267</v>
      </c>
      <c r="E109" s="36"/>
      <c r="F109" s="36"/>
      <c r="G109" s="36"/>
      <c r="H109" s="36"/>
      <c r="I109" s="36"/>
      <c r="J109" s="36"/>
      <c r="K109" s="166">
        <v>0</v>
      </c>
      <c r="L109" s="166">
        <v>0</v>
      </c>
      <c r="M109" s="166">
        <v>0</v>
      </c>
      <c r="N109" s="166">
        <v>0</v>
      </c>
      <c r="O109" s="166">
        <v>0</v>
      </c>
      <c r="P109" s="182"/>
      <c r="Q109" s="182"/>
      <c r="R109" s="183"/>
      <c r="S109" s="31"/>
      <c r="W109" s="168"/>
    </row>
    <row r="110" spans="1:25">
      <c r="A110" s="52"/>
      <c r="B110" s="53"/>
      <c r="C110" s="53"/>
      <c r="D110" s="36"/>
      <c r="E110" s="36" t="s">
        <v>268</v>
      </c>
      <c r="F110" s="36"/>
      <c r="G110" s="36"/>
      <c r="H110" s="36"/>
      <c r="I110" s="36"/>
      <c r="J110" s="36"/>
      <c r="K110" s="166">
        <v>0</v>
      </c>
      <c r="L110" s="166">
        <v>0</v>
      </c>
      <c r="M110" s="166">
        <v>0</v>
      </c>
      <c r="N110" s="166">
        <v>0</v>
      </c>
      <c r="O110" s="166">
        <v>0</v>
      </c>
      <c r="P110" s="182"/>
      <c r="Q110" s="182"/>
      <c r="R110" s="183"/>
      <c r="S110" s="31"/>
      <c r="W110" s="168"/>
    </row>
    <row r="111" spans="1:25">
      <c r="A111" s="52" t="s">
        <v>269</v>
      </c>
      <c r="B111" s="53" t="s">
        <v>270</v>
      </c>
      <c r="C111" s="53"/>
      <c r="D111" s="36"/>
      <c r="E111" s="36"/>
      <c r="F111" s="36" t="s">
        <v>271</v>
      </c>
      <c r="G111" s="36"/>
      <c r="H111" s="36"/>
      <c r="I111" s="36"/>
      <c r="J111" s="36"/>
      <c r="K111" s="166">
        <v>23998686.969999999</v>
      </c>
      <c r="L111" s="166">
        <v>-203869.68</v>
      </c>
      <c r="M111" s="166">
        <v>23794817.289999999</v>
      </c>
      <c r="N111" s="166">
        <v>0</v>
      </c>
      <c r="O111" s="166">
        <v>474212493.13</v>
      </c>
      <c r="P111" s="166">
        <v>498007310</v>
      </c>
      <c r="Q111" s="167"/>
      <c r="R111" s="81"/>
      <c r="S111" s="31"/>
      <c r="U111" s="164">
        <f t="shared" si="16"/>
        <v>23794817.289999999</v>
      </c>
      <c r="V111" s="164">
        <f>ROUND(U111,0)-U111</f>
        <v>-0.28999999910593033</v>
      </c>
      <c r="W111" s="168">
        <f>O111</f>
        <v>474212493.13</v>
      </c>
      <c r="X111" s="164">
        <f>ROUND(W111,0)-W111</f>
        <v>-0.12999999523162842</v>
      </c>
    </row>
    <row r="112" spans="1:25">
      <c r="A112" s="52"/>
      <c r="B112" s="53"/>
      <c r="C112" s="53"/>
      <c r="D112" s="36"/>
      <c r="E112" s="36" t="s">
        <v>272</v>
      </c>
      <c r="F112" s="36"/>
      <c r="G112" s="36"/>
      <c r="H112" s="36"/>
      <c r="I112" s="36"/>
      <c r="J112" s="36"/>
      <c r="K112" s="166">
        <v>0</v>
      </c>
      <c r="L112" s="166">
        <v>0</v>
      </c>
      <c r="M112" s="166">
        <v>0</v>
      </c>
      <c r="N112" s="166">
        <v>0</v>
      </c>
      <c r="O112" s="166">
        <v>0</v>
      </c>
      <c r="P112" s="49"/>
      <c r="Q112" s="49"/>
      <c r="R112" s="81"/>
      <c r="S112" s="31"/>
      <c r="W112" s="168"/>
    </row>
    <row r="113" spans="1:25">
      <c r="A113" s="52" t="s">
        <v>273</v>
      </c>
      <c r="B113" s="53" t="s">
        <v>274</v>
      </c>
      <c r="C113" s="53"/>
      <c r="D113" s="36"/>
      <c r="E113" s="36"/>
      <c r="F113" s="36" t="s">
        <v>271</v>
      </c>
      <c r="G113" s="36"/>
      <c r="H113" s="36"/>
      <c r="I113" s="36"/>
      <c r="J113" s="36"/>
      <c r="K113" s="166">
        <v>5529546.0899999999</v>
      </c>
      <c r="L113" s="166">
        <v>17210.91</v>
      </c>
      <c r="M113" s="166">
        <v>5546757</v>
      </c>
      <c r="N113" s="166">
        <v>0</v>
      </c>
      <c r="O113" s="166">
        <v>118746171</v>
      </c>
      <c r="P113" s="166">
        <v>124292928</v>
      </c>
      <c r="Q113" s="167"/>
      <c r="R113" s="81"/>
      <c r="S113" s="31"/>
      <c r="U113" s="164">
        <f t="shared" si="16"/>
        <v>5546757</v>
      </c>
      <c r="V113" s="164">
        <f t="shared" ref="V113:V119" si="17">ROUND(U113,0)-U113</f>
        <v>0</v>
      </c>
      <c r="W113" s="168">
        <f t="shared" ref="W113:W118" si="18">O113</f>
        <v>118746171</v>
      </c>
      <c r="X113" s="164">
        <f>ROUND(W113,0)-W113</f>
        <v>0</v>
      </c>
    </row>
    <row r="114" spans="1:25">
      <c r="A114" s="52" t="s">
        <v>275</v>
      </c>
      <c r="B114" s="53" t="s">
        <v>276</v>
      </c>
      <c r="C114" s="53"/>
      <c r="D114" s="36"/>
      <c r="E114" s="36"/>
      <c r="F114" s="36" t="s">
        <v>277</v>
      </c>
      <c r="G114" s="36"/>
      <c r="H114" s="36"/>
      <c r="I114" s="36"/>
      <c r="J114" s="36"/>
      <c r="K114" s="166">
        <v>205181182.73999995</v>
      </c>
      <c r="L114" s="166">
        <v>186659.78999999998</v>
      </c>
      <c r="M114" s="166">
        <v>205367842.52999994</v>
      </c>
      <c r="N114" s="166">
        <v>0</v>
      </c>
      <c r="O114" s="166">
        <v>104504526</v>
      </c>
      <c r="P114" s="166">
        <v>309872369</v>
      </c>
      <c r="Q114" s="167"/>
      <c r="R114" s="81"/>
      <c r="S114" s="31"/>
      <c r="U114" s="164">
        <f t="shared" si="16"/>
        <v>205367842.52999994</v>
      </c>
      <c r="V114" s="164">
        <f t="shared" si="17"/>
        <v>0.47000005841255188</v>
      </c>
      <c r="W114" s="168">
        <f t="shared" si="18"/>
        <v>104504526</v>
      </c>
      <c r="X114" s="164">
        <f t="shared" ref="X114:X119" si="19">ROUND(W114,0)-W114</f>
        <v>0</v>
      </c>
    </row>
    <row r="115" spans="1:25">
      <c r="A115" s="52" t="s">
        <v>278</v>
      </c>
      <c r="B115" s="53" t="s">
        <v>276</v>
      </c>
      <c r="C115" s="53"/>
      <c r="D115" s="36"/>
      <c r="E115" s="36"/>
      <c r="F115" s="36" t="s">
        <v>279</v>
      </c>
      <c r="G115" s="36"/>
      <c r="H115" s="36"/>
      <c r="I115" s="36"/>
      <c r="J115" s="36"/>
      <c r="K115" s="166">
        <v>19649801.010000005</v>
      </c>
      <c r="L115" s="166">
        <v>202090.39</v>
      </c>
      <c r="M115" s="166">
        <v>19851891.400000006</v>
      </c>
      <c r="N115" s="166">
        <v>0</v>
      </c>
      <c r="O115" s="166">
        <v>233548368.13999999</v>
      </c>
      <c r="P115" s="166">
        <v>253400259</v>
      </c>
      <c r="Q115" s="167"/>
      <c r="R115" s="81"/>
      <c r="S115" s="31"/>
      <c r="U115" s="164">
        <f t="shared" si="16"/>
        <v>19851891.400000006</v>
      </c>
      <c r="V115" s="164">
        <f t="shared" si="17"/>
        <v>-0.40000000596046448</v>
      </c>
      <c r="W115" s="168">
        <f t="shared" si="18"/>
        <v>233548368.13999999</v>
      </c>
      <c r="X115" s="164">
        <f t="shared" si="19"/>
        <v>-0.13999998569488525</v>
      </c>
    </row>
    <row r="116" spans="1:25">
      <c r="A116" s="52" t="s">
        <v>280</v>
      </c>
      <c r="B116" s="53" t="s">
        <v>276</v>
      </c>
      <c r="C116" s="53"/>
      <c r="D116" s="36"/>
      <c r="E116" s="36"/>
      <c r="F116" s="36" t="s">
        <v>281</v>
      </c>
      <c r="G116" s="36"/>
      <c r="H116" s="36"/>
      <c r="I116" s="36"/>
      <c r="J116" s="36"/>
      <c r="K116" s="166">
        <v>1075344437.5999999</v>
      </c>
      <c r="L116" s="166">
        <v>0.41</v>
      </c>
      <c r="M116" s="166">
        <v>1075344438.01</v>
      </c>
      <c r="N116" s="166">
        <v>0</v>
      </c>
      <c r="O116" s="166">
        <v>1831778</v>
      </c>
      <c r="P116" s="166">
        <v>1077176216</v>
      </c>
      <c r="Q116" s="167"/>
      <c r="R116" s="81"/>
      <c r="S116" s="31"/>
      <c r="U116" s="164">
        <f t="shared" si="16"/>
        <v>1075344438.01</v>
      </c>
      <c r="V116" s="164">
        <f t="shared" si="17"/>
        <v>-9.9999904632568359E-3</v>
      </c>
      <c r="W116" s="168">
        <f t="shared" si="18"/>
        <v>1831778</v>
      </c>
      <c r="X116" s="164">
        <f t="shared" si="19"/>
        <v>0</v>
      </c>
    </row>
    <row r="117" spans="1:25">
      <c r="A117" s="52" t="s">
        <v>282</v>
      </c>
      <c r="B117" s="53" t="s">
        <v>283</v>
      </c>
      <c r="C117" s="53"/>
      <c r="D117" s="36"/>
      <c r="E117" s="36"/>
      <c r="F117" s="36" t="s">
        <v>284</v>
      </c>
      <c r="G117" s="36"/>
      <c r="H117" s="36"/>
      <c r="I117" s="36"/>
      <c r="J117" s="36"/>
      <c r="K117" s="166">
        <v>2535159.3899999997</v>
      </c>
      <c r="L117" s="166">
        <v>1771328.2</v>
      </c>
      <c r="M117" s="166">
        <v>4306487.5899999989</v>
      </c>
      <c r="N117" s="166">
        <v>0</v>
      </c>
      <c r="O117" s="166">
        <v>616050</v>
      </c>
      <c r="P117" s="166">
        <v>4922538</v>
      </c>
      <c r="Q117" s="167"/>
      <c r="R117" s="81"/>
      <c r="S117" s="31"/>
      <c r="U117" s="164">
        <f t="shared" si="16"/>
        <v>4306487.5899999989</v>
      </c>
      <c r="V117" s="164">
        <f t="shared" si="17"/>
        <v>0.41000000108033419</v>
      </c>
      <c r="W117" s="168">
        <f t="shared" si="18"/>
        <v>616050</v>
      </c>
      <c r="X117" s="164">
        <f t="shared" si="19"/>
        <v>0</v>
      </c>
    </row>
    <row r="118" spans="1:25">
      <c r="A118" s="52" t="s">
        <v>285</v>
      </c>
      <c r="B118" s="53" t="s">
        <v>276</v>
      </c>
      <c r="C118" s="53"/>
      <c r="D118" s="36"/>
      <c r="E118" s="36"/>
      <c r="F118" s="36" t="s">
        <v>286</v>
      </c>
      <c r="G118" s="36"/>
      <c r="H118" s="36"/>
      <c r="I118" s="36"/>
      <c r="J118" s="36"/>
      <c r="K118" s="166">
        <v>0</v>
      </c>
      <c r="L118" s="166">
        <v>0</v>
      </c>
      <c r="M118" s="166">
        <v>0</v>
      </c>
      <c r="N118" s="166">
        <v>0</v>
      </c>
      <c r="O118" s="166">
        <v>48726933.130000003</v>
      </c>
      <c r="P118" s="166">
        <v>48726933</v>
      </c>
      <c r="Q118" s="167"/>
      <c r="R118" s="81"/>
      <c r="S118" s="31"/>
      <c r="U118" s="164">
        <f t="shared" si="16"/>
        <v>0</v>
      </c>
      <c r="V118" s="164">
        <f t="shared" si="17"/>
        <v>0</v>
      </c>
      <c r="W118" s="168">
        <f t="shared" si="18"/>
        <v>48726933.130000003</v>
      </c>
      <c r="X118" s="164">
        <f t="shared" si="19"/>
        <v>-0.13000000268220901</v>
      </c>
    </row>
    <row r="119" spans="1:25">
      <c r="A119" s="52" t="s">
        <v>287</v>
      </c>
      <c r="B119" s="53" t="s">
        <v>288</v>
      </c>
      <c r="C119" s="53"/>
      <c r="D119" s="36" t="s">
        <v>289</v>
      </c>
      <c r="E119" s="36"/>
      <c r="F119" s="36"/>
      <c r="G119" s="36"/>
      <c r="H119" s="36"/>
      <c r="I119" s="36"/>
      <c r="J119" s="36"/>
      <c r="K119" s="133">
        <v>-252423179.76999998</v>
      </c>
      <c r="L119" s="133">
        <v>-1278886.0699999998</v>
      </c>
      <c r="M119" s="133">
        <v>-253702065.83999997</v>
      </c>
      <c r="N119" s="133">
        <v>0</v>
      </c>
      <c r="O119" s="133">
        <v>107040868</v>
      </c>
      <c r="P119" s="185">
        <v>-146661198</v>
      </c>
      <c r="Q119" s="167"/>
      <c r="R119" s="81"/>
      <c r="S119" s="31"/>
      <c r="U119" s="215">
        <f>M119</f>
        <v>-253702065.83999997</v>
      </c>
      <c r="V119" s="216">
        <f t="shared" si="17"/>
        <v>-0.1600000262260437</v>
      </c>
      <c r="W119" s="215">
        <f>O119</f>
        <v>107040868</v>
      </c>
      <c r="X119" s="164">
        <f t="shared" si="19"/>
        <v>0</v>
      </c>
    </row>
    <row r="120" spans="1:25" s="64" customFormat="1" ht="9" customHeight="1">
      <c r="A120" s="12"/>
      <c r="B120" s="117"/>
      <c r="C120" s="71"/>
      <c r="D120" s="36"/>
      <c r="E120" s="36"/>
      <c r="F120" s="36"/>
      <c r="G120" s="36"/>
      <c r="H120" s="36"/>
      <c r="I120" s="59"/>
      <c r="J120" s="59"/>
      <c r="K120" s="59"/>
      <c r="L120" s="59"/>
      <c r="M120" s="92"/>
      <c r="N120" s="99"/>
      <c r="O120" s="99"/>
      <c r="P120" s="99"/>
      <c r="Q120" s="99"/>
      <c r="R120" s="100"/>
      <c r="S120" s="171"/>
      <c r="T120" s="172"/>
      <c r="U120" s="164"/>
      <c r="V120" s="164"/>
      <c r="W120" s="168"/>
      <c r="X120" s="164"/>
      <c r="Y120" s="227"/>
    </row>
    <row r="121" spans="1:25" ht="13.5" thickBot="1">
      <c r="A121" s="1" t="s">
        <v>290</v>
      </c>
      <c r="B121" s="72"/>
      <c r="C121" s="53"/>
      <c r="D121" s="101" t="s">
        <v>291</v>
      </c>
      <c r="E121" s="36"/>
      <c r="F121" s="36"/>
      <c r="G121" s="36"/>
      <c r="H121" s="36"/>
      <c r="I121" s="36"/>
      <c r="J121" s="36"/>
      <c r="K121" s="188">
        <v>5000913249</v>
      </c>
      <c r="L121" s="188">
        <v>694533</v>
      </c>
      <c r="M121" s="188">
        <v>5001607783</v>
      </c>
      <c r="N121" s="189"/>
      <c r="O121" s="190">
        <v>1142933181</v>
      </c>
      <c r="P121" s="214">
        <v>6144540964</v>
      </c>
      <c r="Q121" s="49"/>
      <c r="R121" s="81"/>
      <c r="S121" s="31"/>
      <c r="U121" s="176">
        <f>SUM(U108:U119)</f>
        <v>5001607782.6700001</v>
      </c>
      <c r="V121" s="176">
        <f>M121-U121</f>
        <v>0.32999992370605469</v>
      </c>
      <c r="W121" s="177">
        <f>SUM(W108:W119)</f>
        <v>1142933181.25</v>
      </c>
      <c r="X121" s="176">
        <f>W121-O121</f>
        <v>0.25</v>
      </c>
    </row>
    <row r="122" spans="1:25" s="64" customFormat="1" ht="9" customHeight="1" thickTop="1">
      <c r="A122" s="12"/>
      <c r="B122" s="117"/>
      <c r="C122" s="71"/>
      <c r="D122" s="36"/>
      <c r="E122" s="36"/>
      <c r="F122" s="36"/>
      <c r="G122" s="36"/>
      <c r="H122" s="36"/>
      <c r="I122" s="59"/>
      <c r="J122" s="59"/>
      <c r="K122" s="59"/>
      <c r="L122" s="59"/>
      <c r="M122" s="59"/>
      <c r="N122" s="60"/>
      <c r="O122" s="60"/>
      <c r="P122" s="60"/>
      <c r="Q122" s="60"/>
      <c r="R122" s="61"/>
      <c r="S122" s="171"/>
      <c r="T122" s="172"/>
      <c r="U122" s="164"/>
      <c r="V122" s="164"/>
      <c r="W122" s="168"/>
      <c r="X122" s="164"/>
      <c r="Y122" s="227"/>
    </row>
    <row r="123" spans="1:25" ht="13.5" thickBot="1">
      <c r="B123" s="72"/>
      <c r="C123" s="53"/>
      <c r="D123" s="196" t="s">
        <v>292</v>
      </c>
      <c r="E123" s="197"/>
      <c r="F123" s="197"/>
      <c r="G123" s="197"/>
      <c r="H123" s="197"/>
      <c r="I123" s="197"/>
      <c r="J123" s="197"/>
      <c r="K123" s="201">
        <v>6968951895.0100002</v>
      </c>
      <c r="L123" s="201">
        <v>583908</v>
      </c>
      <c r="M123" s="201">
        <v>6969535804.0100002</v>
      </c>
      <c r="N123" s="200"/>
      <c r="O123" s="201">
        <v>1210517955</v>
      </c>
      <c r="P123" s="201">
        <v>8180053759</v>
      </c>
      <c r="Q123" s="191"/>
      <c r="R123" s="192"/>
      <c r="S123" s="31"/>
      <c r="U123" s="176">
        <f>U121+U95+U104</f>
        <v>5911316808.5100002</v>
      </c>
      <c r="V123" s="176">
        <f>M123-U123</f>
        <v>1058218995.5</v>
      </c>
      <c r="W123" s="177">
        <f>W121+W95</f>
        <v>1208460551.97</v>
      </c>
      <c r="X123" s="176">
        <f>W123-O123</f>
        <v>-2057403.0299999714</v>
      </c>
    </row>
    <row r="124" spans="1:25" s="64" customFormat="1" ht="9" customHeight="1" thickTop="1">
      <c r="A124" s="12"/>
      <c r="B124" s="117"/>
      <c r="C124" s="71"/>
      <c r="D124" s="36"/>
      <c r="E124" s="36"/>
      <c r="F124" s="36"/>
      <c r="G124" s="36"/>
      <c r="H124" s="36"/>
      <c r="I124" s="59"/>
      <c r="J124" s="59"/>
      <c r="K124" s="59"/>
      <c r="L124" s="59"/>
      <c r="M124" s="59"/>
      <c r="N124" s="60"/>
      <c r="O124" s="60"/>
      <c r="P124" s="60"/>
      <c r="Q124" s="60"/>
      <c r="R124" s="61"/>
      <c r="S124" s="31"/>
      <c r="T124" s="172"/>
      <c r="U124" s="173"/>
      <c r="V124" s="173"/>
      <c r="W124" s="173"/>
      <c r="X124" s="173"/>
      <c r="Y124" s="227"/>
    </row>
    <row r="125" spans="1:25">
      <c r="B125" s="72"/>
      <c r="C125" s="53"/>
      <c r="D125" s="366" t="s">
        <v>96</v>
      </c>
      <c r="E125" s="366"/>
      <c r="F125" s="366"/>
      <c r="G125" s="366"/>
      <c r="H125" s="366"/>
      <c r="I125" s="366"/>
      <c r="J125" s="366"/>
      <c r="K125" s="366"/>
      <c r="L125" s="366"/>
      <c r="M125" s="366"/>
      <c r="N125" s="366"/>
      <c r="O125" s="366"/>
      <c r="P125" s="232"/>
      <c r="Q125" s="232"/>
      <c r="R125" s="217"/>
      <c r="S125" s="31"/>
      <c r="U125" s="164">
        <f>U39+U47-U95-U121-U104</f>
        <v>1057483747.3799982</v>
      </c>
      <c r="W125" s="164">
        <f>W39-W95-W121</f>
        <v>2057403.0799996853</v>
      </c>
    </row>
    <row r="126" spans="1:25" s="64" customFormat="1" ht="9" customHeight="1">
      <c r="A126" s="12"/>
      <c r="B126" s="13"/>
      <c r="C126" s="13"/>
      <c r="D126" s="218"/>
      <c r="E126" s="218"/>
      <c r="F126" s="218"/>
      <c r="G126" s="218"/>
      <c r="H126" s="218"/>
      <c r="I126" s="170"/>
      <c r="J126" s="170"/>
      <c r="K126" s="170"/>
      <c r="L126" s="170"/>
      <c r="M126" s="170"/>
      <c r="N126" s="60"/>
      <c r="R126" s="61"/>
      <c r="T126" s="172"/>
      <c r="U126" s="173"/>
      <c r="V126" s="173"/>
      <c r="W126" s="173"/>
      <c r="X126" s="173"/>
      <c r="Y126" s="227"/>
    </row>
    <row r="127" spans="1:25" ht="12.75" customHeight="1">
      <c r="C127" s="357" t="s">
        <v>293</v>
      </c>
      <c r="D127" s="357"/>
      <c r="E127" s="357"/>
      <c r="F127" s="357"/>
      <c r="G127" s="357"/>
      <c r="H127" s="357"/>
      <c r="I127" s="357"/>
      <c r="J127" s="357"/>
      <c r="K127" s="219">
        <f>K48-K123</f>
        <v>2.619999885559082</v>
      </c>
      <c r="L127" s="219">
        <f>L48-L123</f>
        <v>-5.0500000000465661</v>
      </c>
      <c r="M127" s="219">
        <f>M48-M123</f>
        <v>-3.4300003051757813</v>
      </c>
      <c r="N127" s="35"/>
      <c r="O127" s="219">
        <f>O48-O123</f>
        <v>-2</v>
      </c>
      <c r="P127" s="219">
        <f>P48-P123</f>
        <v>-5.4200000762939453</v>
      </c>
      <c r="Q127" s="219"/>
      <c r="R127" s="220"/>
    </row>
    <row r="128" spans="1:25" hidden="1">
      <c r="M128" s="215"/>
      <c r="N128" s="215"/>
      <c r="O128" s="215"/>
      <c r="P128" s="215"/>
      <c r="Q128" s="215"/>
      <c r="R128" s="215"/>
      <c r="S128" s="215"/>
    </row>
    <row r="129" spans="1:24" hidden="1">
      <c r="J129" s="221" t="s">
        <v>97</v>
      </c>
      <c r="K129" s="221"/>
      <c r="L129" s="221"/>
      <c r="M129" s="215"/>
      <c r="N129" s="215"/>
      <c r="O129" s="215"/>
      <c r="P129" s="215"/>
      <c r="Q129" s="215"/>
      <c r="R129" s="215"/>
      <c r="S129" s="215"/>
    </row>
    <row r="130" spans="1:24" hidden="1">
      <c r="M130" s="215"/>
      <c r="N130" s="215"/>
      <c r="O130" s="215"/>
      <c r="P130" s="215"/>
      <c r="Q130" s="215"/>
      <c r="R130" s="215"/>
      <c r="S130" s="215"/>
    </row>
    <row r="131" spans="1:24" hidden="1">
      <c r="A131" s="6"/>
      <c r="B131" s="6"/>
      <c r="C131" s="6"/>
      <c r="J131" s="6"/>
      <c r="K131" s="6"/>
      <c r="L131" s="6"/>
      <c r="M131" s="215"/>
      <c r="N131" s="215"/>
      <c r="O131" s="215"/>
      <c r="P131" s="215"/>
      <c r="Q131" s="215"/>
      <c r="R131" s="215"/>
      <c r="S131" s="215"/>
      <c r="T131" s="6"/>
      <c r="U131" s="6"/>
      <c r="V131" s="6"/>
      <c r="W131" s="6"/>
      <c r="X131" s="6"/>
    </row>
    <row r="132" spans="1:24" hidden="1">
      <c r="A132" s="6"/>
      <c r="B132" s="6"/>
      <c r="C132" s="6"/>
      <c r="J132" s="6"/>
      <c r="K132" s="6"/>
      <c r="L132" s="6"/>
      <c r="M132" s="215"/>
      <c r="N132" s="215"/>
      <c r="O132" s="215"/>
      <c r="P132" s="215"/>
      <c r="Q132" s="215"/>
      <c r="R132" s="215"/>
      <c r="S132" s="215"/>
      <c r="T132" s="6"/>
      <c r="U132" s="6"/>
      <c r="V132" s="6"/>
      <c r="W132" s="6"/>
      <c r="X132" s="6"/>
    </row>
    <row r="133" spans="1:24" hidden="1">
      <c r="A133" s="6"/>
      <c r="B133" s="6"/>
      <c r="C133" s="6"/>
      <c r="J133" s="6"/>
      <c r="K133" s="6"/>
      <c r="L133" s="6"/>
      <c r="M133" s="215"/>
      <c r="N133" s="215"/>
      <c r="O133" s="215"/>
      <c r="P133" s="215"/>
      <c r="Q133" s="215"/>
      <c r="R133" s="215"/>
      <c r="S133" s="215"/>
      <c r="T133" s="6"/>
      <c r="U133" s="6"/>
      <c r="V133" s="6"/>
      <c r="W133" s="6"/>
      <c r="X133" s="6"/>
    </row>
    <row r="134" spans="1:24" hidden="1">
      <c r="A134" s="6"/>
      <c r="B134" s="6"/>
      <c r="C134" s="6"/>
      <c r="J134" s="6"/>
      <c r="K134" s="6"/>
      <c r="L134" s="6"/>
      <c r="M134" s="215"/>
      <c r="N134" s="215"/>
      <c r="O134" s="215"/>
      <c r="P134" s="215"/>
      <c r="Q134" s="215"/>
      <c r="R134" s="215"/>
      <c r="S134" s="215"/>
      <c r="T134" s="6"/>
      <c r="U134" s="6"/>
      <c r="V134" s="6"/>
      <c r="W134" s="6"/>
      <c r="X134" s="6"/>
    </row>
    <row r="135" spans="1:24" hidden="1">
      <c r="A135" s="6"/>
      <c r="B135" s="6"/>
      <c r="C135" s="6"/>
      <c r="J135" s="6"/>
      <c r="K135" s="6"/>
      <c r="L135" s="6"/>
      <c r="M135" s="215"/>
      <c r="N135" s="215"/>
      <c r="O135" s="215"/>
      <c r="P135" s="215"/>
      <c r="Q135" s="215"/>
      <c r="R135" s="215"/>
      <c r="S135" s="215"/>
      <c r="T135" s="6"/>
      <c r="U135" s="6"/>
      <c r="V135" s="6"/>
      <c r="W135" s="6"/>
      <c r="X135" s="6"/>
    </row>
    <row r="136" spans="1:24" hidden="1">
      <c r="A136" s="6"/>
      <c r="B136" s="6"/>
      <c r="C136" s="6"/>
      <c r="J136" s="6"/>
      <c r="K136" s="6"/>
      <c r="L136" s="6"/>
      <c r="M136" s="215"/>
      <c r="N136" s="215"/>
      <c r="O136" s="215"/>
      <c r="P136" s="215"/>
      <c r="Q136" s="215"/>
      <c r="R136" s="215"/>
      <c r="S136" s="215"/>
      <c r="T136" s="6"/>
      <c r="U136" s="6"/>
      <c r="V136" s="6"/>
      <c r="W136" s="6"/>
      <c r="X136" s="6"/>
    </row>
    <row r="137" spans="1:24" hidden="1">
      <c r="A137" s="6"/>
      <c r="B137" s="6"/>
      <c r="C137" s="6"/>
      <c r="J137" s="6"/>
      <c r="K137" s="6"/>
      <c r="L137" s="6"/>
      <c r="M137" s="215"/>
      <c r="N137" s="215"/>
      <c r="O137" s="215"/>
      <c r="P137" s="215"/>
      <c r="Q137" s="215"/>
      <c r="R137" s="215"/>
      <c r="S137" s="215"/>
      <c r="T137" s="6"/>
      <c r="U137" s="6"/>
      <c r="V137" s="6"/>
      <c r="W137" s="6"/>
      <c r="X137" s="6"/>
    </row>
    <row r="138" spans="1:24" hidden="1">
      <c r="A138" s="6"/>
      <c r="B138" s="6"/>
      <c r="C138" s="6"/>
      <c r="J138" s="6"/>
      <c r="K138" s="6"/>
      <c r="L138" s="6"/>
      <c r="M138" s="215"/>
      <c r="N138" s="215"/>
      <c r="O138" s="215"/>
      <c r="P138" s="215"/>
      <c r="Q138" s="215"/>
      <c r="R138" s="215"/>
      <c r="S138" s="215"/>
      <c r="T138" s="6"/>
      <c r="U138" s="6"/>
      <c r="V138" s="6"/>
      <c r="W138" s="6"/>
      <c r="X138" s="6"/>
    </row>
    <row r="139" spans="1:24" hidden="1">
      <c r="A139" s="6"/>
      <c r="B139" s="6"/>
      <c r="C139" s="6"/>
      <c r="J139" s="6"/>
      <c r="K139" s="6"/>
      <c r="L139" s="6"/>
      <c r="M139" s="215"/>
      <c r="N139" s="215"/>
      <c r="O139" s="215"/>
      <c r="P139" s="215"/>
      <c r="Q139" s="215"/>
      <c r="R139" s="215"/>
      <c r="S139" s="215"/>
      <c r="T139" s="6"/>
      <c r="U139" s="6"/>
      <c r="V139" s="6"/>
      <c r="W139" s="6"/>
      <c r="X139" s="6"/>
    </row>
    <row r="140" spans="1:24" hidden="1">
      <c r="A140" s="6"/>
      <c r="B140" s="6"/>
      <c r="C140" s="6"/>
      <c r="J140" s="6"/>
      <c r="K140" s="6"/>
      <c r="L140" s="6"/>
      <c r="M140" s="215"/>
      <c r="N140" s="215"/>
      <c r="O140" s="215"/>
      <c r="P140" s="215"/>
      <c r="Q140" s="215"/>
      <c r="R140" s="215"/>
      <c r="S140" s="215"/>
      <c r="T140" s="6"/>
      <c r="U140" s="6"/>
      <c r="V140" s="6"/>
      <c r="W140" s="6"/>
      <c r="X140" s="6"/>
    </row>
    <row r="141" spans="1:24" hidden="1">
      <c r="A141" s="6"/>
      <c r="B141" s="6"/>
      <c r="C141" s="6"/>
      <c r="J141" s="6"/>
      <c r="K141" s="6"/>
      <c r="L141" s="6"/>
      <c r="M141" s="215"/>
      <c r="N141" s="215"/>
      <c r="O141" s="215"/>
      <c r="P141" s="215"/>
      <c r="Q141" s="215"/>
      <c r="R141" s="215"/>
      <c r="S141" s="215"/>
      <c r="T141" s="6"/>
      <c r="U141" s="6"/>
      <c r="V141" s="6"/>
      <c r="W141" s="6"/>
      <c r="X141" s="6"/>
    </row>
    <row r="142" spans="1:24" hidden="1">
      <c r="A142" s="6"/>
      <c r="B142" s="6"/>
      <c r="C142" s="6"/>
      <c r="J142" s="6"/>
      <c r="K142" s="6"/>
      <c r="L142" s="6"/>
      <c r="M142" s="215"/>
      <c r="N142" s="215"/>
      <c r="O142" s="215"/>
      <c r="P142" s="215"/>
      <c r="Q142" s="215"/>
      <c r="R142" s="215"/>
      <c r="S142" s="215"/>
      <c r="T142" s="6"/>
      <c r="U142" s="6"/>
      <c r="V142" s="6"/>
      <c r="W142" s="6"/>
      <c r="X142" s="6"/>
    </row>
    <row r="143" spans="1:24" hidden="1">
      <c r="A143" s="6"/>
      <c r="B143" s="6"/>
      <c r="C143" s="6"/>
      <c r="J143" s="6"/>
      <c r="K143" s="6"/>
      <c r="L143" s="6"/>
      <c r="M143" s="215"/>
      <c r="N143" s="215"/>
      <c r="O143" s="215"/>
      <c r="P143" s="215"/>
      <c r="Q143" s="215"/>
      <c r="R143" s="215"/>
      <c r="S143" s="215"/>
      <c r="T143" s="6"/>
      <c r="U143" s="6"/>
      <c r="V143" s="6"/>
      <c r="W143" s="6"/>
      <c r="X143" s="6"/>
    </row>
    <row r="144" spans="1:24" hidden="1">
      <c r="A144" s="6"/>
      <c r="B144" s="6"/>
      <c r="C144" s="6"/>
      <c r="J144" s="6"/>
      <c r="K144" s="6"/>
      <c r="L144" s="6"/>
      <c r="M144" s="215"/>
      <c r="N144" s="215"/>
      <c r="O144" s="215"/>
      <c r="P144" s="215"/>
      <c r="Q144" s="215"/>
      <c r="R144" s="215"/>
      <c r="S144" s="215"/>
      <c r="T144" s="6"/>
      <c r="U144" s="6"/>
      <c r="V144" s="6"/>
      <c r="W144" s="6"/>
      <c r="X144" s="6"/>
    </row>
    <row r="145" spans="1:24" hidden="1">
      <c r="A145" s="6"/>
      <c r="B145" s="6"/>
      <c r="C145" s="6"/>
      <c r="J145" s="6"/>
      <c r="K145" s="6"/>
      <c r="L145" s="6"/>
      <c r="M145" s="215"/>
      <c r="N145" s="215"/>
      <c r="O145" s="215"/>
      <c r="P145" s="215"/>
      <c r="Q145" s="215"/>
      <c r="R145" s="215"/>
      <c r="S145" s="215"/>
      <c r="T145" s="6"/>
      <c r="U145" s="6"/>
      <c r="V145" s="6"/>
      <c r="W145" s="6"/>
      <c r="X145" s="6"/>
    </row>
    <row r="146" spans="1:24" hidden="1">
      <c r="A146" s="6"/>
      <c r="B146" s="6"/>
      <c r="C146" s="6"/>
      <c r="J146" s="6"/>
      <c r="K146" s="6"/>
      <c r="L146" s="6"/>
      <c r="M146" s="215"/>
      <c r="N146" s="215"/>
      <c r="O146" s="215"/>
      <c r="P146" s="215"/>
      <c r="Q146" s="215"/>
      <c r="R146" s="215"/>
      <c r="S146" s="215"/>
      <c r="T146" s="6"/>
      <c r="U146" s="6"/>
      <c r="V146" s="6"/>
      <c r="W146" s="6"/>
      <c r="X146" s="6"/>
    </row>
    <row r="147" spans="1:24" hidden="1">
      <c r="A147" s="6"/>
      <c r="B147" s="6"/>
      <c r="C147" s="6"/>
      <c r="M147" s="215"/>
      <c r="N147" s="215"/>
      <c r="O147" s="215"/>
      <c r="P147" s="215"/>
      <c r="Q147" s="215"/>
      <c r="R147" s="215"/>
      <c r="S147" s="215"/>
      <c r="T147" s="6"/>
      <c r="U147" s="6"/>
      <c r="V147" s="6"/>
      <c r="W147" s="6"/>
      <c r="X147" s="6"/>
    </row>
    <row r="148" spans="1:24" hidden="1">
      <c r="A148" s="6"/>
      <c r="B148" s="6"/>
      <c r="C148" s="6"/>
      <c r="M148" s="215"/>
      <c r="N148" s="215"/>
      <c r="O148" s="215"/>
      <c r="P148" s="215"/>
      <c r="Q148" s="215"/>
      <c r="R148" s="215"/>
      <c r="S148" s="215"/>
      <c r="T148" s="6"/>
      <c r="U148" s="6"/>
      <c r="V148" s="6"/>
      <c r="W148" s="6"/>
      <c r="X148" s="6"/>
    </row>
    <row r="149" spans="1:24" hidden="1">
      <c r="A149" s="6"/>
      <c r="B149" s="6"/>
      <c r="C149" s="6"/>
      <c r="M149" s="215"/>
      <c r="N149" s="215"/>
      <c r="O149" s="215"/>
      <c r="P149" s="215"/>
      <c r="Q149" s="215"/>
      <c r="R149" s="215"/>
      <c r="S149" s="215"/>
      <c r="T149" s="6"/>
      <c r="U149" s="6"/>
      <c r="V149" s="6"/>
      <c r="W149" s="6"/>
      <c r="X149" s="6"/>
    </row>
    <row r="160" spans="1:24">
      <c r="A160" s="6"/>
      <c r="B160" s="6"/>
      <c r="C160" s="6"/>
      <c r="H160" s="43"/>
      <c r="O160" s="43"/>
      <c r="P160" s="43"/>
      <c r="Q160" s="43"/>
      <c r="R160" s="43"/>
      <c r="S160" s="43"/>
      <c r="T160" s="6"/>
      <c r="U160" s="6"/>
      <c r="V160" s="6"/>
      <c r="W160" s="6"/>
      <c r="X160" s="6"/>
    </row>
    <row r="161" spans="1:24">
      <c r="A161" s="6"/>
      <c r="B161" s="6"/>
      <c r="C161" s="6"/>
      <c r="H161" s="43"/>
      <c r="O161" s="43"/>
      <c r="P161" s="43"/>
      <c r="Q161" s="43"/>
      <c r="R161" s="43"/>
      <c r="S161" s="43"/>
      <c r="T161" s="6"/>
      <c r="U161" s="6"/>
      <c r="V161" s="6"/>
      <c r="W161" s="6"/>
      <c r="X161" s="6"/>
    </row>
    <row r="162" spans="1:24">
      <c r="A162" s="6"/>
      <c r="B162" s="6"/>
      <c r="C162" s="6"/>
      <c r="H162" s="43"/>
      <c r="O162" s="43"/>
      <c r="P162" s="43"/>
      <c r="Q162" s="43"/>
      <c r="R162" s="43"/>
      <c r="S162" s="43"/>
      <c r="T162" s="6"/>
      <c r="U162" s="6"/>
      <c r="V162" s="6"/>
      <c r="W162" s="6"/>
      <c r="X162" s="6"/>
    </row>
    <row r="163" spans="1:24">
      <c r="A163" s="6"/>
      <c r="B163" s="6"/>
      <c r="C163" s="6"/>
      <c r="H163" s="43"/>
      <c r="O163" s="43"/>
      <c r="P163" s="43"/>
      <c r="Q163" s="43"/>
      <c r="R163" s="43"/>
      <c r="S163" s="43"/>
      <c r="T163" s="6"/>
      <c r="U163" s="6"/>
      <c r="V163" s="6"/>
      <c r="W163" s="6"/>
      <c r="X163" s="6"/>
    </row>
    <row r="164" spans="1:24">
      <c r="A164" s="6"/>
      <c r="B164" s="6"/>
      <c r="C164" s="6"/>
      <c r="H164" s="43"/>
      <c r="O164" s="43"/>
      <c r="P164" s="43"/>
      <c r="Q164" s="43"/>
      <c r="R164" s="43"/>
      <c r="S164" s="43"/>
      <c r="T164" s="6"/>
      <c r="U164" s="6"/>
      <c r="V164" s="6"/>
      <c r="W164" s="6"/>
      <c r="X164" s="6"/>
    </row>
    <row r="165" spans="1:24">
      <c r="A165" s="6"/>
      <c r="B165" s="6"/>
      <c r="C165" s="6"/>
      <c r="H165" s="43"/>
      <c r="O165" s="43"/>
      <c r="P165" s="43"/>
      <c r="Q165" s="43"/>
      <c r="R165" s="43"/>
      <c r="S165" s="43"/>
      <c r="T165" s="6"/>
      <c r="U165" s="6"/>
      <c r="V165" s="6"/>
      <c r="W165" s="6"/>
      <c r="X165" s="6"/>
    </row>
    <row r="166" spans="1:24">
      <c r="A166" s="6"/>
      <c r="B166" s="6"/>
      <c r="C166" s="6"/>
      <c r="H166" s="43"/>
      <c r="O166" s="43"/>
      <c r="P166" s="43"/>
      <c r="Q166" s="43"/>
      <c r="R166" s="43"/>
      <c r="S166" s="43"/>
      <c r="T166" s="6"/>
      <c r="U166" s="6"/>
      <c r="V166" s="6"/>
      <c r="W166" s="6"/>
      <c r="X166" s="6"/>
    </row>
    <row r="167" spans="1:24">
      <c r="A167" s="6"/>
      <c r="B167" s="6"/>
      <c r="C167" s="6"/>
      <c r="H167" s="43"/>
      <c r="O167" s="43"/>
      <c r="P167" s="43"/>
      <c r="Q167" s="43"/>
      <c r="R167" s="43"/>
      <c r="S167" s="43"/>
      <c r="T167" s="6"/>
      <c r="U167" s="6"/>
      <c r="V167" s="6"/>
      <c r="W167" s="6"/>
      <c r="X167" s="6"/>
    </row>
    <row r="168" spans="1:24">
      <c r="A168" s="6"/>
      <c r="B168" s="6"/>
      <c r="C168" s="6"/>
      <c r="H168" s="43"/>
      <c r="O168" s="43"/>
      <c r="P168" s="43"/>
      <c r="Q168" s="43"/>
      <c r="R168" s="43"/>
      <c r="S168" s="43"/>
      <c r="T168" s="6"/>
      <c r="U168" s="6"/>
      <c r="V168" s="6"/>
      <c r="W168" s="6"/>
      <c r="X168" s="6"/>
    </row>
    <row r="169" spans="1:24">
      <c r="A169" s="6"/>
      <c r="B169" s="6"/>
      <c r="C169" s="6"/>
      <c r="H169" s="43"/>
      <c r="O169" s="43"/>
      <c r="P169" s="43"/>
      <c r="Q169" s="43"/>
      <c r="R169" s="43"/>
      <c r="S169" s="43"/>
      <c r="T169" s="6"/>
      <c r="U169" s="6"/>
      <c r="V169" s="6"/>
      <c r="W169" s="6"/>
      <c r="X169" s="6"/>
    </row>
    <row r="170" spans="1:24">
      <c r="A170" s="6"/>
      <c r="B170" s="6"/>
      <c r="C170" s="6"/>
      <c r="H170" s="43"/>
      <c r="O170" s="43"/>
      <c r="P170" s="43"/>
      <c r="Q170" s="43"/>
      <c r="R170" s="43"/>
      <c r="S170" s="43"/>
      <c r="T170" s="6"/>
      <c r="U170" s="6"/>
      <c r="V170" s="6"/>
      <c r="W170" s="6"/>
      <c r="X170" s="6"/>
    </row>
    <row r="171" spans="1:24">
      <c r="A171" s="6"/>
      <c r="B171" s="6"/>
      <c r="C171" s="6"/>
      <c r="H171" s="43"/>
      <c r="O171" s="43"/>
      <c r="P171" s="43"/>
      <c r="Q171" s="43"/>
      <c r="R171" s="43"/>
      <c r="S171" s="43"/>
      <c r="T171" s="6"/>
      <c r="U171" s="6"/>
      <c r="V171" s="6"/>
      <c r="W171" s="6"/>
      <c r="X171" s="6"/>
    </row>
  </sheetData>
  <sheetProtection formatColumns="0" formatRows="0"/>
  <mergeCells count="14">
    <mergeCell ref="C127:J127"/>
    <mergeCell ref="C1:Q1"/>
    <mergeCell ref="U2:X8"/>
    <mergeCell ref="D3:O3"/>
    <mergeCell ref="D4:O4"/>
    <mergeCell ref="D5:O5"/>
    <mergeCell ref="D6:O6"/>
    <mergeCell ref="U9:X10"/>
    <mergeCell ref="D74:O74"/>
    <mergeCell ref="D75:O75"/>
    <mergeCell ref="D76:O76"/>
    <mergeCell ref="D77:O77"/>
    <mergeCell ref="U78:X79"/>
    <mergeCell ref="D125:O125"/>
  </mergeCells>
  <conditionalFormatting sqref="P82">
    <cfRule type="cellIs" dxfId="687" priority="41" operator="notEqual">
      <formula>P95</formula>
    </cfRule>
  </conditionalFormatting>
  <conditionalFormatting sqref="P42:P45">
    <cfRule type="cellIs" dxfId="686" priority="35" operator="notEqual">
      <formula>0</formula>
    </cfRule>
    <cfRule type="containsBlanks" dxfId="685" priority="36">
      <formula>LEN(TRIM(P42))=0</formula>
    </cfRule>
  </conditionalFormatting>
  <conditionalFormatting sqref="K13:O22 K29:O35">
    <cfRule type="cellIs" dxfId="684" priority="31" operator="notEqual">
      <formula>K32</formula>
    </cfRule>
  </conditionalFormatting>
  <conditionalFormatting sqref="K42:O45">
    <cfRule type="cellIs" dxfId="683" priority="24" operator="notEqual">
      <formula>0</formula>
    </cfRule>
    <cfRule type="containsBlanks" dxfId="682" priority="25">
      <formula>LEN(TRIM(K42))=0</formula>
    </cfRule>
  </conditionalFormatting>
  <conditionalFormatting sqref="K28">
    <cfRule type="cellIs" dxfId="681" priority="23" operator="notEqual">
      <formula>K48</formula>
    </cfRule>
  </conditionalFormatting>
  <conditionalFormatting sqref="L12:L22 L28">
    <cfRule type="cellIs" dxfId="680" priority="21" operator="notEqual">
      <formula>0</formula>
    </cfRule>
    <cfRule type="containsBlanks" dxfId="679" priority="22">
      <formula>LEN(TRIM(L12))=0</formula>
    </cfRule>
  </conditionalFormatting>
  <conditionalFormatting sqref="M12:O22 M28:O28 K108:O119">
    <cfRule type="cellIs" dxfId="678" priority="61" operator="notEqual">
      <formula>0</formula>
    </cfRule>
    <cfRule type="containsBlanks" dxfId="677" priority="62">
      <formula>LEN(TRIM(K12))=0</formula>
    </cfRule>
  </conditionalFormatting>
  <conditionalFormatting sqref="K12:O17 K82:O91">
    <cfRule type="cellIs" dxfId="676" priority="60" operator="notEqual">
      <formula>K25</formula>
    </cfRule>
  </conditionalFormatting>
  <conditionalFormatting sqref="U125 W125">
    <cfRule type="cellIs" dxfId="675" priority="58" operator="notEqual">
      <formula>0</formula>
    </cfRule>
    <cfRule type="cellIs" dxfId="674" priority="59" operator="equal">
      <formula>0</formula>
    </cfRule>
  </conditionalFormatting>
  <conditionalFormatting sqref="U93 U72 U39:U47 U37 U25 U95:U100 U123 U121 U102:U105">
    <cfRule type="expression" dxfId="673" priority="55">
      <formula>ROUND($U25,0)&lt;&gt;$M25</formula>
    </cfRule>
  </conditionalFormatting>
  <conditionalFormatting sqref="X123 V123 V121 X121 V93 X93 X72 V72 V39:V47 V37 X37 X39:X47 X25 V25 V95:V100 X95:X100 X102:X105 V102:V105">
    <cfRule type="cellIs" dxfId="672" priority="56" operator="between">
      <formula>-0.5</formula>
      <formula>0.5</formula>
    </cfRule>
    <cfRule type="cellIs" dxfId="671" priority="57" operator="notBetween">
      <formula>-0.5</formula>
      <formula>0.5</formula>
    </cfRule>
  </conditionalFormatting>
  <conditionalFormatting sqref="U25 U37 U39:U47 U72 U93 U95:U100 U121 U123 U102:U105">
    <cfRule type="expression" dxfId="670" priority="54">
      <formula>ROUND($U25,0)=$M25</formula>
    </cfRule>
  </conditionalFormatting>
  <conditionalFormatting sqref="W25 W37 W39:W47 W72 W93 W121 W123 W95:W100 W102:W105">
    <cfRule type="expression" dxfId="669" priority="52">
      <formula>ROUND($W25,0)&lt;&gt;$O25</formula>
    </cfRule>
    <cfRule type="expression" dxfId="668" priority="53">
      <formula>ROUND($W25,0)=$O25</formula>
    </cfRule>
  </conditionalFormatting>
  <conditionalFormatting sqref="O127 K127:M127">
    <cfRule type="cellIs" dxfId="667" priority="50" operator="notEqual">
      <formula>0</formula>
    </cfRule>
    <cfRule type="cellIs" dxfId="666" priority="51" operator="equal">
      <formula>0</formula>
    </cfRule>
  </conditionalFormatting>
  <conditionalFormatting sqref="W72">
    <cfRule type="expression" dxfId="665" priority="49">
      <formula>ROUND($U72,0)&lt;&gt;$M72</formula>
    </cfRule>
  </conditionalFormatting>
  <conditionalFormatting sqref="W72">
    <cfRule type="expression" dxfId="664" priority="48">
      <formula>ROUND($U72,0)=$M72</formula>
    </cfRule>
  </conditionalFormatting>
  <conditionalFormatting sqref="W93">
    <cfRule type="expression" dxfId="663" priority="47">
      <formula>ROUND($U93,0)&lt;&gt;$M93</formula>
    </cfRule>
  </conditionalFormatting>
  <conditionalFormatting sqref="W93">
    <cfRule type="expression" dxfId="662" priority="46">
      <formula>ROUND($U93,0)=$M93</formula>
    </cfRule>
  </conditionalFormatting>
  <conditionalFormatting sqref="P111 P28:P35 P12:P23 P113:P118 P108 P52:P70 P82:P91">
    <cfRule type="cellIs" dxfId="661" priority="44" operator="notEqual">
      <formula>0</formula>
    </cfRule>
    <cfRule type="containsBlanks" dxfId="660" priority="45">
      <formula>LEN(TRIM(P12))=0</formula>
    </cfRule>
  </conditionalFormatting>
  <conditionalFormatting sqref="P12">
    <cfRule type="cellIs" dxfId="659" priority="43" operator="notEqual">
      <formula>P25</formula>
    </cfRule>
  </conditionalFormatting>
  <conditionalFormatting sqref="P52 M28:O28">
    <cfRule type="cellIs" dxfId="658" priority="42" operator="notEqual">
      <formula>M48</formula>
    </cfRule>
  </conditionalFormatting>
  <conditionalFormatting sqref="P127">
    <cfRule type="cellIs" dxfId="657" priority="39" operator="notEqual">
      <formula>0</formula>
    </cfRule>
    <cfRule type="cellIs" dxfId="656" priority="40" operator="equal">
      <formula>0</formula>
    </cfRule>
  </conditionalFormatting>
  <conditionalFormatting sqref="K98:O102">
    <cfRule type="cellIs" dxfId="655" priority="37" operator="notEqual">
      <formula>0</formula>
    </cfRule>
    <cfRule type="containsBlanks" dxfId="654" priority="38">
      <formula>LEN(TRIM(K98))=0</formula>
    </cfRule>
  </conditionalFormatting>
  <conditionalFormatting sqref="P98:P100 P102">
    <cfRule type="cellIs" dxfId="653" priority="33" operator="notEqual">
      <formula>0</formula>
    </cfRule>
    <cfRule type="containsBlanks" dxfId="652" priority="34">
      <formula>LEN(TRIM(P98))=0</formula>
    </cfRule>
  </conditionalFormatting>
  <conditionalFormatting sqref="K12:O12 K82:O91">
    <cfRule type="cellIs" dxfId="651" priority="32" operator="notEqual">
      <formula>K30</formula>
    </cfRule>
  </conditionalFormatting>
  <conditionalFormatting sqref="K108:O119">
    <cfRule type="cellIs" dxfId="650" priority="30" operator="notEqual">
      <formula>K117</formula>
    </cfRule>
  </conditionalFormatting>
  <conditionalFormatting sqref="M28:O28 K18:O22 K29:O35">
    <cfRule type="cellIs" dxfId="649" priority="63" operator="notEqual">
      <formula>K32</formula>
    </cfRule>
  </conditionalFormatting>
  <conditionalFormatting sqref="K12:K22 K28 K52:O70">
    <cfRule type="cellIs" dxfId="648" priority="28" operator="notEqual">
      <formula>0</formula>
    </cfRule>
    <cfRule type="containsBlanks" dxfId="647" priority="29">
      <formula>LEN(TRIM(K12))=0</formula>
    </cfRule>
  </conditionalFormatting>
  <conditionalFormatting sqref="K28">
    <cfRule type="cellIs" dxfId="646" priority="27" operator="notEqual">
      <formula>K42</formula>
    </cfRule>
  </conditionalFormatting>
  <conditionalFormatting sqref="K52:O70">
    <cfRule type="cellIs" dxfId="645" priority="26" operator="notEqual">
      <formula>K72</formula>
    </cfRule>
  </conditionalFormatting>
  <conditionalFormatting sqref="L28">
    <cfRule type="cellIs" dxfId="644" priority="20" operator="notEqual">
      <formula>L42</formula>
    </cfRule>
  </conditionalFormatting>
  <conditionalFormatting sqref="L28">
    <cfRule type="cellIs" dxfId="643" priority="19" operator="notEqual">
      <formula>L48</formula>
    </cfRule>
  </conditionalFormatting>
  <conditionalFormatting sqref="K23:O23">
    <cfRule type="cellIs" dxfId="642" priority="17" operator="notEqual">
      <formula>0</formula>
    </cfRule>
    <cfRule type="containsBlanks" dxfId="641" priority="18">
      <formula>LEN(TRIM(K23))=0</formula>
    </cfRule>
  </conditionalFormatting>
  <conditionalFormatting sqref="M29:O35">
    <cfRule type="cellIs" dxfId="640" priority="15" operator="notEqual">
      <formula>0</formula>
    </cfRule>
    <cfRule type="containsBlanks" dxfId="639" priority="16">
      <formula>LEN(TRIM(M29))=0</formula>
    </cfRule>
  </conditionalFormatting>
  <conditionalFormatting sqref="K29:K35">
    <cfRule type="cellIs" dxfId="638" priority="13" operator="notEqual">
      <formula>0</formula>
    </cfRule>
    <cfRule type="containsBlanks" dxfId="637" priority="14">
      <formula>LEN(TRIM(K29))=0</formula>
    </cfRule>
  </conditionalFormatting>
  <conditionalFormatting sqref="L29:L35">
    <cfRule type="cellIs" dxfId="636" priority="11" operator="notEqual">
      <formula>0</formula>
    </cfRule>
    <cfRule type="containsBlanks" dxfId="635" priority="12">
      <formula>LEN(TRIM(L29))=0</formula>
    </cfRule>
  </conditionalFormatting>
  <conditionalFormatting sqref="K82:O91">
    <cfRule type="cellIs" dxfId="634" priority="9" operator="notEqual">
      <formula>0</formula>
    </cfRule>
    <cfRule type="containsBlanks" dxfId="633" priority="10">
      <formula>LEN(TRIM(K82))=0</formula>
    </cfRule>
  </conditionalFormatting>
  <conditionalFormatting sqref="U101">
    <cfRule type="expression" dxfId="632" priority="6">
      <formula>ROUND($U101,0)&lt;&gt;$M101</formula>
    </cfRule>
  </conditionalFormatting>
  <conditionalFormatting sqref="V101 X101">
    <cfRule type="cellIs" dxfId="631" priority="7" operator="between">
      <formula>-0.5</formula>
      <formula>0.5</formula>
    </cfRule>
    <cfRule type="cellIs" dxfId="630" priority="8" operator="notBetween">
      <formula>-0.5</formula>
      <formula>0.5</formula>
    </cfRule>
  </conditionalFormatting>
  <conditionalFormatting sqref="U101">
    <cfRule type="expression" dxfId="629" priority="5">
      <formula>ROUND($U101,0)=$M101</formula>
    </cfRule>
  </conditionalFormatting>
  <conditionalFormatting sqref="W101">
    <cfRule type="expression" dxfId="628" priority="3">
      <formula>ROUND($W101,0)&lt;&gt;$O101</formula>
    </cfRule>
    <cfRule type="expression" dxfId="627" priority="4">
      <formula>ROUND($W101,0)=$O101</formula>
    </cfRule>
  </conditionalFormatting>
  <conditionalFormatting sqref="P101">
    <cfRule type="cellIs" dxfId="626" priority="1" operator="notEqual">
      <formula>0</formula>
    </cfRule>
    <cfRule type="containsBlanks" dxfId="625" priority="2">
      <formula>LEN(TRIM(P101))=0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4" man="1"/>
  </rowBreaks>
  <colBreaks count="1" manualBreakCount="1">
    <brk id="15" max="114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342" t="s">
        <v>108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[11]SNP!$O$9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40">
        <v>0</v>
      </c>
      <c r="G11" s="340"/>
      <c r="H11" s="295"/>
      <c r="I11" s="189"/>
      <c r="J11" s="239">
        <v>2444592.4000000004</v>
      </c>
      <c r="K11" s="274">
        <v>0</v>
      </c>
      <c r="L11" s="239">
        <v>2444592.4000000004</v>
      </c>
      <c r="M11" s="224"/>
      <c r="N11" s="274">
        <v>0</v>
      </c>
      <c r="O11" s="239">
        <v>2444592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296"/>
      <c r="G12" s="285"/>
      <c r="H12" s="280"/>
      <c r="I12" s="243"/>
      <c r="J12" s="243">
        <v>606054.63</v>
      </c>
      <c r="K12" s="275">
        <v>0</v>
      </c>
      <c r="L12" s="243">
        <v>606054.63</v>
      </c>
      <c r="M12" s="276"/>
      <c r="N12" s="275">
        <v>0</v>
      </c>
      <c r="O12" s="243">
        <v>606055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296"/>
      <c r="G13" s="296"/>
      <c r="H13" s="297"/>
      <c r="I13" s="243"/>
      <c r="J13" s="243">
        <v>13689.72</v>
      </c>
      <c r="K13" s="275">
        <v>0</v>
      </c>
      <c r="L13" s="243">
        <v>13689.72</v>
      </c>
      <c r="M13" s="276"/>
      <c r="N13" s="275">
        <v>0</v>
      </c>
      <c r="O13" s="243">
        <v>13690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296"/>
      <c r="G14" s="296"/>
      <c r="H14" s="297"/>
      <c r="I14" s="243"/>
      <c r="J14" s="243">
        <v>156025.42000000001</v>
      </c>
      <c r="K14" s="275">
        <v>0</v>
      </c>
      <c r="L14" s="243">
        <v>156025.42000000001</v>
      </c>
      <c r="M14" s="276"/>
      <c r="N14" s="275">
        <v>0</v>
      </c>
      <c r="O14" s="243">
        <v>156025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296"/>
      <c r="G15" s="296"/>
      <c r="H15" s="243"/>
      <c r="I15" s="243"/>
      <c r="J15" s="243">
        <v>0</v>
      </c>
      <c r="K15" s="275">
        <v>0</v>
      </c>
      <c r="L15" s="243">
        <v>0</v>
      </c>
      <c r="M15" s="276"/>
      <c r="N15" s="275">
        <v>0</v>
      </c>
      <c r="O15" s="243">
        <v>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298"/>
      <c r="G16" s="285"/>
      <c r="H16" s="299"/>
      <c r="I16" s="243"/>
      <c r="J16" s="243"/>
      <c r="K16" s="277"/>
      <c r="L16" s="278"/>
      <c r="M16" s="276"/>
      <c r="N16" s="243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40">
        <v>0</v>
      </c>
      <c r="G17" s="340"/>
      <c r="H17" s="299"/>
      <c r="I17" s="243"/>
      <c r="J17" s="243">
        <v>116871.98</v>
      </c>
      <c r="K17" s="275">
        <v>0</v>
      </c>
      <c r="L17" s="243">
        <v>116871.98</v>
      </c>
      <c r="M17" s="276"/>
      <c r="N17" s="275">
        <v>0</v>
      </c>
      <c r="O17" s="243">
        <v>116872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297"/>
      <c r="G18" s="297"/>
      <c r="H18" s="297"/>
      <c r="I18" s="189"/>
      <c r="J18" s="249">
        <v>261788.54</v>
      </c>
      <c r="K18" s="279">
        <v>0</v>
      </c>
      <c r="L18" s="249">
        <v>261788.54</v>
      </c>
      <c r="M18" s="276"/>
      <c r="N18" s="279">
        <v>1843577</v>
      </c>
      <c r="O18" s="249">
        <v>2105366</v>
      </c>
      <c r="P18" s="51"/>
    </row>
    <row r="19" spans="1:16" s="64" customFormat="1">
      <c r="A19" s="52"/>
      <c r="B19" s="56"/>
      <c r="C19" s="36"/>
      <c r="D19" s="36"/>
      <c r="E19" s="36"/>
      <c r="F19" s="189"/>
      <c r="G19" s="189"/>
      <c r="H19" s="189"/>
      <c r="I19" s="189"/>
      <c r="J19" s="189"/>
      <c r="K19" s="189"/>
      <c r="L19" s="189"/>
      <c r="M19" s="250"/>
      <c r="N19" s="25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297"/>
      <c r="G20" s="297"/>
      <c r="H20" s="297"/>
      <c r="I20" s="280"/>
      <c r="J20" s="253">
        <v>3599022.6900000004</v>
      </c>
      <c r="K20" s="253">
        <v>0</v>
      </c>
      <c r="L20" s="253">
        <v>3599023</v>
      </c>
      <c r="M20" s="189"/>
      <c r="N20" s="253">
        <v>1843577</v>
      </c>
      <c r="O20" s="253">
        <v>5442600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297"/>
      <c r="G21" s="297"/>
      <c r="H21" s="297"/>
      <c r="I21" s="280"/>
      <c r="J21" s="280"/>
      <c r="K21" s="280"/>
      <c r="L21" s="224"/>
      <c r="M21" s="224"/>
      <c r="N21" s="224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297"/>
      <c r="G22" s="297"/>
      <c r="H22" s="297"/>
      <c r="I22" s="280"/>
      <c r="J22" s="280"/>
      <c r="K22" s="280"/>
      <c r="L22" s="256"/>
      <c r="M22" s="224"/>
      <c r="N22" s="25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297"/>
      <c r="G23" s="243"/>
      <c r="H23" s="297"/>
      <c r="I23" s="280"/>
      <c r="J23" s="280"/>
      <c r="K23" s="280"/>
      <c r="L23" s="256"/>
      <c r="M23" s="224"/>
      <c r="N23" s="25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297"/>
      <c r="G24" s="243"/>
      <c r="H24" s="297"/>
      <c r="I24" s="280"/>
      <c r="J24" s="281">
        <v>8464155.7599999998</v>
      </c>
      <c r="K24" s="274">
        <v>0</v>
      </c>
      <c r="L24" s="282">
        <v>8464155.7599999998</v>
      </c>
      <c r="M24" s="276"/>
      <c r="N24" s="274">
        <v>0</v>
      </c>
      <c r="O24" s="239">
        <v>8464156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297"/>
      <c r="G25" s="243"/>
      <c r="H25" s="297"/>
      <c r="I25" s="280"/>
      <c r="J25" s="280">
        <v>250186.06000000006</v>
      </c>
      <c r="K25" s="275">
        <v>0</v>
      </c>
      <c r="L25" s="243">
        <v>250186.06000000006</v>
      </c>
      <c r="M25" s="276"/>
      <c r="N25" s="275">
        <v>197458</v>
      </c>
      <c r="O25" s="243">
        <v>447644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297"/>
      <c r="G26" s="243"/>
      <c r="H26" s="297"/>
      <c r="I26" s="280"/>
      <c r="J26" s="280">
        <v>564003.30000000005</v>
      </c>
      <c r="K26" s="275">
        <v>0</v>
      </c>
      <c r="L26" s="243">
        <v>564003.30000000005</v>
      </c>
      <c r="M26" s="276"/>
      <c r="N26" s="275">
        <v>0</v>
      </c>
      <c r="O26" s="243">
        <v>564003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297"/>
      <c r="G27" s="243"/>
      <c r="H27" s="297"/>
      <c r="I27" s="280"/>
      <c r="J27" s="280">
        <v>1650519.3199999998</v>
      </c>
      <c r="K27" s="275"/>
      <c r="L27" s="243">
        <v>1650519.3199999998</v>
      </c>
      <c r="M27" s="276"/>
      <c r="N27" s="275">
        <v>0</v>
      </c>
      <c r="O27" s="243">
        <v>1650519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297"/>
      <c r="G28" s="243"/>
      <c r="H28" s="297"/>
      <c r="I28" s="280"/>
      <c r="J28" s="280">
        <v>1816160.4300000002</v>
      </c>
      <c r="K28" s="275"/>
      <c r="L28" s="243">
        <v>1816160.4300000002</v>
      </c>
      <c r="M28" s="276"/>
      <c r="N28" s="275">
        <v>762865</v>
      </c>
      <c r="O28" s="243">
        <v>2579025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297"/>
      <c r="G29" s="243"/>
      <c r="H29" s="297"/>
      <c r="I29" s="280"/>
      <c r="J29" s="280">
        <v>552023.19999999995</v>
      </c>
      <c r="K29" s="275">
        <v>0</v>
      </c>
      <c r="L29" s="243">
        <v>552023.19999999995</v>
      </c>
      <c r="M29" s="276"/>
      <c r="N29" s="275">
        <v>0</v>
      </c>
      <c r="O29" s="243">
        <v>552023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297"/>
      <c r="G30" s="243"/>
      <c r="H30" s="297"/>
      <c r="I30" s="280"/>
      <c r="J30" s="283">
        <v>1249829.5999999999</v>
      </c>
      <c r="K30" s="279">
        <v>0</v>
      </c>
      <c r="L30" s="249">
        <v>1249829.5999999999</v>
      </c>
      <c r="M30" s="276"/>
      <c r="N30" s="279">
        <v>191605</v>
      </c>
      <c r="O30" s="249">
        <v>1441435</v>
      </c>
      <c r="P30" s="51"/>
    </row>
    <row r="31" spans="1:16" s="43" customFormat="1">
      <c r="A31" s="1"/>
      <c r="B31" s="72"/>
      <c r="C31" s="44"/>
      <c r="D31" s="36"/>
      <c r="E31" s="14"/>
      <c r="F31" s="297"/>
      <c r="G31" s="243"/>
      <c r="H31" s="297"/>
      <c r="I31" s="280"/>
      <c r="J31" s="280"/>
      <c r="K31" s="280"/>
      <c r="L31" s="224"/>
      <c r="M31" s="224"/>
      <c r="N31" s="224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297"/>
      <c r="G32" s="297"/>
      <c r="H32" s="297"/>
      <c r="I32" s="280"/>
      <c r="J32" s="253">
        <v>14546877.67</v>
      </c>
      <c r="K32" s="253">
        <v>0</v>
      </c>
      <c r="L32" s="253">
        <v>14546877</v>
      </c>
      <c r="M32" s="284"/>
      <c r="N32" s="253">
        <v>1151928</v>
      </c>
      <c r="O32" s="253">
        <v>15698805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297"/>
      <c r="G33" s="243"/>
      <c r="H33" s="297"/>
      <c r="I33" s="280"/>
      <c r="J33" s="189"/>
      <c r="K33" s="280"/>
      <c r="L33" s="189"/>
      <c r="M33" s="189"/>
      <c r="N33" s="18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35"/>
      <c r="F34" s="297"/>
      <c r="G34" s="297"/>
      <c r="H34" s="297"/>
      <c r="I34" s="280"/>
      <c r="J34" s="265">
        <v>-10947854.98</v>
      </c>
      <c r="K34" s="265">
        <v>0</v>
      </c>
      <c r="L34" s="265">
        <v>-10947854</v>
      </c>
      <c r="M34" s="189"/>
      <c r="N34" s="265">
        <v>691649</v>
      </c>
      <c r="O34" s="265">
        <v>-10256205</v>
      </c>
      <c r="P34" s="68"/>
    </row>
    <row r="35" spans="1:16" s="43" customFormat="1">
      <c r="A35" s="12"/>
      <c r="B35" s="72"/>
      <c r="C35" s="14"/>
      <c r="D35" s="14"/>
      <c r="E35" s="14"/>
      <c r="F35" s="297"/>
      <c r="G35" s="297"/>
      <c r="H35" s="297"/>
      <c r="I35" s="280"/>
      <c r="J35" s="280"/>
      <c r="K35" s="280"/>
      <c r="L35" s="224"/>
      <c r="M35" s="224"/>
      <c r="N35" s="224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297"/>
      <c r="G36" s="297"/>
      <c r="H36" s="297"/>
      <c r="I36" s="280"/>
      <c r="J36" s="280"/>
      <c r="K36" s="280"/>
      <c r="L36" s="256"/>
      <c r="M36" s="224"/>
      <c r="N36" s="25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297"/>
      <c r="G37" s="243"/>
      <c r="H37" s="297"/>
      <c r="I37" s="280"/>
      <c r="J37" s="281">
        <v>7264312.2800000003</v>
      </c>
      <c r="K37" s="274">
        <v>0</v>
      </c>
      <c r="L37" s="239">
        <v>7264312.2800000003</v>
      </c>
      <c r="M37" s="285"/>
      <c r="N37" s="274">
        <v>0</v>
      </c>
      <c r="O37" s="239">
        <v>7264312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297"/>
      <c r="G38" s="243"/>
      <c r="H38" s="297"/>
      <c r="I38" s="280"/>
      <c r="J38" s="280">
        <v>1110201</v>
      </c>
      <c r="K38" s="275">
        <v>0</v>
      </c>
      <c r="L38" s="243">
        <v>1110201</v>
      </c>
      <c r="M38" s="285"/>
      <c r="N38" s="286">
        <v>0</v>
      </c>
      <c r="O38" s="243">
        <v>1110201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297"/>
      <c r="G39" s="243"/>
      <c r="H39" s="297"/>
      <c r="I39" s="280"/>
      <c r="J39" s="280">
        <v>229920.72</v>
      </c>
      <c r="K39" s="275">
        <v>0</v>
      </c>
      <c r="L39" s="243">
        <v>229920.72</v>
      </c>
      <c r="M39" s="285"/>
      <c r="N39" s="286">
        <v>0</v>
      </c>
      <c r="O39" s="243">
        <v>229921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297"/>
      <c r="G40" s="243"/>
      <c r="H40" s="297"/>
      <c r="I40" s="280"/>
      <c r="J40" s="280">
        <v>26939.94</v>
      </c>
      <c r="K40" s="275">
        <v>0</v>
      </c>
      <c r="L40" s="243">
        <v>26939.94</v>
      </c>
      <c r="M40" s="285"/>
      <c r="N40" s="286">
        <v>590439</v>
      </c>
      <c r="O40" s="243">
        <v>617379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300"/>
      <c r="G41" s="243"/>
      <c r="H41" s="297"/>
      <c r="I41" s="280"/>
      <c r="J41" s="280">
        <v>0</v>
      </c>
      <c r="K41" s="275">
        <v>0</v>
      </c>
      <c r="L41" s="243">
        <v>0</v>
      </c>
      <c r="M41" s="285"/>
      <c r="N41" s="286">
        <v>0</v>
      </c>
      <c r="O41" s="243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297"/>
      <c r="G42" s="243"/>
      <c r="H42" s="297"/>
      <c r="I42" s="280"/>
      <c r="J42" s="280">
        <v>0</v>
      </c>
      <c r="K42" s="275">
        <v>0</v>
      </c>
      <c r="L42" s="243">
        <v>0</v>
      </c>
      <c r="M42" s="285"/>
      <c r="N42" s="286">
        <v>0</v>
      </c>
      <c r="O42" s="243"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297"/>
      <c r="G43" s="243"/>
      <c r="H43" s="297"/>
      <c r="I43" s="280"/>
      <c r="J43" s="280">
        <v>0</v>
      </c>
      <c r="K43" s="275">
        <v>0</v>
      </c>
      <c r="L43" s="243">
        <v>0</v>
      </c>
      <c r="M43" s="285"/>
      <c r="N43" s="286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243"/>
      <c r="G44" s="243"/>
      <c r="H44" s="243"/>
      <c r="I44" s="243"/>
      <c r="J44" s="243">
        <v>-2117.37</v>
      </c>
      <c r="K44" s="275">
        <v>0</v>
      </c>
      <c r="L44" s="243">
        <v>-2117.37</v>
      </c>
      <c r="M44" s="285"/>
      <c r="N44" s="286">
        <v>-630532</v>
      </c>
      <c r="O44" s="243">
        <v>-632649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297"/>
      <c r="G45" s="243"/>
      <c r="H45" s="297"/>
      <c r="I45" s="280"/>
      <c r="J45" s="287">
        <v>0</v>
      </c>
      <c r="K45" s="279">
        <v>0</v>
      </c>
      <c r="L45" s="249">
        <v>0</v>
      </c>
      <c r="M45" s="285"/>
      <c r="N45" s="288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243"/>
      <c r="G46" s="243"/>
      <c r="H46" s="243"/>
      <c r="I46" s="243"/>
      <c r="J46" s="243"/>
      <c r="K46" s="243"/>
      <c r="L46" s="243"/>
      <c r="M46" s="289"/>
      <c r="N46" s="24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297"/>
      <c r="G47" s="297"/>
      <c r="H47" s="297"/>
      <c r="I47" s="280"/>
      <c r="J47" s="265">
        <v>8629256.5700000003</v>
      </c>
      <c r="K47" s="265">
        <v>0</v>
      </c>
      <c r="L47" s="265">
        <v>8629257</v>
      </c>
      <c r="M47" s="189"/>
      <c r="N47" s="265">
        <v>-40093</v>
      </c>
      <c r="O47" s="265">
        <v>8589164</v>
      </c>
      <c r="P47" s="68"/>
    </row>
    <row r="48" spans="1:16" s="37" customFormat="1">
      <c r="A48" s="52"/>
      <c r="B48" s="53"/>
      <c r="C48" s="86"/>
      <c r="D48" s="87"/>
      <c r="E48" s="15"/>
      <c r="F48" s="280"/>
      <c r="G48" s="280"/>
      <c r="H48" s="280"/>
      <c r="I48" s="280"/>
      <c r="J48" s="189"/>
      <c r="K48" s="189"/>
      <c r="L48" s="189"/>
      <c r="M48" s="189"/>
      <c r="N48" s="18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297"/>
      <c r="G49" s="297"/>
      <c r="H49" s="297"/>
      <c r="I49" s="280"/>
      <c r="J49" s="243"/>
      <c r="K49" s="243"/>
      <c r="L49" s="243"/>
      <c r="M49" s="243"/>
      <c r="N49" s="243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297"/>
      <c r="G50" s="297"/>
      <c r="H50" s="297"/>
      <c r="I50" s="280"/>
      <c r="J50" s="265">
        <v>-2318598.41</v>
      </c>
      <c r="K50" s="265">
        <v>0</v>
      </c>
      <c r="L50" s="265">
        <v>-2318597</v>
      </c>
      <c r="M50" s="189"/>
      <c r="N50" s="265">
        <v>651556</v>
      </c>
      <c r="O50" s="265">
        <v>-1667041</v>
      </c>
      <c r="P50" s="68"/>
    </row>
    <row r="51" spans="1:16" s="43" customFormat="1">
      <c r="A51" s="52"/>
      <c r="B51" s="53"/>
      <c r="C51" s="14"/>
      <c r="D51" s="29"/>
      <c r="E51" s="14"/>
      <c r="F51" s="297"/>
      <c r="G51" s="297"/>
      <c r="H51" s="297"/>
      <c r="I51" s="280"/>
      <c r="J51" s="280"/>
      <c r="K51" s="280"/>
      <c r="L51" s="224"/>
      <c r="M51" s="224"/>
      <c r="N51" s="224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297"/>
      <c r="G52" s="297"/>
      <c r="H52" s="243"/>
      <c r="I52" s="280"/>
      <c r="J52" s="281">
        <v>2251757</v>
      </c>
      <c r="K52" s="274">
        <v>0</v>
      </c>
      <c r="L52" s="239">
        <v>2251757</v>
      </c>
      <c r="M52" s="285"/>
      <c r="N52" s="274">
        <v>0</v>
      </c>
      <c r="O52" s="239">
        <v>2251757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297"/>
      <c r="G53" s="297"/>
      <c r="H53" s="243"/>
      <c r="I53" s="280"/>
      <c r="J53" s="280">
        <v>419839.33</v>
      </c>
      <c r="K53" s="275">
        <v>0</v>
      </c>
      <c r="L53" s="243">
        <v>419839.33</v>
      </c>
      <c r="M53" s="276"/>
      <c r="N53" s="275">
        <v>0</v>
      </c>
      <c r="O53" s="243">
        <v>419839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297"/>
      <c r="G54" s="297"/>
      <c r="H54" s="243"/>
      <c r="I54" s="280"/>
      <c r="J54" s="280">
        <v>0</v>
      </c>
      <c r="K54" s="275">
        <v>0</v>
      </c>
      <c r="L54" s="243">
        <v>0</v>
      </c>
      <c r="M54" s="276"/>
      <c r="N54" s="290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297"/>
      <c r="G55" s="297"/>
      <c r="H55" s="243"/>
      <c r="I55" s="280"/>
      <c r="J55" s="283">
        <v>0</v>
      </c>
      <c r="K55" s="279">
        <v>0</v>
      </c>
      <c r="L55" s="249">
        <v>0</v>
      </c>
      <c r="M55" s="276"/>
      <c r="N55" s="279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297"/>
      <c r="G56" s="297"/>
      <c r="H56" s="297"/>
      <c r="I56" s="280"/>
      <c r="J56" s="243"/>
      <c r="K56" s="280"/>
      <c r="L56" s="243"/>
      <c r="M56" s="289"/>
      <c r="N56" s="24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297"/>
      <c r="G57" s="297"/>
      <c r="H57" s="297"/>
      <c r="I57" s="280"/>
      <c r="J57" s="253">
        <v>2671596.33</v>
      </c>
      <c r="K57" s="253">
        <v>0</v>
      </c>
      <c r="L57" s="253">
        <v>2671596</v>
      </c>
      <c r="M57" s="284"/>
      <c r="N57" s="253">
        <v>0</v>
      </c>
      <c r="O57" s="253">
        <v>2671596</v>
      </c>
      <c r="P57" s="91"/>
    </row>
    <row r="58" spans="1:16" ht="13.5" thickTop="1">
      <c r="A58" s="52"/>
      <c r="B58" s="53"/>
      <c r="C58" s="29"/>
      <c r="D58" s="35"/>
      <c r="E58" s="35"/>
      <c r="F58" s="297"/>
      <c r="G58" s="297"/>
      <c r="H58" s="297"/>
      <c r="I58" s="280"/>
      <c r="J58" s="189"/>
      <c r="K58" s="189"/>
      <c r="L58" s="189"/>
      <c r="M58" s="189"/>
      <c r="N58" s="18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297"/>
      <c r="G59" s="297"/>
      <c r="H59" s="297"/>
      <c r="I59" s="280"/>
      <c r="J59" s="265">
        <v>352997.91999999993</v>
      </c>
      <c r="K59" s="265">
        <v>0</v>
      </c>
      <c r="L59" s="265">
        <v>352999</v>
      </c>
      <c r="M59" s="291"/>
      <c r="N59" s="265">
        <v>651556</v>
      </c>
      <c r="O59" s="265">
        <v>1004555</v>
      </c>
      <c r="P59" s="91"/>
    </row>
    <row r="60" spans="1:16">
      <c r="A60" s="52"/>
      <c r="B60" s="53"/>
      <c r="C60" s="93"/>
      <c r="D60" s="35"/>
      <c r="E60" s="35"/>
      <c r="F60" s="297"/>
      <c r="G60" s="297"/>
      <c r="H60" s="297"/>
      <c r="I60" s="280"/>
      <c r="J60" s="280"/>
      <c r="K60" s="280"/>
      <c r="L60" s="292"/>
      <c r="M60" s="292"/>
      <c r="N60" s="292"/>
      <c r="O60" s="292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297"/>
      <c r="G61" s="297"/>
      <c r="H61" s="297"/>
      <c r="I61" s="280"/>
      <c r="J61" s="285"/>
      <c r="K61" s="280"/>
      <c r="L61" s="285">
        <v>23753380</v>
      </c>
      <c r="M61" s="285"/>
      <c r="N61" s="285">
        <v>3111094</v>
      </c>
      <c r="O61" s="243">
        <v>26864474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297"/>
      <c r="G62" s="297"/>
      <c r="H62" s="297"/>
      <c r="I62" s="280"/>
      <c r="J62" s="280"/>
      <c r="K62" s="280"/>
      <c r="L62" s="288"/>
      <c r="M62" s="285"/>
      <c r="N62" s="288"/>
      <c r="O62" s="249">
        <v>0</v>
      </c>
      <c r="P62" s="81"/>
    </row>
    <row r="63" spans="1:16" s="64" customFormat="1">
      <c r="A63" s="52"/>
      <c r="B63" s="53"/>
      <c r="C63" s="36"/>
      <c r="D63" s="36"/>
      <c r="E63" s="36"/>
      <c r="F63" s="189"/>
      <c r="G63" s="189"/>
      <c r="H63" s="189"/>
      <c r="I63" s="189"/>
      <c r="J63" s="189"/>
      <c r="K63" s="189"/>
      <c r="L63" s="291"/>
      <c r="M63" s="293"/>
      <c r="N63" s="293"/>
      <c r="O63" s="293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189"/>
      <c r="G64" s="189"/>
      <c r="H64" s="250"/>
      <c r="I64" s="250"/>
      <c r="J64" s="250"/>
      <c r="K64" s="250"/>
      <c r="L64" s="294">
        <v>23753380</v>
      </c>
      <c r="M64" s="291"/>
      <c r="N64" s="294">
        <v>3111094</v>
      </c>
      <c r="O64" s="294">
        <v>26864474</v>
      </c>
      <c r="P64" s="91"/>
    </row>
    <row r="65" spans="1:16" s="64" customFormat="1">
      <c r="A65" s="52"/>
      <c r="B65" s="53"/>
      <c r="C65" s="36"/>
      <c r="D65" s="36"/>
      <c r="E65" s="36"/>
      <c r="F65" s="189"/>
      <c r="G65" s="189"/>
      <c r="H65" s="191"/>
      <c r="I65" s="189"/>
      <c r="J65" s="189"/>
      <c r="K65" s="189"/>
      <c r="L65" s="191"/>
      <c r="M65" s="250"/>
      <c r="N65" s="250"/>
      <c r="O65" s="250"/>
      <c r="P65" s="61"/>
    </row>
    <row r="66" spans="1:16" ht="13.5" thickBot="1">
      <c r="A66" s="52"/>
      <c r="B66" s="53"/>
      <c r="C66" s="29" t="s">
        <v>95</v>
      </c>
      <c r="D66" s="35"/>
      <c r="E66" s="14"/>
      <c r="F66" s="297"/>
      <c r="G66" s="297"/>
      <c r="H66" s="297"/>
      <c r="I66" s="280"/>
      <c r="J66" s="280"/>
      <c r="K66" s="280"/>
      <c r="L66" s="253">
        <v>24106379</v>
      </c>
      <c r="M66" s="292"/>
      <c r="N66" s="253">
        <v>3762650</v>
      </c>
      <c r="O66" s="253">
        <v>27869029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L66-[11]SNP!M120</f>
        <v>1</v>
      </c>
      <c r="M69" s="110"/>
      <c r="N69" s="111">
        <f>N66-[11]SNP!O120</f>
        <v>0</v>
      </c>
      <c r="O69" s="111">
        <f>O66-[11]SNP!P120</f>
        <v>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443" priority="24" operator="notEqual">
      <formula>0</formula>
    </cfRule>
    <cfRule type="cellIs" dxfId="442" priority="25" operator="equal">
      <formula>0</formula>
    </cfRule>
  </conditionalFormatting>
  <conditionalFormatting sqref="F11:G11 N62 L62 N17:N18 N11:N15 L16 F17:G17 N24:N30 N37:N45 N52:N55">
    <cfRule type="containsBlanks" dxfId="441" priority="20">
      <formula>LEN(TRIM(F11))=0</formula>
    </cfRule>
    <cfRule type="cellIs" dxfId="440" priority="21" operator="notEqual">
      <formula>0</formula>
    </cfRule>
  </conditionalFormatting>
  <conditionalFormatting sqref="N11">
    <cfRule type="cellIs" dxfId="439" priority="19" operator="notEqual">
      <formula>N20</formula>
    </cfRule>
  </conditionalFormatting>
  <conditionalFormatting sqref="O69">
    <cfRule type="cellIs" dxfId="438" priority="15" operator="notEqual">
      <formula>0</formula>
    </cfRule>
    <cfRule type="cellIs" dxfId="437" priority="16" operator="equal">
      <formula>0</formula>
    </cfRule>
  </conditionalFormatting>
  <conditionalFormatting sqref="K11:K15 K17:K18">
    <cfRule type="containsBlanks" dxfId="436" priority="13">
      <formula>LEN(TRIM(K11))=0</formula>
    </cfRule>
    <cfRule type="cellIs" dxfId="435" priority="14" operator="notEqual">
      <formula>0</formula>
    </cfRule>
  </conditionalFormatting>
  <conditionalFormatting sqref="K11:K15 K17:K18">
    <cfRule type="cellIs" dxfId="434" priority="12" operator="notEqual">
      <formula>K20</formula>
    </cfRule>
  </conditionalFormatting>
  <conditionalFormatting sqref="K16">
    <cfRule type="containsBlanks" dxfId="433" priority="10">
      <formula>LEN(TRIM(K16))=0</formula>
    </cfRule>
    <cfRule type="cellIs" dxfId="432" priority="11" operator="notEqual">
      <formula>0</formula>
    </cfRule>
  </conditionalFormatting>
  <conditionalFormatting sqref="K52 K37 K24">
    <cfRule type="containsBlanks" dxfId="431" priority="8">
      <formula>LEN(TRIM(K24))=0</formula>
    </cfRule>
    <cfRule type="cellIs" dxfId="430" priority="9" operator="notEqual">
      <formula>0</formula>
    </cfRule>
  </conditionalFormatting>
  <conditionalFormatting sqref="K52 K37 K24">
    <cfRule type="cellIs" dxfId="429" priority="7" operator="notEqual">
      <formula>K33</formula>
    </cfRule>
  </conditionalFormatting>
  <conditionalFormatting sqref="K53:K55 K38:K45 K25:K30">
    <cfRule type="containsBlanks" dxfId="428" priority="5">
      <formula>LEN(TRIM(K25))=0</formula>
    </cfRule>
    <cfRule type="cellIs" dxfId="427" priority="6" operator="notEqual">
      <formula>0</formula>
    </cfRule>
  </conditionalFormatting>
  <conditionalFormatting sqref="K53:K55 K38:K45 K25:K30">
    <cfRule type="cellIs" dxfId="426" priority="4" operator="notEqual">
      <formula>K34</formula>
    </cfRule>
  </conditionalFormatting>
  <conditionalFormatting sqref="N24">
    <cfRule type="cellIs" dxfId="425" priority="3" operator="notEqual">
      <formula>N33</formula>
    </cfRule>
  </conditionalFormatting>
  <conditionalFormatting sqref="N37">
    <cfRule type="cellIs" dxfId="424" priority="2" operator="notEqual">
      <formula>N46</formula>
    </cfRule>
  </conditionalFormatting>
  <conditionalFormatting sqref="N52">
    <cfRule type="cellIs" dxfId="423" priority="1" operator="notEqual">
      <formula>N61</formula>
    </cfRule>
  </conditionalFormatting>
  <printOptions horizontalCentered="1"/>
  <pageMargins left="0.7" right="0.7" top="0.75" bottom="0.75" header="0.5" footer="0.5"/>
  <pageSetup scale="4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110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[12]SNP!$O$9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4493076.72</v>
      </c>
      <c r="G11" s="339"/>
      <c r="H11" s="45"/>
      <c r="I11" s="36"/>
      <c r="J11" s="237">
        <v>5384389.5800000001</v>
      </c>
      <c r="K11" s="223">
        <v>0</v>
      </c>
      <c r="L11" s="238">
        <v>5384389.5800000001</v>
      </c>
      <c r="M11" s="224"/>
      <c r="N11" s="223">
        <v>0</v>
      </c>
      <c r="O11" s="239">
        <v>5384390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2420341.75</v>
      </c>
      <c r="K12" s="241">
        <v>0</v>
      </c>
      <c r="L12" s="242">
        <v>2420341.75</v>
      </c>
      <c r="M12" s="225"/>
      <c r="N12" s="50">
        <v>0</v>
      </c>
      <c r="O12" s="243">
        <v>2420342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0</v>
      </c>
      <c r="K13" s="241">
        <v>0</v>
      </c>
      <c r="L13" s="242">
        <v>0</v>
      </c>
      <c r="M13" s="225"/>
      <c r="N13" s="50">
        <v>0</v>
      </c>
      <c r="O13" s="243">
        <v>0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0</v>
      </c>
      <c r="K14" s="241">
        <v>0</v>
      </c>
      <c r="L14" s="242">
        <v>0</v>
      </c>
      <c r="M14" s="225"/>
      <c r="N14" s="50">
        <v>0</v>
      </c>
      <c r="O14" s="243">
        <v>0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33011.949999999997</v>
      </c>
      <c r="K15" s="241">
        <v>0</v>
      </c>
      <c r="L15" s="242">
        <v>33011.949999999997</v>
      </c>
      <c r="M15" s="225"/>
      <c r="N15" s="50">
        <v>0</v>
      </c>
      <c r="O15" s="243">
        <v>33012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726194.08</v>
      </c>
      <c r="G17" s="339"/>
      <c r="H17" s="55"/>
      <c r="I17" s="35"/>
      <c r="J17" s="240">
        <v>2040448.1199999999</v>
      </c>
      <c r="K17" s="241">
        <v>0</v>
      </c>
      <c r="L17" s="242">
        <v>2040448.1199999999</v>
      </c>
      <c r="M17" s="225"/>
      <c r="N17" s="50">
        <v>0</v>
      </c>
      <c r="O17" s="243">
        <v>2040448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252345.09000000003</v>
      </c>
      <c r="K18" s="247">
        <v>23767</v>
      </c>
      <c r="L18" s="248">
        <v>276112.09000000003</v>
      </c>
      <c r="M18" s="225"/>
      <c r="N18" s="58">
        <v>742557.87</v>
      </c>
      <c r="O18" s="249">
        <v>1018670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10130536.49</v>
      </c>
      <c r="K20" s="251">
        <v>23767</v>
      </c>
      <c r="L20" s="252">
        <v>10154304</v>
      </c>
      <c r="M20" s="67"/>
      <c r="N20" s="251">
        <v>742558</v>
      </c>
      <c r="O20" s="253">
        <v>10896862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27577435.920000002</v>
      </c>
      <c r="K24" s="223">
        <v>0</v>
      </c>
      <c r="L24" s="258">
        <v>27577435.920000002</v>
      </c>
      <c r="M24" s="225"/>
      <c r="N24" s="223">
        <v>0</v>
      </c>
      <c r="O24" s="239">
        <v>27577436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4235506.88</v>
      </c>
      <c r="K25" s="241">
        <v>0</v>
      </c>
      <c r="L25" s="242">
        <v>4235506.88</v>
      </c>
      <c r="M25" s="225"/>
      <c r="N25" s="50">
        <v>845944.33</v>
      </c>
      <c r="O25" s="243">
        <v>5081451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1900656.57</v>
      </c>
      <c r="K26" s="241">
        <v>0</v>
      </c>
      <c r="L26" s="242">
        <v>1900656.57</v>
      </c>
      <c r="M26" s="225"/>
      <c r="N26" s="50">
        <v>0</v>
      </c>
      <c r="O26" s="243">
        <v>1900657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2851801.4699999997</v>
      </c>
      <c r="K27" s="241">
        <v>0</v>
      </c>
      <c r="L27" s="242">
        <v>2851801.4699999997</v>
      </c>
      <c r="M27" s="225"/>
      <c r="N27" s="50">
        <v>0</v>
      </c>
      <c r="O27" s="243">
        <v>2851801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2189906.9100000006</v>
      </c>
      <c r="K28" s="241">
        <v>0</v>
      </c>
      <c r="L28" s="242">
        <v>2189906.9100000006</v>
      </c>
      <c r="M28" s="225"/>
      <c r="N28" s="50">
        <v>1449595.51</v>
      </c>
      <c r="O28" s="243">
        <v>3639503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8409963.3599999994</v>
      </c>
      <c r="K29" s="241">
        <v>0</v>
      </c>
      <c r="L29" s="242">
        <v>8409963.3599999994</v>
      </c>
      <c r="M29" s="225"/>
      <c r="N29" s="50">
        <v>0</v>
      </c>
      <c r="O29" s="243">
        <v>8409963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4210101.04</v>
      </c>
      <c r="K30" s="247">
        <v>0</v>
      </c>
      <c r="L30" s="248">
        <v>4210101.04</v>
      </c>
      <c r="M30" s="225"/>
      <c r="N30" s="58">
        <v>0</v>
      </c>
      <c r="O30" s="249">
        <v>4210101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51375372.149999999</v>
      </c>
      <c r="K32" s="251">
        <v>0</v>
      </c>
      <c r="L32" s="252">
        <v>51375372</v>
      </c>
      <c r="M32" s="261"/>
      <c r="N32" s="251">
        <v>2295540</v>
      </c>
      <c r="O32" s="253">
        <v>53670912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-41244835.659999996</v>
      </c>
      <c r="K34" s="263">
        <v>23767</v>
      </c>
      <c r="L34" s="264">
        <v>-41221068</v>
      </c>
      <c r="M34" s="67"/>
      <c r="N34" s="263">
        <v>-1552982</v>
      </c>
      <c r="O34" s="265">
        <v>-42774050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23492629.420000002</v>
      </c>
      <c r="K37" s="223">
        <v>0</v>
      </c>
      <c r="L37" s="238">
        <v>23492629.420000002</v>
      </c>
      <c r="M37" s="49"/>
      <c r="N37" s="223">
        <v>0</v>
      </c>
      <c r="O37" s="239">
        <v>23492629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8917862.5800000001</v>
      </c>
      <c r="K38" s="241">
        <v>0</v>
      </c>
      <c r="L38" s="242">
        <v>8917862.5800000001</v>
      </c>
      <c r="M38" s="49"/>
      <c r="N38" s="80">
        <v>0</v>
      </c>
      <c r="O38" s="243">
        <v>8917863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1057538.31</v>
      </c>
      <c r="K39" s="241">
        <v>0</v>
      </c>
      <c r="L39" s="242">
        <v>1057538.31</v>
      </c>
      <c r="M39" s="49"/>
      <c r="N39" s="80">
        <v>0</v>
      </c>
      <c r="O39" s="243">
        <v>1057538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125897.86</v>
      </c>
      <c r="K40" s="241">
        <v>0</v>
      </c>
      <c r="L40" s="242">
        <v>125897.86</v>
      </c>
      <c r="M40" s="49"/>
      <c r="N40" s="80">
        <v>3356686.56</v>
      </c>
      <c r="O40" s="243">
        <v>3482585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/>
      <c r="O41" s="243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0</v>
      </c>
      <c r="O42" s="243"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-219096.77</v>
      </c>
      <c r="K44" s="241">
        <v>0</v>
      </c>
      <c r="L44" s="242">
        <v>-219096.77</v>
      </c>
      <c r="M44" s="49"/>
      <c r="N44" s="80">
        <v>0</v>
      </c>
      <c r="O44" s="243">
        <v>-219097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/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33374831.400000002</v>
      </c>
      <c r="K47" s="263">
        <v>0</v>
      </c>
      <c r="L47" s="264">
        <v>33374831</v>
      </c>
      <c r="M47" s="59"/>
      <c r="N47" s="263">
        <v>3356687</v>
      </c>
      <c r="O47" s="265">
        <v>36731518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-7870004.2599999942</v>
      </c>
      <c r="K50" s="263">
        <v>23767</v>
      </c>
      <c r="L50" s="264">
        <v>-7846237</v>
      </c>
      <c r="M50" s="59"/>
      <c r="N50" s="263">
        <v>1803705</v>
      </c>
      <c r="O50" s="265">
        <v>-6042532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535037</v>
      </c>
      <c r="K52" s="223">
        <v>0</v>
      </c>
      <c r="L52" s="238">
        <v>535037</v>
      </c>
      <c r="M52" s="49"/>
      <c r="N52" s="223">
        <v>0</v>
      </c>
      <c r="O52" s="239">
        <v>535037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1064807.67</v>
      </c>
      <c r="K53" s="241">
        <v>0</v>
      </c>
      <c r="L53" s="242">
        <v>1064807.67</v>
      </c>
      <c r="M53" s="225"/>
      <c r="N53" s="50">
        <v>0</v>
      </c>
      <c r="O53" s="243">
        <v>1064808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</v>
      </c>
      <c r="D55" s="35"/>
      <c r="E55" s="14"/>
      <c r="F55" s="14"/>
      <c r="G55" s="14"/>
      <c r="H55" s="35"/>
      <c r="I55" s="15"/>
      <c r="J55" s="260">
        <v>0</v>
      </c>
      <c r="K55" s="247">
        <v>63998</v>
      </c>
      <c r="L55" s="248">
        <v>63998</v>
      </c>
      <c r="M55" s="225"/>
      <c r="N55" s="58">
        <v>0</v>
      </c>
      <c r="O55" s="249">
        <v>63998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1599844.67</v>
      </c>
      <c r="K57" s="251">
        <v>63998</v>
      </c>
      <c r="L57" s="253">
        <v>1663843</v>
      </c>
      <c r="M57" s="261"/>
      <c r="N57" s="251">
        <v>0</v>
      </c>
      <c r="O57" s="253">
        <v>1663843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3">
        <v>-6270159.5899999943</v>
      </c>
      <c r="K59" s="263">
        <v>87765</v>
      </c>
      <c r="L59" s="265">
        <v>-6182394</v>
      </c>
      <c r="M59" s="92"/>
      <c r="N59" s="263">
        <v>1803705</v>
      </c>
      <c r="O59" s="265">
        <v>-4378689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102773968</v>
      </c>
      <c r="M61" s="49"/>
      <c r="N61" s="96">
        <v>29502532</v>
      </c>
      <c r="O61" s="240">
        <v>132276500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102773968</v>
      </c>
      <c r="M64" s="92"/>
      <c r="N64" s="90">
        <v>29502532</v>
      </c>
      <c r="O64" s="90">
        <v>132276500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96591574</v>
      </c>
      <c r="M66" s="105"/>
      <c r="N66" s="251">
        <v>31306237</v>
      </c>
      <c r="O66" s="251">
        <v>127897811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L66-[12]SNP!M120</f>
        <v>0</v>
      </c>
      <c r="M69" s="110"/>
      <c r="N69" s="111">
        <f>N66-[12]SNP!O120</f>
        <v>1</v>
      </c>
      <c r="O69" s="111">
        <f>O66-[12]SNP!P120</f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422" priority="24" operator="notEqual">
      <formula>0</formula>
    </cfRule>
    <cfRule type="cellIs" dxfId="421" priority="25" operator="equal">
      <formula>0</formula>
    </cfRule>
  </conditionalFormatting>
  <conditionalFormatting sqref="F11:G11 N62 L62 N17:N18 N11:N15 L16 F17:G17 N24:N30 N37:N45 N52:N55">
    <cfRule type="containsBlanks" dxfId="420" priority="20">
      <formula>LEN(TRIM(F11))=0</formula>
    </cfRule>
    <cfRule type="cellIs" dxfId="419" priority="21" operator="notEqual">
      <formula>0</formula>
    </cfRule>
  </conditionalFormatting>
  <conditionalFormatting sqref="N11">
    <cfRule type="cellIs" dxfId="418" priority="19" operator="notEqual">
      <formula>N20</formula>
    </cfRule>
  </conditionalFormatting>
  <conditionalFormatting sqref="O69">
    <cfRule type="cellIs" dxfId="417" priority="15" operator="notEqual">
      <formula>0</formula>
    </cfRule>
    <cfRule type="cellIs" dxfId="416" priority="16" operator="equal">
      <formula>0</formula>
    </cfRule>
  </conditionalFormatting>
  <conditionalFormatting sqref="K11:K15 K17:K18">
    <cfRule type="containsBlanks" dxfId="415" priority="13">
      <formula>LEN(TRIM(K11))=0</formula>
    </cfRule>
    <cfRule type="cellIs" dxfId="414" priority="14" operator="notEqual">
      <formula>0</formula>
    </cfRule>
  </conditionalFormatting>
  <conditionalFormatting sqref="K11:K15 K17:K18">
    <cfRule type="cellIs" dxfId="413" priority="12" operator="notEqual">
      <formula>K20</formula>
    </cfRule>
  </conditionalFormatting>
  <conditionalFormatting sqref="K16">
    <cfRule type="containsBlanks" dxfId="412" priority="10">
      <formula>LEN(TRIM(K16))=0</formula>
    </cfRule>
    <cfRule type="cellIs" dxfId="411" priority="11" operator="notEqual">
      <formula>0</formula>
    </cfRule>
  </conditionalFormatting>
  <conditionalFormatting sqref="K52 K37 K24">
    <cfRule type="containsBlanks" dxfId="410" priority="8">
      <formula>LEN(TRIM(K24))=0</formula>
    </cfRule>
    <cfRule type="cellIs" dxfId="409" priority="9" operator="notEqual">
      <formula>0</formula>
    </cfRule>
  </conditionalFormatting>
  <conditionalFormatting sqref="K52 K37 K24">
    <cfRule type="cellIs" dxfId="408" priority="7" operator="notEqual">
      <formula>K33</formula>
    </cfRule>
  </conditionalFormatting>
  <conditionalFormatting sqref="K53:K55 K38:K45 K25:K30">
    <cfRule type="containsBlanks" dxfId="407" priority="5">
      <formula>LEN(TRIM(K25))=0</formula>
    </cfRule>
    <cfRule type="cellIs" dxfId="406" priority="6" operator="notEqual">
      <formula>0</formula>
    </cfRule>
  </conditionalFormatting>
  <conditionalFormatting sqref="K53:K55 K38:K45 K25:K30">
    <cfRule type="cellIs" dxfId="405" priority="4" operator="notEqual">
      <formula>K34</formula>
    </cfRule>
  </conditionalFormatting>
  <conditionalFormatting sqref="N24">
    <cfRule type="cellIs" dxfId="404" priority="3" operator="notEqual">
      <formula>N33</formula>
    </cfRule>
  </conditionalFormatting>
  <conditionalFormatting sqref="N37">
    <cfRule type="cellIs" dxfId="403" priority="2" operator="notEqual">
      <formula>N46</formula>
    </cfRule>
  </conditionalFormatting>
  <conditionalFormatting sqref="N52">
    <cfRule type="cellIs" dxfId="402" priority="1" operator="notEqual">
      <formula>N61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85546875" style="11" bestFit="1" customWidth="1"/>
    <col min="11" max="11" width="13.855468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111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[13]SNP!$O$9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16835343.77</v>
      </c>
      <c r="G11" s="339"/>
      <c r="H11" s="45"/>
      <c r="I11" s="36"/>
      <c r="J11" s="237">
        <v>43802419.579999998</v>
      </c>
      <c r="K11" s="223">
        <v>0</v>
      </c>
      <c r="L11" s="238">
        <v>43802419.579999998</v>
      </c>
      <c r="M11" s="224"/>
      <c r="N11" s="223">
        <v>0</v>
      </c>
      <c r="O11" s="239">
        <v>43802420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3047322.8</v>
      </c>
      <c r="K12" s="241"/>
      <c r="L12" s="242">
        <v>3047322.8</v>
      </c>
      <c r="M12" s="225"/>
      <c r="N12" s="50">
        <v>0</v>
      </c>
      <c r="O12" s="243">
        <v>3047323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927843.57000000007</v>
      </c>
      <c r="K13" s="241">
        <v>0</v>
      </c>
      <c r="L13" s="242">
        <v>927843.57000000007</v>
      </c>
      <c r="M13" s="225"/>
      <c r="N13" s="50">
        <v>0</v>
      </c>
      <c r="O13" s="243">
        <v>927844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456119</v>
      </c>
      <c r="K14" s="241">
        <v>0</v>
      </c>
      <c r="L14" s="242">
        <v>456119</v>
      </c>
      <c r="M14" s="225"/>
      <c r="N14" s="50">
        <v>1011601</v>
      </c>
      <c r="O14" s="243">
        <v>1467720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453147.53</v>
      </c>
      <c r="K15" s="241">
        <v>0</v>
      </c>
      <c r="L15" s="242">
        <v>453147.53</v>
      </c>
      <c r="M15" s="225"/>
      <c r="N15" s="50">
        <v>0</v>
      </c>
      <c r="O15" s="243">
        <v>453148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1813249.03</v>
      </c>
      <c r="G17" s="339"/>
      <c r="H17" s="55"/>
      <c r="I17" s="35"/>
      <c r="J17" s="240">
        <v>6971548.3499999987</v>
      </c>
      <c r="K17" s="241">
        <v>0</v>
      </c>
      <c r="L17" s="242">
        <v>6971548.3499999987</v>
      </c>
      <c r="M17" s="225"/>
      <c r="N17" s="50">
        <v>0</v>
      </c>
      <c r="O17" s="243">
        <v>6971548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1924887.95</v>
      </c>
      <c r="K18" s="247">
        <v>0</v>
      </c>
      <c r="L18" s="248">
        <v>1924887.95</v>
      </c>
      <c r="M18" s="225"/>
      <c r="N18" s="58">
        <v>4122426</v>
      </c>
      <c r="O18" s="249">
        <v>6047314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57583288.780000001</v>
      </c>
      <c r="K20" s="251">
        <v>0</v>
      </c>
      <c r="L20" s="252">
        <v>57583290</v>
      </c>
      <c r="M20" s="67"/>
      <c r="N20" s="251">
        <v>5134027</v>
      </c>
      <c r="O20" s="253">
        <v>62717317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94111998.24000001</v>
      </c>
      <c r="K24" s="223">
        <v>0</v>
      </c>
      <c r="L24" s="258">
        <v>94111998.24000001</v>
      </c>
      <c r="M24" s="225"/>
      <c r="N24" s="223">
        <v>580686</v>
      </c>
      <c r="O24" s="239">
        <v>94692684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33322213.349999998</v>
      </c>
      <c r="K25" s="241">
        <v>0</v>
      </c>
      <c r="L25" s="242">
        <v>33322213.349999998</v>
      </c>
      <c r="M25" s="225"/>
      <c r="N25" s="50">
        <v>1935727</v>
      </c>
      <c r="O25" s="243">
        <v>35257940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4454313.6100000003</v>
      </c>
      <c r="K26" s="241">
        <v>0</v>
      </c>
      <c r="L26" s="242">
        <v>4454313.6100000003</v>
      </c>
      <c r="M26" s="225"/>
      <c r="N26" s="50">
        <v>0</v>
      </c>
      <c r="O26" s="243">
        <v>4454314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13554236.759999998</v>
      </c>
      <c r="K27" s="241">
        <v>0</v>
      </c>
      <c r="L27" s="242">
        <v>13554236.759999998</v>
      </c>
      <c r="M27" s="225"/>
      <c r="N27" s="50">
        <v>0</v>
      </c>
      <c r="O27" s="243">
        <v>13554237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10409441.15</v>
      </c>
      <c r="K28" s="241">
        <v>-3448</v>
      </c>
      <c r="L28" s="242">
        <v>10405993.15</v>
      </c>
      <c r="M28" s="225"/>
      <c r="N28" s="50">
        <v>2429088</v>
      </c>
      <c r="O28" s="243">
        <v>12835081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16984181.84</v>
      </c>
      <c r="K29" s="241">
        <v>42680</v>
      </c>
      <c r="L29" s="242">
        <v>17026861.84</v>
      </c>
      <c r="M29" s="225"/>
      <c r="N29" s="50">
        <v>0</v>
      </c>
      <c r="O29" s="243">
        <v>17026862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9922068.3800000008</v>
      </c>
      <c r="K30" s="247"/>
      <c r="L30" s="248">
        <v>9922068.3800000008</v>
      </c>
      <c r="M30" s="225"/>
      <c r="N30" s="58">
        <v>825841</v>
      </c>
      <c r="O30" s="249">
        <v>10747909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182758453.33000001</v>
      </c>
      <c r="K32" s="251">
        <v>39232</v>
      </c>
      <c r="L32" s="252">
        <v>182797685</v>
      </c>
      <c r="M32" s="261"/>
      <c r="N32" s="251">
        <v>5771342</v>
      </c>
      <c r="O32" s="253">
        <v>188569027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-125175164.55000001</v>
      </c>
      <c r="K34" s="263">
        <v>-39232</v>
      </c>
      <c r="L34" s="264">
        <v>-125214395</v>
      </c>
      <c r="M34" s="67"/>
      <c r="N34" s="263">
        <v>-637315</v>
      </c>
      <c r="O34" s="265">
        <v>-125851710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73884401.180000007</v>
      </c>
      <c r="K37" s="223">
        <v>-3453035</v>
      </c>
      <c r="L37" s="238">
        <v>70431366.180000007</v>
      </c>
      <c r="M37" s="49"/>
      <c r="N37" s="223">
        <v>0</v>
      </c>
      <c r="O37" s="239">
        <v>70431366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44609893.530000001</v>
      </c>
      <c r="K38" s="241">
        <v>3453035</v>
      </c>
      <c r="L38" s="242">
        <v>48062928.530000001</v>
      </c>
      <c r="M38" s="49"/>
      <c r="N38" s="80">
        <v>0</v>
      </c>
      <c r="O38" s="243">
        <v>48062929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101061.55</v>
      </c>
      <c r="K39" s="241">
        <v>0</v>
      </c>
      <c r="L39" s="242">
        <v>101061.55</v>
      </c>
      <c r="M39" s="49"/>
      <c r="N39" s="80">
        <v>605445</v>
      </c>
      <c r="O39" s="243">
        <v>706507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283834.58</v>
      </c>
      <c r="K40" s="241">
        <v>0</v>
      </c>
      <c r="L40" s="242">
        <v>283834.58</v>
      </c>
      <c r="M40" s="49"/>
      <c r="N40" s="80">
        <v>190645</v>
      </c>
      <c r="O40" s="243">
        <v>474480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-18318.5</v>
      </c>
      <c r="K41" s="241">
        <v>0</v>
      </c>
      <c r="L41" s="242">
        <v>-18318.5</v>
      </c>
      <c r="M41" s="49"/>
      <c r="N41" s="80">
        <v>1005972</v>
      </c>
      <c r="O41" s="243">
        <v>987653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0</v>
      </c>
      <c r="O42" s="243"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-211881.75</v>
      </c>
      <c r="K44" s="241">
        <v>0</v>
      </c>
      <c r="L44" s="242">
        <v>-211881.75</v>
      </c>
      <c r="M44" s="49"/>
      <c r="N44" s="80">
        <v>0</v>
      </c>
      <c r="O44" s="243">
        <v>-211882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-3448</v>
      </c>
      <c r="L45" s="248">
        <v>-3448</v>
      </c>
      <c r="M45" s="49"/>
      <c r="N45" s="82">
        <v>0</v>
      </c>
      <c r="O45" s="249">
        <v>-3448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118648990.59</v>
      </c>
      <c r="K47" s="263">
        <v>-3448</v>
      </c>
      <c r="L47" s="264">
        <v>118645543</v>
      </c>
      <c r="M47" s="59"/>
      <c r="N47" s="263">
        <v>1802062</v>
      </c>
      <c r="O47" s="265">
        <v>120447605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-6526173.9600000083</v>
      </c>
      <c r="K50" s="263">
        <v>-42680</v>
      </c>
      <c r="L50" s="264">
        <v>-6568852</v>
      </c>
      <c r="M50" s="59"/>
      <c r="N50" s="263">
        <v>1164747</v>
      </c>
      <c r="O50" s="265">
        <v>-5404105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5410497.5700000003</v>
      </c>
      <c r="K52" s="223">
        <v>0</v>
      </c>
      <c r="L52" s="238">
        <v>5410497.5700000003</v>
      </c>
      <c r="M52" s="49"/>
      <c r="N52" s="223">
        <v>0</v>
      </c>
      <c r="O52" s="239">
        <v>5410498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5044655.3899999997</v>
      </c>
      <c r="K53" s="241">
        <v>0</v>
      </c>
      <c r="L53" s="242">
        <v>5044655.3899999997</v>
      </c>
      <c r="M53" s="225"/>
      <c r="N53" s="50">
        <v>0</v>
      </c>
      <c r="O53" s="243">
        <v>5044655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10455152.960000001</v>
      </c>
      <c r="K57" s="251">
        <v>0</v>
      </c>
      <c r="L57" s="253">
        <v>10455153</v>
      </c>
      <c r="M57" s="261"/>
      <c r="N57" s="251">
        <v>0</v>
      </c>
      <c r="O57" s="253">
        <v>10455153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3928978.9999999925</v>
      </c>
      <c r="K59" s="263">
        <v>-42680</v>
      </c>
      <c r="L59" s="265">
        <v>3886301</v>
      </c>
      <c r="M59" s="92"/>
      <c r="N59" s="263">
        <v>1164747</v>
      </c>
      <c r="O59" s="265">
        <v>5051048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188340549</v>
      </c>
      <c r="M61" s="49"/>
      <c r="N61" s="96">
        <v>8604659</v>
      </c>
      <c r="O61" s="240">
        <v>196945208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>
        <v>-17162.919999999998</v>
      </c>
      <c r="M62" s="49"/>
      <c r="N62" s="82"/>
      <c r="O62" s="246">
        <v>-17163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188323386</v>
      </c>
      <c r="M64" s="92"/>
      <c r="N64" s="90">
        <v>8604659</v>
      </c>
      <c r="O64" s="90">
        <v>196928045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192209687</v>
      </c>
      <c r="M66" s="105"/>
      <c r="N66" s="251">
        <v>9769406</v>
      </c>
      <c r="O66" s="251">
        <v>201979093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L66-[13]SNP!M120</f>
        <v>0</v>
      </c>
      <c r="M69" s="110"/>
      <c r="N69" s="111">
        <f>N66-[13]SNP!O120</f>
        <v>0</v>
      </c>
      <c r="O69" s="111">
        <f>O66-[13]SNP!P120</f>
        <v>-2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401" priority="24" operator="notEqual">
      <formula>0</formula>
    </cfRule>
    <cfRule type="cellIs" dxfId="400" priority="25" operator="equal">
      <formula>0</formula>
    </cfRule>
  </conditionalFormatting>
  <conditionalFormatting sqref="F11:G11 N62 L62 N17:N18 N11:N15 L16 F17:G17 N24:N30 N37:N45 N52:N55">
    <cfRule type="containsBlanks" dxfId="399" priority="20">
      <formula>LEN(TRIM(F11))=0</formula>
    </cfRule>
    <cfRule type="cellIs" dxfId="398" priority="21" operator="notEqual">
      <formula>0</formula>
    </cfRule>
  </conditionalFormatting>
  <conditionalFormatting sqref="N11">
    <cfRule type="cellIs" dxfId="397" priority="19" operator="notEqual">
      <formula>N20</formula>
    </cfRule>
  </conditionalFormatting>
  <conditionalFormatting sqref="O69">
    <cfRule type="cellIs" dxfId="396" priority="15" operator="notEqual">
      <formula>0</formula>
    </cfRule>
    <cfRule type="cellIs" dxfId="395" priority="16" operator="equal">
      <formula>0</formula>
    </cfRule>
  </conditionalFormatting>
  <conditionalFormatting sqref="K11:K15 K17:K18">
    <cfRule type="containsBlanks" dxfId="394" priority="13">
      <formula>LEN(TRIM(K11))=0</formula>
    </cfRule>
    <cfRule type="cellIs" dxfId="393" priority="14" operator="notEqual">
      <formula>0</formula>
    </cfRule>
  </conditionalFormatting>
  <conditionalFormatting sqref="K11:K15 K17:K18">
    <cfRule type="cellIs" dxfId="392" priority="12" operator="notEqual">
      <formula>K20</formula>
    </cfRule>
  </conditionalFormatting>
  <conditionalFormatting sqref="K16">
    <cfRule type="containsBlanks" dxfId="391" priority="10">
      <formula>LEN(TRIM(K16))=0</formula>
    </cfRule>
    <cfRule type="cellIs" dxfId="390" priority="11" operator="notEqual">
      <formula>0</formula>
    </cfRule>
  </conditionalFormatting>
  <conditionalFormatting sqref="K52 K37 K24">
    <cfRule type="containsBlanks" dxfId="389" priority="8">
      <formula>LEN(TRIM(K24))=0</formula>
    </cfRule>
    <cfRule type="cellIs" dxfId="388" priority="9" operator="notEqual">
      <formula>0</formula>
    </cfRule>
  </conditionalFormatting>
  <conditionalFormatting sqref="K52 K37 K24">
    <cfRule type="cellIs" dxfId="387" priority="7" operator="notEqual">
      <formula>K33</formula>
    </cfRule>
  </conditionalFormatting>
  <conditionalFormatting sqref="K53:K55 K38:K45 K25:K30">
    <cfRule type="containsBlanks" dxfId="386" priority="5">
      <formula>LEN(TRIM(K25))=0</formula>
    </cfRule>
    <cfRule type="cellIs" dxfId="385" priority="6" operator="notEqual">
      <formula>0</formula>
    </cfRule>
  </conditionalFormatting>
  <conditionalFormatting sqref="K53:K55 K38:K45 K25:K30">
    <cfRule type="cellIs" dxfId="384" priority="4" operator="notEqual">
      <formula>K34</formula>
    </cfRule>
  </conditionalFormatting>
  <conditionalFormatting sqref="N24">
    <cfRule type="cellIs" dxfId="383" priority="3" operator="notEqual">
      <formula>N33</formula>
    </cfRule>
  </conditionalFormatting>
  <conditionalFormatting sqref="N37">
    <cfRule type="cellIs" dxfId="382" priority="2" operator="notEqual">
      <formula>N46</formula>
    </cfRule>
  </conditionalFormatting>
  <conditionalFormatting sqref="N52">
    <cfRule type="cellIs" dxfId="381" priority="1" operator="notEqual">
      <formula>N61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85546875" style="11" bestFit="1" customWidth="1"/>
    <col min="11" max="11" width="15.71093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112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[14]SNP!$O$9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14475987.25</v>
      </c>
      <c r="G11" s="339"/>
      <c r="H11" s="45"/>
      <c r="I11" s="36"/>
      <c r="J11" s="237">
        <v>18381424.09</v>
      </c>
      <c r="K11" s="223">
        <v>-1323143.98</v>
      </c>
      <c r="L11" s="238">
        <v>17058280.109999999</v>
      </c>
      <c r="M11" s="224"/>
      <c r="N11" s="223">
        <v>0</v>
      </c>
      <c r="O11" s="239">
        <v>17058280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502068.1</v>
      </c>
      <c r="K12" s="241">
        <v>0</v>
      </c>
      <c r="L12" s="242">
        <v>502068.1</v>
      </c>
      <c r="M12" s="225"/>
      <c r="N12" s="50">
        <v>0</v>
      </c>
      <c r="O12" s="243">
        <v>502068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260210.5</v>
      </c>
      <c r="K13" s="241">
        <v>0</v>
      </c>
      <c r="L13" s="242">
        <v>260210.5</v>
      </c>
      <c r="M13" s="225"/>
      <c r="N13" s="50">
        <v>161867</v>
      </c>
      <c r="O13" s="243">
        <v>422078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87442.07</v>
      </c>
      <c r="K14" s="241">
        <v>0</v>
      </c>
      <c r="L14" s="242">
        <v>87442.07</v>
      </c>
      <c r="M14" s="225"/>
      <c r="N14" s="50">
        <v>7234299</v>
      </c>
      <c r="O14" s="243">
        <v>7321741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213600.22</v>
      </c>
      <c r="K15" s="241">
        <v>0</v>
      </c>
      <c r="L15" s="242">
        <v>213600.22</v>
      </c>
      <c r="M15" s="225"/>
      <c r="N15" s="50">
        <v>0</v>
      </c>
      <c r="O15" s="243">
        <v>213600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2921784.68</v>
      </c>
      <c r="G17" s="339"/>
      <c r="H17" s="55"/>
      <c r="I17" s="35"/>
      <c r="J17" s="240">
        <v>6347656.5599999996</v>
      </c>
      <c r="K17" s="241">
        <v>0</v>
      </c>
      <c r="L17" s="242">
        <v>6347656.5599999996</v>
      </c>
      <c r="M17" s="225"/>
      <c r="N17" s="50">
        <v>0</v>
      </c>
      <c r="O17" s="243">
        <v>6347657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724817.44</v>
      </c>
      <c r="K18" s="247">
        <v>0</v>
      </c>
      <c r="L18" s="248">
        <v>724817.44</v>
      </c>
      <c r="M18" s="225"/>
      <c r="N18" s="58">
        <v>0</v>
      </c>
      <c r="O18" s="249">
        <v>724817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26517218.98</v>
      </c>
      <c r="K20" s="251">
        <v>-1323144</v>
      </c>
      <c r="L20" s="252">
        <v>25194075</v>
      </c>
      <c r="M20" s="67"/>
      <c r="N20" s="251">
        <v>7396166</v>
      </c>
      <c r="O20" s="253">
        <v>32590241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82876164.469999984</v>
      </c>
      <c r="K24" s="223">
        <v>0</v>
      </c>
      <c r="L24" s="258">
        <v>82876164.469999984</v>
      </c>
      <c r="M24" s="225"/>
      <c r="N24" s="223">
        <v>320325.55</v>
      </c>
      <c r="O24" s="239">
        <v>83196490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15808271.640000001</v>
      </c>
      <c r="K25" s="241">
        <v>0</v>
      </c>
      <c r="L25" s="242">
        <v>15808271.640000001</v>
      </c>
      <c r="M25" s="225"/>
      <c r="N25" s="50">
        <v>3099610</v>
      </c>
      <c r="O25" s="243">
        <v>18907882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4426020.71</v>
      </c>
      <c r="K26" s="241">
        <v>0</v>
      </c>
      <c r="L26" s="242">
        <v>4426020.71</v>
      </c>
      <c r="M26" s="225"/>
      <c r="N26" s="50">
        <v>0</v>
      </c>
      <c r="O26" s="243">
        <v>4426021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4494735.62</v>
      </c>
      <c r="K27" s="241">
        <v>0</v>
      </c>
      <c r="L27" s="242">
        <v>4494735.62</v>
      </c>
      <c r="M27" s="225"/>
      <c r="N27" s="50">
        <v>0</v>
      </c>
      <c r="O27" s="243">
        <v>4494736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5692311.5300000003</v>
      </c>
      <c r="K28" s="241">
        <v>0</v>
      </c>
      <c r="L28" s="242">
        <v>5692311.5300000003</v>
      </c>
      <c r="M28" s="225"/>
      <c r="N28" s="50">
        <v>1609872.45</v>
      </c>
      <c r="O28" s="243">
        <v>7302184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12358091.32</v>
      </c>
      <c r="K29" s="241">
        <v>0</v>
      </c>
      <c r="L29" s="242">
        <v>12358091.32</v>
      </c>
      <c r="M29" s="225"/>
      <c r="N29" s="50">
        <v>0</v>
      </c>
      <c r="O29" s="243">
        <v>12358091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7858019.4199999999</v>
      </c>
      <c r="K30" s="247">
        <v>0</v>
      </c>
      <c r="L30" s="248">
        <v>7858019.4199999999</v>
      </c>
      <c r="M30" s="225"/>
      <c r="N30" s="58">
        <v>474958</v>
      </c>
      <c r="O30" s="249">
        <v>8332977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133513614.70999999</v>
      </c>
      <c r="K32" s="251">
        <v>0</v>
      </c>
      <c r="L32" s="252">
        <v>133513615</v>
      </c>
      <c r="M32" s="261"/>
      <c r="N32" s="251">
        <v>5504766</v>
      </c>
      <c r="O32" s="253">
        <v>139018381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35"/>
      <c r="F34" s="14"/>
      <c r="G34" s="14"/>
      <c r="H34" s="14"/>
      <c r="I34" s="15"/>
      <c r="J34" s="263">
        <v>-106996395.72999999</v>
      </c>
      <c r="K34" s="263">
        <v>-1323144</v>
      </c>
      <c r="L34" s="264">
        <v>-108319540</v>
      </c>
      <c r="M34" s="67"/>
      <c r="N34" s="263">
        <v>1891400</v>
      </c>
      <c r="O34" s="265">
        <v>-106428140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51447117.340000004</v>
      </c>
      <c r="K37" s="223">
        <v>0</v>
      </c>
      <c r="L37" s="238">
        <v>51447117.340000004</v>
      </c>
      <c r="M37" s="49"/>
      <c r="N37" s="223">
        <v>0</v>
      </c>
      <c r="O37" s="239">
        <v>51447117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30184324.199999999</v>
      </c>
      <c r="K38" s="241">
        <v>0</v>
      </c>
      <c r="L38" s="242">
        <v>30184324.199999999</v>
      </c>
      <c r="M38" s="49"/>
      <c r="N38" s="80">
        <v>0</v>
      </c>
      <c r="O38" s="243">
        <v>30184324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12885503.25</v>
      </c>
      <c r="K39" s="241">
        <v>0</v>
      </c>
      <c r="L39" s="242">
        <v>12885503.25</v>
      </c>
      <c r="M39" s="49"/>
      <c r="N39" s="80">
        <v>0</v>
      </c>
      <c r="O39" s="243">
        <v>12885503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177888.06999999998</v>
      </c>
      <c r="K40" s="241">
        <v>0</v>
      </c>
      <c r="L40" s="242">
        <v>177888.06999999998</v>
      </c>
      <c r="M40" s="49"/>
      <c r="N40" s="80">
        <v>954747</v>
      </c>
      <c r="O40" s="243">
        <v>1132635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9698483</v>
      </c>
      <c r="O41" s="243">
        <v>9698483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1613646</v>
      </c>
      <c r="O42" s="243">
        <v>1613646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-83766.87</v>
      </c>
      <c r="K44" s="241">
        <v>0</v>
      </c>
      <c r="L44" s="242">
        <v>-83766.87</v>
      </c>
      <c r="M44" s="49"/>
      <c r="N44" s="80">
        <v>96911</v>
      </c>
      <c r="O44" s="243">
        <v>13144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94611065.989999995</v>
      </c>
      <c r="K47" s="263">
        <v>0</v>
      </c>
      <c r="L47" s="264">
        <v>94611065</v>
      </c>
      <c r="M47" s="59"/>
      <c r="N47" s="263">
        <v>12363787</v>
      </c>
      <c r="O47" s="265">
        <v>106974852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-12385329.739999995</v>
      </c>
      <c r="K50" s="263">
        <v>-1323144</v>
      </c>
      <c r="L50" s="264">
        <v>-13708475</v>
      </c>
      <c r="M50" s="59"/>
      <c r="N50" s="263">
        <v>14255187</v>
      </c>
      <c r="O50" s="265">
        <v>546712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3470057.92</v>
      </c>
      <c r="K52" s="223">
        <v>0</v>
      </c>
      <c r="L52" s="238">
        <v>3470057.92</v>
      </c>
      <c r="M52" s="49"/>
      <c r="N52" s="223">
        <v>5255</v>
      </c>
      <c r="O52" s="239">
        <v>3475313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2876511.99</v>
      </c>
      <c r="K53" s="241">
        <v>1330343.78</v>
      </c>
      <c r="L53" s="242">
        <v>4206855.7700000005</v>
      </c>
      <c r="M53" s="225"/>
      <c r="N53" s="50">
        <v>0</v>
      </c>
      <c r="O53" s="243">
        <v>4206856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1130607</v>
      </c>
      <c r="O54" s="243">
        <v>1130607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6346569.9100000001</v>
      </c>
      <c r="K57" s="251">
        <v>1330343.78</v>
      </c>
      <c r="L57" s="253">
        <v>7676914</v>
      </c>
      <c r="M57" s="261"/>
      <c r="N57" s="251">
        <v>1135862</v>
      </c>
      <c r="O57" s="253">
        <v>8812776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3">
        <v>-6038759.8299999945</v>
      </c>
      <c r="K59" s="263">
        <v>7199.7800000000279</v>
      </c>
      <c r="L59" s="265">
        <v>-6031561</v>
      </c>
      <c r="M59" s="92"/>
      <c r="N59" s="263">
        <v>15391049</v>
      </c>
      <c r="O59" s="265">
        <v>9359488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231698539</v>
      </c>
      <c r="M61" s="49"/>
      <c r="N61" s="96">
        <v>79308807</v>
      </c>
      <c r="O61" s="240">
        <v>311007346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231698539</v>
      </c>
      <c r="M64" s="92"/>
      <c r="N64" s="90">
        <v>79308807</v>
      </c>
      <c r="O64" s="90">
        <v>311007346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225666978</v>
      </c>
      <c r="M66" s="105"/>
      <c r="N66" s="251">
        <v>94699856</v>
      </c>
      <c r="O66" s="251">
        <v>320366834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L66-[14]SNP!M120</f>
        <v>-2</v>
      </c>
      <c r="M69" s="110"/>
      <c r="N69" s="111">
        <f>N66-[14]SNP!O120</f>
        <v>0</v>
      </c>
      <c r="O69" s="111">
        <f>O66-[14]SNP!P120</f>
        <v>-1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380" priority="24" operator="notEqual">
      <formula>0</formula>
    </cfRule>
    <cfRule type="cellIs" dxfId="379" priority="25" operator="equal">
      <formula>0</formula>
    </cfRule>
  </conditionalFormatting>
  <conditionalFormatting sqref="F11:G11 N62 L62 N17:N18 N11:N15 L16 F17:G17 N24:N30 N37:N45 N52:N55">
    <cfRule type="containsBlanks" dxfId="378" priority="20">
      <formula>LEN(TRIM(F11))=0</formula>
    </cfRule>
    <cfRule type="cellIs" dxfId="377" priority="21" operator="notEqual">
      <formula>0</formula>
    </cfRule>
  </conditionalFormatting>
  <conditionalFormatting sqref="N11">
    <cfRule type="cellIs" dxfId="376" priority="19" operator="notEqual">
      <formula>N20</formula>
    </cfRule>
  </conditionalFormatting>
  <conditionalFormatting sqref="O69">
    <cfRule type="cellIs" dxfId="375" priority="15" operator="notEqual">
      <formula>0</formula>
    </cfRule>
    <cfRule type="cellIs" dxfId="374" priority="16" operator="equal">
      <formula>0</formula>
    </cfRule>
  </conditionalFormatting>
  <conditionalFormatting sqref="K11:K15 K17:K18">
    <cfRule type="containsBlanks" dxfId="373" priority="13">
      <formula>LEN(TRIM(K11))=0</formula>
    </cfRule>
    <cfRule type="cellIs" dxfId="372" priority="14" operator="notEqual">
      <formula>0</formula>
    </cfRule>
  </conditionalFormatting>
  <conditionalFormatting sqref="K11:K15 K17:K18">
    <cfRule type="cellIs" dxfId="371" priority="12" operator="notEqual">
      <formula>K20</formula>
    </cfRule>
  </conditionalFormatting>
  <conditionalFormatting sqref="K16">
    <cfRule type="containsBlanks" dxfId="370" priority="10">
      <formula>LEN(TRIM(K16))=0</formula>
    </cfRule>
    <cfRule type="cellIs" dxfId="369" priority="11" operator="notEqual">
      <formula>0</formula>
    </cfRule>
  </conditionalFormatting>
  <conditionalFormatting sqref="K52 K37 K24">
    <cfRule type="containsBlanks" dxfId="368" priority="8">
      <formula>LEN(TRIM(K24))=0</formula>
    </cfRule>
    <cfRule type="cellIs" dxfId="367" priority="9" operator="notEqual">
      <formula>0</formula>
    </cfRule>
  </conditionalFormatting>
  <conditionalFormatting sqref="K52 K37 K24">
    <cfRule type="cellIs" dxfId="366" priority="7" operator="notEqual">
      <formula>K33</formula>
    </cfRule>
  </conditionalFormatting>
  <conditionalFormatting sqref="K53:K55 K38:K45 K25:K30">
    <cfRule type="containsBlanks" dxfId="365" priority="5">
      <formula>LEN(TRIM(K25))=0</formula>
    </cfRule>
    <cfRule type="cellIs" dxfId="364" priority="6" operator="notEqual">
      <formula>0</formula>
    </cfRule>
  </conditionalFormatting>
  <conditionalFormatting sqref="K53:K55 K38:K45 K25:K30">
    <cfRule type="cellIs" dxfId="363" priority="4" operator="notEqual">
      <formula>K34</formula>
    </cfRule>
  </conditionalFormatting>
  <conditionalFormatting sqref="N24">
    <cfRule type="cellIs" dxfId="362" priority="3" operator="notEqual">
      <formula>N33</formula>
    </cfRule>
  </conditionalFormatting>
  <conditionalFormatting sqref="N37">
    <cfRule type="cellIs" dxfId="361" priority="2" operator="notEqual">
      <formula>N46</formula>
    </cfRule>
  </conditionalFormatting>
  <conditionalFormatting sqref="N52">
    <cfRule type="cellIs" dxfId="360" priority="1" operator="notEqual">
      <formula>N61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140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4" style="11" bestFit="1" customWidth="1"/>
    <col min="12" max="12" width="16" style="6" customWidth="1"/>
    <col min="13" max="13" width="1.2851562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342" t="s">
        <v>107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57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57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[15]SNP!$O$9</f>
        <v>Unit</v>
      </c>
      <c r="O7" s="26"/>
      <c r="P7" s="27"/>
    </row>
    <row r="8" spans="1:16">
      <c r="C8" s="65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57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49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49"/>
      <c r="D11" s="44" t="s">
        <v>18</v>
      </c>
      <c r="E11" s="35"/>
      <c r="F11" s="339">
        <v>2572394.4900000002</v>
      </c>
      <c r="G11" s="339"/>
      <c r="H11" s="45"/>
      <c r="I11" s="36"/>
      <c r="J11" s="237">
        <v>3129998.6099999994</v>
      </c>
      <c r="K11" s="223">
        <v>0</v>
      </c>
      <c r="L11" s="238">
        <v>3129998.6099999994</v>
      </c>
      <c r="M11" s="224"/>
      <c r="N11" s="223">
        <v>0</v>
      </c>
      <c r="O11" s="239">
        <v>3129999</v>
      </c>
      <c r="P11" s="46"/>
    </row>
    <row r="12" spans="1:16" s="43" customFormat="1">
      <c r="A12" s="1" t="s">
        <v>19</v>
      </c>
      <c r="B12" s="34" t="s">
        <v>20</v>
      </c>
      <c r="C12" s="349"/>
      <c r="D12" s="36" t="s">
        <v>21</v>
      </c>
      <c r="E12" s="14"/>
      <c r="F12" s="48"/>
      <c r="G12" s="49"/>
      <c r="H12" s="15"/>
      <c r="I12" s="35"/>
      <c r="J12" s="240">
        <v>512651.76</v>
      </c>
      <c r="K12" s="241">
        <v>0</v>
      </c>
      <c r="L12" s="242">
        <v>512651.76</v>
      </c>
      <c r="M12" s="225"/>
      <c r="N12" s="50">
        <v>0</v>
      </c>
      <c r="O12" s="243">
        <v>512652</v>
      </c>
      <c r="P12" s="51"/>
    </row>
    <row r="13" spans="1:16" s="43" customFormat="1">
      <c r="A13" s="1" t="s">
        <v>22</v>
      </c>
      <c r="B13" s="34" t="s">
        <v>20</v>
      </c>
      <c r="C13" s="349"/>
      <c r="D13" s="36" t="s">
        <v>23</v>
      </c>
      <c r="E13" s="14"/>
      <c r="F13" s="48"/>
      <c r="G13" s="48"/>
      <c r="H13" s="14"/>
      <c r="I13" s="35"/>
      <c r="J13" s="240">
        <v>10478.299999999999</v>
      </c>
      <c r="K13" s="241">
        <v>0</v>
      </c>
      <c r="L13" s="242">
        <v>10478.299999999999</v>
      </c>
      <c r="M13" s="225"/>
      <c r="N13" s="50">
        <v>0</v>
      </c>
      <c r="O13" s="243">
        <v>10478</v>
      </c>
      <c r="P13" s="51"/>
    </row>
    <row r="14" spans="1:16" s="43" customFormat="1">
      <c r="A14" s="1" t="s">
        <v>24</v>
      </c>
      <c r="B14" s="34" t="s">
        <v>20</v>
      </c>
      <c r="C14" s="349"/>
      <c r="D14" s="36" t="s">
        <v>25</v>
      </c>
      <c r="E14" s="14"/>
      <c r="F14" s="48"/>
      <c r="G14" s="48"/>
      <c r="H14" s="14"/>
      <c r="I14" s="35"/>
      <c r="J14" s="240">
        <v>487661.16</v>
      </c>
      <c r="K14" s="241">
        <v>0</v>
      </c>
      <c r="L14" s="242">
        <v>487661.16</v>
      </c>
      <c r="M14" s="225"/>
      <c r="N14" s="50">
        <v>0</v>
      </c>
      <c r="O14" s="243">
        <v>487661</v>
      </c>
      <c r="P14" s="51"/>
    </row>
    <row r="15" spans="1:16" s="43" customFormat="1">
      <c r="A15" s="1" t="s">
        <v>26</v>
      </c>
      <c r="B15" s="34" t="s">
        <v>17</v>
      </c>
      <c r="C15" s="349"/>
      <c r="D15" s="36" t="s">
        <v>27</v>
      </c>
      <c r="E15" s="14"/>
      <c r="F15" s="48"/>
      <c r="G15" s="48"/>
      <c r="H15" s="35"/>
      <c r="I15" s="35"/>
      <c r="J15" s="240">
        <v>0</v>
      </c>
      <c r="K15" s="241">
        <v>0</v>
      </c>
      <c r="L15" s="242">
        <v>0</v>
      </c>
      <c r="M15" s="225"/>
      <c r="N15" s="50">
        <v>0</v>
      </c>
      <c r="O15" s="243">
        <v>0</v>
      </c>
      <c r="P15" s="51"/>
    </row>
    <row r="16" spans="1:16" s="43" customFormat="1">
      <c r="A16" s="52"/>
      <c r="B16" s="53"/>
      <c r="C16" s="349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49"/>
      <c r="D17" s="44" t="s">
        <v>18</v>
      </c>
      <c r="E17" s="35"/>
      <c r="F17" s="339">
        <v>466591.47</v>
      </c>
      <c r="G17" s="339"/>
      <c r="H17" s="55"/>
      <c r="I17" s="35"/>
      <c r="J17" s="240">
        <v>1328783.3000000003</v>
      </c>
      <c r="K17" s="241">
        <v>0</v>
      </c>
      <c r="L17" s="242">
        <v>1328783.3000000003</v>
      </c>
      <c r="M17" s="225"/>
      <c r="N17" s="50">
        <v>0</v>
      </c>
      <c r="O17" s="243">
        <v>1328783</v>
      </c>
      <c r="P17" s="51"/>
    </row>
    <row r="18" spans="1:16" s="43" customFormat="1">
      <c r="A18" s="52" t="s">
        <v>30</v>
      </c>
      <c r="B18" s="56" t="s">
        <v>31</v>
      </c>
      <c r="C18" s="349"/>
      <c r="D18" s="57" t="s">
        <v>32</v>
      </c>
      <c r="E18" s="14"/>
      <c r="F18" s="14"/>
      <c r="G18" s="14"/>
      <c r="H18" s="14"/>
      <c r="I18" s="36"/>
      <c r="J18" s="246">
        <v>152912.19999999998</v>
      </c>
      <c r="K18" s="247">
        <v>0</v>
      </c>
      <c r="L18" s="248">
        <v>152912.19999999998</v>
      </c>
      <c r="M18" s="225"/>
      <c r="N18" s="58">
        <v>963424</v>
      </c>
      <c r="O18" s="249">
        <v>1116336</v>
      </c>
      <c r="P18" s="51"/>
    </row>
    <row r="19" spans="1:16" s="64" customFormat="1">
      <c r="A19" s="52"/>
      <c r="B19" s="56"/>
      <c r="C19" s="7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49"/>
      <c r="D20" s="65" t="s">
        <v>34</v>
      </c>
      <c r="E20" s="35"/>
      <c r="F20" s="14"/>
      <c r="G20" s="14"/>
      <c r="H20" s="14"/>
      <c r="I20" s="15"/>
      <c r="J20" s="251">
        <v>5622485.3299999991</v>
      </c>
      <c r="K20" s="251">
        <v>0</v>
      </c>
      <c r="L20" s="252">
        <v>5622485</v>
      </c>
      <c r="M20" s="67"/>
      <c r="N20" s="251">
        <v>963424</v>
      </c>
      <c r="O20" s="253">
        <v>6585909</v>
      </c>
      <c r="P20" s="68"/>
    </row>
    <row r="21" spans="1:16" s="43" customFormat="1" ht="13.5" thickTop="1">
      <c r="A21" s="52"/>
      <c r="B21" s="56"/>
      <c r="C21" s="57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65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57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16780323.060000002</v>
      </c>
      <c r="K24" s="223">
        <v>0</v>
      </c>
      <c r="L24" s="258">
        <v>16780323.060000002</v>
      </c>
      <c r="M24" s="225"/>
      <c r="N24" s="223">
        <v>0</v>
      </c>
      <c r="O24" s="239">
        <v>16780323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1962979.3100000005</v>
      </c>
      <c r="K25" s="241">
        <v>0</v>
      </c>
      <c r="L25" s="242">
        <v>1962979.3100000005</v>
      </c>
      <c r="M25" s="225"/>
      <c r="N25" s="50">
        <v>655145</v>
      </c>
      <c r="O25" s="243">
        <v>2618124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916595.04</v>
      </c>
      <c r="K26" s="241">
        <v>0</v>
      </c>
      <c r="L26" s="242">
        <v>916595.04</v>
      </c>
      <c r="M26" s="225"/>
      <c r="N26" s="50">
        <v>0</v>
      </c>
      <c r="O26" s="243">
        <v>916595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1505150.73</v>
      </c>
      <c r="K27" s="241">
        <v>0</v>
      </c>
      <c r="L27" s="242">
        <v>1505150.73</v>
      </c>
      <c r="M27" s="225"/>
      <c r="N27" s="50">
        <v>654537</v>
      </c>
      <c r="O27" s="243">
        <v>2159688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2084230.3500000003</v>
      </c>
      <c r="K28" s="241">
        <v>0</v>
      </c>
      <c r="L28" s="242">
        <v>2084230.3500000003</v>
      </c>
      <c r="M28" s="225"/>
      <c r="N28" s="50">
        <v>272551</v>
      </c>
      <c r="O28" s="243">
        <v>2356781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2316735.02</v>
      </c>
      <c r="K29" s="241">
        <v>167375.93</v>
      </c>
      <c r="L29" s="242">
        <v>2484110.9500000002</v>
      </c>
      <c r="M29" s="225"/>
      <c r="N29" s="50">
        <v>0</v>
      </c>
      <c r="O29" s="243">
        <v>2484111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1702592.31</v>
      </c>
      <c r="K30" s="247">
        <v>0</v>
      </c>
      <c r="L30" s="248">
        <v>1702592.31</v>
      </c>
      <c r="M30" s="225"/>
      <c r="N30" s="58">
        <v>6016</v>
      </c>
      <c r="O30" s="249">
        <v>1708608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57"/>
      <c r="D32" s="65" t="s">
        <v>54</v>
      </c>
      <c r="E32" s="35"/>
      <c r="F32" s="14"/>
      <c r="G32" s="14"/>
      <c r="H32" s="14"/>
      <c r="I32" s="15"/>
      <c r="J32" s="251">
        <v>27268605.820000004</v>
      </c>
      <c r="K32" s="251">
        <v>167375.93</v>
      </c>
      <c r="L32" s="252">
        <v>27435981</v>
      </c>
      <c r="M32" s="261"/>
      <c r="N32" s="251">
        <v>1588249</v>
      </c>
      <c r="O32" s="253">
        <v>29024230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57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-21646120.490000006</v>
      </c>
      <c r="K34" s="263">
        <v>-167375.93</v>
      </c>
      <c r="L34" s="264">
        <v>-21813496</v>
      </c>
      <c r="M34" s="67"/>
      <c r="N34" s="263">
        <v>-624825</v>
      </c>
      <c r="O34" s="265">
        <v>-22438321</v>
      </c>
      <c r="P34" s="68"/>
    </row>
    <row r="35" spans="1:16" s="43" customFormat="1">
      <c r="A35" s="12"/>
      <c r="B35" s="72"/>
      <c r="C35" s="57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65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76" t="s">
        <v>58</v>
      </c>
      <c r="D37" s="35"/>
      <c r="E37" s="14"/>
      <c r="F37" s="14"/>
      <c r="G37" s="35"/>
      <c r="H37" s="14"/>
      <c r="I37" s="15"/>
      <c r="J37" s="257">
        <v>14509762.07</v>
      </c>
      <c r="K37" s="223">
        <v>-551858.80000000005</v>
      </c>
      <c r="L37" s="238">
        <v>13957903.27</v>
      </c>
      <c r="M37" s="49"/>
      <c r="N37" s="223">
        <v>0</v>
      </c>
      <c r="O37" s="239">
        <v>13957903</v>
      </c>
      <c r="P37" s="81"/>
    </row>
    <row r="38" spans="1:16" s="43" customFormat="1">
      <c r="A38" s="1" t="s">
        <v>59</v>
      </c>
      <c r="B38" s="72" t="s">
        <v>20</v>
      </c>
      <c r="C38" s="76" t="s">
        <v>60</v>
      </c>
      <c r="D38" s="35"/>
      <c r="E38" s="14"/>
      <c r="F38" s="14"/>
      <c r="G38" s="35"/>
      <c r="H38" s="14"/>
      <c r="I38" s="15"/>
      <c r="J38" s="259">
        <v>4323056.7699999996</v>
      </c>
      <c r="K38" s="241">
        <v>1181769.3600000001</v>
      </c>
      <c r="L38" s="242">
        <v>5504826.1299999999</v>
      </c>
      <c r="M38" s="49"/>
      <c r="N38" s="80">
        <v>0</v>
      </c>
      <c r="O38" s="243">
        <v>5504826</v>
      </c>
      <c r="P38" s="81"/>
    </row>
    <row r="39" spans="1:16" s="43" customFormat="1">
      <c r="A39" s="12" t="s">
        <v>61</v>
      </c>
      <c r="B39" s="72" t="s">
        <v>20</v>
      </c>
      <c r="C39" s="76" t="s">
        <v>62</v>
      </c>
      <c r="D39" s="35"/>
      <c r="E39" s="14"/>
      <c r="F39" s="14"/>
      <c r="G39" s="35"/>
      <c r="H39" s="14"/>
      <c r="I39" s="15"/>
      <c r="J39" s="259">
        <v>629910.55999999994</v>
      </c>
      <c r="K39" s="241">
        <v>-629910.56000000006</v>
      </c>
      <c r="L39" s="242">
        <v>0</v>
      </c>
      <c r="M39" s="49"/>
      <c r="N39" s="80">
        <v>0</v>
      </c>
      <c r="O39" s="243">
        <v>0</v>
      </c>
      <c r="P39" s="81"/>
    </row>
    <row r="40" spans="1:16" s="43" customFormat="1">
      <c r="A40" s="1" t="s">
        <v>63</v>
      </c>
      <c r="B40" s="72" t="s">
        <v>64</v>
      </c>
      <c r="C40" s="76" t="s">
        <v>65</v>
      </c>
      <c r="D40" s="35"/>
      <c r="E40" s="14"/>
      <c r="F40" s="14"/>
      <c r="G40" s="35"/>
      <c r="H40" s="14"/>
      <c r="I40" s="15"/>
      <c r="J40" s="259">
        <v>49854.080000000002</v>
      </c>
      <c r="K40" s="241">
        <v>0</v>
      </c>
      <c r="L40" s="242">
        <v>49854.080000000002</v>
      </c>
      <c r="M40" s="49"/>
      <c r="N40" s="80">
        <v>233068</v>
      </c>
      <c r="O40" s="243">
        <v>282922</v>
      </c>
      <c r="P40" s="81"/>
    </row>
    <row r="41" spans="1:16" s="43" customFormat="1">
      <c r="A41" s="12" t="s">
        <v>66</v>
      </c>
      <c r="B41" s="72" t="s">
        <v>64</v>
      </c>
      <c r="C41" s="35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1372729</v>
      </c>
      <c r="O41" s="243">
        <v>1372729</v>
      </c>
      <c r="P41" s="81"/>
    </row>
    <row r="42" spans="1:16" s="43" customFormat="1">
      <c r="A42" s="1" t="s">
        <v>67</v>
      </c>
      <c r="B42" s="72" t="s">
        <v>31</v>
      </c>
      <c r="C42" s="76" t="s">
        <v>68</v>
      </c>
      <c r="D42" s="35"/>
      <c r="E42" s="14"/>
      <c r="F42" s="14"/>
      <c r="G42" s="35"/>
      <c r="H42" s="14"/>
      <c r="I42" s="15"/>
      <c r="J42" s="259">
        <v>10000</v>
      </c>
      <c r="K42" s="241">
        <v>0</v>
      </c>
      <c r="L42" s="242">
        <v>10000</v>
      </c>
      <c r="M42" s="49"/>
      <c r="N42" s="80">
        <v>0</v>
      </c>
      <c r="O42" s="243">
        <v>10000</v>
      </c>
      <c r="P42" s="81"/>
    </row>
    <row r="43" spans="1:16" s="43" customFormat="1">
      <c r="A43" s="12" t="s">
        <v>69</v>
      </c>
      <c r="B43" s="72" t="s">
        <v>70</v>
      </c>
      <c r="C43" s="7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-10960</v>
      </c>
      <c r="O43" s="243">
        <v>-10960</v>
      </c>
      <c r="P43" s="81"/>
    </row>
    <row r="44" spans="1:16" s="43" customFormat="1">
      <c r="A44" s="1" t="s">
        <v>71</v>
      </c>
      <c r="B44" s="72" t="s">
        <v>38</v>
      </c>
      <c r="C44" s="76" t="s">
        <v>72</v>
      </c>
      <c r="D44" s="35"/>
      <c r="E44" s="35"/>
      <c r="F44" s="35"/>
      <c r="G44" s="35"/>
      <c r="H44" s="35"/>
      <c r="I44" s="35"/>
      <c r="J44" s="240">
        <v>0</v>
      </c>
      <c r="K44" s="241">
        <v>0</v>
      </c>
      <c r="L44" s="242">
        <v>0</v>
      </c>
      <c r="M44" s="49"/>
      <c r="N44" s="80">
        <v>0</v>
      </c>
      <c r="O44" s="243">
        <v>0</v>
      </c>
      <c r="P44" s="81"/>
    </row>
    <row r="45" spans="1:16" s="43" customFormat="1">
      <c r="A45" s="12" t="s">
        <v>73</v>
      </c>
      <c r="B45" s="72" t="s">
        <v>38</v>
      </c>
      <c r="C45" s="7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-52655</v>
      </c>
      <c r="O45" s="249">
        <v>-52655</v>
      </c>
      <c r="P45" s="81"/>
    </row>
    <row r="46" spans="1:16" s="43" customFormat="1">
      <c r="A46" s="1"/>
      <c r="B46" s="72"/>
      <c r="C46" s="349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65" t="s">
        <v>76</v>
      </c>
      <c r="D47" s="35"/>
      <c r="E47" s="14"/>
      <c r="F47" s="14"/>
      <c r="G47" s="14"/>
      <c r="H47" s="14"/>
      <c r="I47" s="15"/>
      <c r="J47" s="263">
        <v>19522583.479999997</v>
      </c>
      <c r="K47" s="263">
        <v>0</v>
      </c>
      <c r="L47" s="264">
        <v>19522583</v>
      </c>
      <c r="M47" s="59"/>
      <c r="N47" s="263">
        <v>1542182</v>
      </c>
      <c r="O47" s="265">
        <v>21064765</v>
      </c>
      <c r="P47" s="68"/>
    </row>
    <row r="48" spans="1:16" s="37" customFormat="1">
      <c r="A48" s="52"/>
      <c r="B48" s="53"/>
      <c r="C48" s="344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57"/>
      <c r="D50" s="29" t="s">
        <v>77</v>
      </c>
      <c r="E50" s="14"/>
      <c r="F50" s="14"/>
      <c r="G50" s="14"/>
      <c r="H50" s="14"/>
      <c r="I50" s="15"/>
      <c r="J50" s="263">
        <v>-2123537.0100000091</v>
      </c>
      <c r="K50" s="263">
        <v>-167375.93</v>
      </c>
      <c r="L50" s="264">
        <v>-2290913</v>
      </c>
      <c r="M50" s="59"/>
      <c r="N50" s="263">
        <v>917357</v>
      </c>
      <c r="O50" s="265">
        <v>-1373556</v>
      </c>
      <c r="P50" s="68"/>
    </row>
    <row r="51" spans="1:16" s="43" customFormat="1">
      <c r="A51" s="52"/>
      <c r="B51" s="53"/>
      <c r="C51" s="57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76" t="s">
        <v>79</v>
      </c>
      <c r="D52" s="35"/>
      <c r="E52" s="14"/>
      <c r="F52" s="14"/>
      <c r="G52" s="14"/>
      <c r="H52" s="35"/>
      <c r="I52" s="15"/>
      <c r="J52" s="257">
        <v>662372.88</v>
      </c>
      <c r="K52" s="223">
        <v>0</v>
      </c>
      <c r="L52" s="238">
        <v>662372.88</v>
      </c>
      <c r="M52" s="49"/>
      <c r="N52" s="223">
        <v>0</v>
      </c>
      <c r="O52" s="239">
        <v>662373</v>
      </c>
      <c r="P52" s="81"/>
    </row>
    <row r="53" spans="1:16" s="43" customFormat="1">
      <c r="A53" s="52" t="s">
        <v>80</v>
      </c>
      <c r="B53" s="53" t="s">
        <v>81</v>
      </c>
      <c r="C53" s="76" t="s">
        <v>82</v>
      </c>
      <c r="D53" s="35"/>
      <c r="E53" s="14"/>
      <c r="F53" s="14"/>
      <c r="G53" s="14"/>
      <c r="H53" s="35"/>
      <c r="I53" s="15"/>
      <c r="J53" s="259">
        <v>363422.92</v>
      </c>
      <c r="K53" s="241">
        <v>0</v>
      </c>
      <c r="L53" s="242">
        <v>363422.92</v>
      </c>
      <c r="M53" s="225"/>
      <c r="N53" s="50">
        <v>202896</v>
      </c>
      <c r="O53" s="243">
        <v>566319</v>
      </c>
      <c r="P53" s="51"/>
    </row>
    <row r="54" spans="1:16">
      <c r="A54" s="52" t="s">
        <v>83</v>
      </c>
      <c r="B54" s="53" t="s">
        <v>84</v>
      </c>
      <c r="C54" s="57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49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65" t="s">
        <v>88</v>
      </c>
      <c r="D57" s="35"/>
      <c r="E57" s="35"/>
      <c r="F57" s="14"/>
      <c r="G57" s="14"/>
      <c r="H57" s="14"/>
      <c r="I57" s="15"/>
      <c r="J57" s="251">
        <v>1025795.8</v>
      </c>
      <c r="K57" s="251">
        <v>0</v>
      </c>
      <c r="L57" s="253">
        <v>1025796</v>
      </c>
      <c r="M57" s="261"/>
      <c r="N57" s="251">
        <v>202896</v>
      </c>
      <c r="O57" s="253">
        <v>1228692</v>
      </c>
      <c r="P57" s="91"/>
    </row>
    <row r="58" spans="1:16" ht="13.5" thickTop="1">
      <c r="A58" s="52"/>
      <c r="B58" s="53"/>
      <c r="C58" s="65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3">
        <v>-1097741.210000009</v>
      </c>
      <c r="K59" s="263">
        <v>-167375.93</v>
      </c>
      <c r="L59" s="265">
        <v>-1265117</v>
      </c>
      <c r="M59" s="92"/>
      <c r="N59" s="263">
        <v>1120253</v>
      </c>
      <c r="O59" s="265">
        <v>-144864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57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35855154</v>
      </c>
      <c r="M61" s="49"/>
      <c r="N61" s="96">
        <v>15101795</v>
      </c>
      <c r="O61" s="240">
        <v>50956949</v>
      </c>
      <c r="P61" s="97"/>
    </row>
    <row r="62" spans="1:16">
      <c r="A62" s="52" t="s">
        <v>91</v>
      </c>
      <c r="B62" s="53" t="s">
        <v>92</v>
      </c>
      <c r="C62" s="57" t="s">
        <v>93</v>
      </c>
      <c r="D62" s="35"/>
      <c r="E62" s="14"/>
      <c r="F62" s="14"/>
      <c r="G62" s="14"/>
      <c r="H62" s="14"/>
      <c r="I62" s="15"/>
      <c r="J62" s="15"/>
      <c r="K62" s="15"/>
      <c r="L62" s="82">
        <v>0</v>
      </c>
      <c r="M62" s="49"/>
      <c r="N62" s="82"/>
      <c r="O62" s="246">
        <v>0</v>
      </c>
      <c r="P62" s="81"/>
    </row>
    <row r="63" spans="1:16" s="64" customFormat="1">
      <c r="A63" s="52"/>
      <c r="B63" s="53"/>
      <c r="C63" s="7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35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35855154</v>
      </c>
      <c r="M64" s="92"/>
      <c r="N64" s="90">
        <v>15101795</v>
      </c>
      <c r="O64" s="90">
        <v>50956949</v>
      </c>
      <c r="P64" s="91"/>
    </row>
    <row r="65" spans="1:16" s="64" customFormat="1">
      <c r="A65" s="52"/>
      <c r="B65" s="53"/>
      <c r="C65" s="7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65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34590037</v>
      </c>
      <c r="M66" s="105"/>
      <c r="N66" s="251">
        <v>16222048</v>
      </c>
      <c r="O66" s="251">
        <v>50812085</v>
      </c>
      <c r="P66" s="46"/>
    </row>
    <row r="67" spans="1:16" ht="13.5" thickTop="1">
      <c r="A67" s="70"/>
      <c r="B67" s="53"/>
      <c r="C67" s="57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49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L66-[15]SNP!M120</f>
        <v>1</v>
      </c>
      <c r="M69" s="110"/>
      <c r="N69" s="111">
        <f>N66-[15]SNP!O120</f>
        <v>0</v>
      </c>
      <c r="O69" s="111">
        <f>O66-[15]SNP!P120</f>
        <v>3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359" priority="24" operator="notEqual">
      <formula>0</formula>
    </cfRule>
    <cfRule type="cellIs" dxfId="358" priority="25" operator="equal">
      <formula>0</formula>
    </cfRule>
  </conditionalFormatting>
  <conditionalFormatting sqref="F11:G11 N62 L62 N17:N18 N11:N15 L16 F17:G17 N24:N30 N37:N45 N52:N55">
    <cfRule type="containsBlanks" dxfId="357" priority="20">
      <formula>LEN(TRIM(F11))=0</formula>
    </cfRule>
    <cfRule type="cellIs" dxfId="356" priority="21" operator="notEqual">
      <formula>0</formula>
    </cfRule>
  </conditionalFormatting>
  <conditionalFormatting sqref="N11">
    <cfRule type="cellIs" dxfId="355" priority="19" operator="notEqual">
      <formula>N20</formula>
    </cfRule>
  </conditionalFormatting>
  <conditionalFormatting sqref="O69">
    <cfRule type="cellIs" dxfId="354" priority="15" operator="notEqual">
      <formula>0</formula>
    </cfRule>
    <cfRule type="cellIs" dxfId="353" priority="16" operator="equal">
      <formula>0</formula>
    </cfRule>
  </conditionalFormatting>
  <conditionalFormatting sqref="K11:K15 K17:K18">
    <cfRule type="containsBlanks" dxfId="352" priority="13">
      <formula>LEN(TRIM(K11))=0</formula>
    </cfRule>
    <cfRule type="cellIs" dxfId="351" priority="14" operator="notEqual">
      <formula>0</formula>
    </cfRule>
  </conditionalFormatting>
  <conditionalFormatting sqref="K11:K15 K17:K18">
    <cfRule type="cellIs" dxfId="350" priority="12" operator="notEqual">
      <formula>K20</formula>
    </cfRule>
  </conditionalFormatting>
  <conditionalFormatting sqref="K16">
    <cfRule type="containsBlanks" dxfId="349" priority="10">
      <formula>LEN(TRIM(K16))=0</formula>
    </cfRule>
    <cfRule type="cellIs" dxfId="348" priority="11" operator="notEqual">
      <formula>0</formula>
    </cfRule>
  </conditionalFormatting>
  <conditionalFormatting sqref="K52 K37 K24">
    <cfRule type="containsBlanks" dxfId="347" priority="8">
      <formula>LEN(TRIM(K24))=0</formula>
    </cfRule>
    <cfRule type="cellIs" dxfId="346" priority="9" operator="notEqual">
      <formula>0</formula>
    </cfRule>
  </conditionalFormatting>
  <conditionalFormatting sqref="K52 K37 K24">
    <cfRule type="cellIs" dxfId="345" priority="7" operator="notEqual">
      <formula>K33</formula>
    </cfRule>
  </conditionalFormatting>
  <conditionalFormatting sqref="K53:K55 K38:K45 K25:K30">
    <cfRule type="containsBlanks" dxfId="344" priority="5">
      <formula>LEN(TRIM(K25))=0</formula>
    </cfRule>
    <cfRule type="cellIs" dxfId="343" priority="6" operator="notEqual">
      <formula>0</formula>
    </cfRule>
  </conditionalFormatting>
  <conditionalFormatting sqref="K53:K55 K38:K45 K25:K30">
    <cfRule type="cellIs" dxfId="342" priority="4" operator="notEqual">
      <formula>K34</formula>
    </cfRule>
  </conditionalFormatting>
  <conditionalFormatting sqref="N24">
    <cfRule type="cellIs" dxfId="341" priority="3" operator="notEqual">
      <formula>N33</formula>
    </cfRule>
  </conditionalFormatting>
  <conditionalFormatting sqref="N37">
    <cfRule type="cellIs" dxfId="340" priority="2" operator="notEqual">
      <formula>N46</formula>
    </cfRule>
  </conditionalFormatting>
  <conditionalFormatting sqref="N52">
    <cfRule type="cellIs" dxfId="339" priority="1" operator="notEqual">
      <formula>N61</formula>
    </cfRule>
  </conditionalFormatting>
  <printOptions horizontalCentered="1"/>
  <pageMargins left="0.7" right="0.7" top="0.75" bottom="0.75" header="0.5" footer="0.5"/>
  <pageSetup scale="47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140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342" t="s">
        <v>113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57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57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[16]SNP!$O$9</f>
        <v>Unit</v>
      </c>
      <c r="O7" s="26"/>
      <c r="P7" s="27"/>
    </row>
    <row r="8" spans="1:16">
      <c r="C8" s="65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57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49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49"/>
      <c r="D11" s="44" t="s">
        <v>18</v>
      </c>
      <c r="E11" s="35"/>
      <c r="F11" s="339">
        <v>2311206</v>
      </c>
      <c r="G11" s="339"/>
      <c r="H11" s="45"/>
      <c r="I11" s="36"/>
      <c r="J11" s="237">
        <v>6234666.0999999996</v>
      </c>
      <c r="K11" s="223">
        <v>0</v>
      </c>
      <c r="L11" s="238">
        <v>6234666.0999999996</v>
      </c>
      <c r="M11" s="224"/>
      <c r="N11" s="223">
        <v>0</v>
      </c>
      <c r="O11" s="239">
        <v>6234666</v>
      </c>
      <c r="P11" s="46"/>
    </row>
    <row r="12" spans="1:16" s="43" customFormat="1">
      <c r="A12" s="1" t="s">
        <v>19</v>
      </c>
      <c r="B12" s="34" t="s">
        <v>20</v>
      </c>
      <c r="C12" s="349"/>
      <c r="D12" s="36" t="s">
        <v>21</v>
      </c>
      <c r="E12" s="14"/>
      <c r="F12" s="48"/>
      <c r="G12" s="49"/>
      <c r="H12" s="15"/>
      <c r="I12" s="35"/>
      <c r="J12" s="240">
        <v>71511.47</v>
      </c>
      <c r="K12" s="241">
        <v>0</v>
      </c>
      <c r="L12" s="242">
        <v>71511.47</v>
      </c>
      <c r="M12" s="225"/>
      <c r="N12" s="50">
        <v>0</v>
      </c>
      <c r="O12" s="243">
        <v>71511</v>
      </c>
      <c r="P12" s="51"/>
    </row>
    <row r="13" spans="1:16" s="43" customFormat="1">
      <c r="A13" s="1" t="s">
        <v>22</v>
      </c>
      <c r="B13" s="34" t="s">
        <v>20</v>
      </c>
      <c r="C13" s="349"/>
      <c r="D13" s="36" t="s">
        <v>23</v>
      </c>
      <c r="E13" s="14"/>
      <c r="F13" s="48"/>
      <c r="G13" s="48"/>
      <c r="H13" s="14"/>
      <c r="I13" s="35"/>
      <c r="J13" s="240">
        <v>813136.61</v>
      </c>
      <c r="K13" s="241">
        <v>0</v>
      </c>
      <c r="L13" s="242">
        <v>813136.61</v>
      </c>
      <c r="M13" s="225"/>
      <c r="N13" s="50">
        <v>0</v>
      </c>
      <c r="O13" s="243">
        <v>813137</v>
      </c>
      <c r="P13" s="51"/>
    </row>
    <row r="14" spans="1:16" s="43" customFormat="1">
      <c r="A14" s="1" t="s">
        <v>24</v>
      </c>
      <c r="B14" s="34" t="s">
        <v>20</v>
      </c>
      <c r="C14" s="349"/>
      <c r="D14" s="36" t="s">
        <v>25</v>
      </c>
      <c r="E14" s="14"/>
      <c r="F14" s="48"/>
      <c r="G14" s="48"/>
      <c r="H14" s="14"/>
      <c r="I14" s="35"/>
      <c r="J14" s="240">
        <v>0</v>
      </c>
      <c r="K14" s="241">
        <v>0</v>
      </c>
      <c r="L14" s="242">
        <v>0</v>
      </c>
      <c r="M14" s="225"/>
      <c r="N14" s="50">
        <v>0</v>
      </c>
      <c r="O14" s="243">
        <v>0</v>
      </c>
      <c r="P14" s="51"/>
    </row>
    <row r="15" spans="1:16" s="43" customFormat="1">
      <c r="A15" s="1" t="s">
        <v>26</v>
      </c>
      <c r="B15" s="34" t="s">
        <v>17</v>
      </c>
      <c r="C15" s="349"/>
      <c r="D15" s="36" t="s">
        <v>27</v>
      </c>
      <c r="E15" s="14"/>
      <c r="F15" s="48"/>
      <c r="G15" s="48"/>
      <c r="H15" s="35"/>
      <c r="I15" s="35"/>
      <c r="J15" s="240">
        <v>13349.95</v>
      </c>
      <c r="K15" s="241">
        <v>0</v>
      </c>
      <c r="L15" s="242">
        <v>13349.95</v>
      </c>
      <c r="M15" s="225"/>
      <c r="N15" s="50">
        <v>0</v>
      </c>
      <c r="O15" s="243">
        <v>13350</v>
      </c>
      <c r="P15" s="51"/>
    </row>
    <row r="16" spans="1:16" s="43" customFormat="1">
      <c r="A16" s="52"/>
      <c r="B16" s="53"/>
      <c r="C16" s="349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49"/>
      <c r="D17" s="44" t="s">
        <v>18</v>
      </c>
      <c r="E17" s="35"/>
      <c r="F17" s="339">
        <v>0</v>
      </c>
      <c r="G17" s="339"/>
      <c r="H17" s="55"/>
      <c r="I17" s="35"/>
      <c r="J17" s="240">
        <v>189294.93000000002</v>
      </c>
      <c r="K17" s="241">
        <v>0</v>
      </c>
      <c r="L17" s="242">
        <v>189294.93000000002</v>
      </c>
      <c r="M17" s="225"/>
      <c r="N17" s="50">
        <v>0</v>
      </c>
      <c r="O17" s="243">
        <v>189295</v>
      </c>
      <c r="P17" s="51"/>
    </row>
    <row r="18" spans="1:16" s="43" customFormat="1">
      <c r="A18" s="52" t="s">
        <v>30</v>
      </c>
      <c r="B18" s="56" t="s">
        <v>31</v>
      </c>
      <c r="C18" s="349"/>
      <c r="D18" s="57" t="s">
        <v>32</v>
      </c>
      <c r="E18" s="14"/>
      <c r="F18" s="14"/>
      <c r="G18" s="14"/>
      <c r="H18" s="14"/>
      <c r="I18" s="36"/>
      <c r="J18" s="246">
        <v>76056.710000000006</v>
      </c>
      <c r="K18" s="247">
        <v>0</v>
      </c>
      <c r="L18" s="248">
        <v>76056.710000000006</v>
      </c>
      <c r="M18" s="225"/>
      <c r="N18" s="58">
        <v>1815620</v>
      </c>
      <c r="O18" s="249">
        <v>1891677</v>
      </c>
      <c r="P18" s="51"/>
    </row>
    <row r="19" spans="1:16" s="64" customFormat="1">
      <c r="A19" s="52"/>
      <c r="B19" s="56"/>
      <c r="C19" s="7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49"/>
      <c r="D20" s="65" t="s">
        <v>34</v>
      </c>
      <c r="E20" s="35"/>
      <c r="F20" s="14"/>
      <c r="G20" s="14"/>
      <c r="H20" s="14"/>
      <c r="I20" s="15"/>
      <c r="J20" s="251">
        <v>7398015.7699999996</v>
      </c>
      <c r="K20" s="251">
        <v>0</v>
      </c>
      <c r="L20" s="252">
        <v>7398016</v>
      </c>
      <c r="M20" s="67"/>
      <c r="N20" s="251">
        <v>1815620</v>
      </c>
      <c r="O20" s="253">
        <v>9213636</v>
      </c>
      <c r="P20" s="68"/>
    </row>
    <row r="21" spans="1:16" s="43" customFormat="1" ht="13.5" thickTop="1">
      <c r="A21" s="52"/>
      <c r="B21" s="56"/>
      <c r="C21" s="57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65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57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20670216.309999999</v>
      </c>
      <c r="K24" s="223">
        <v>0</v>
      </c>
      <c r="L24" s="258">
        <v>20670216.309999999</v>
      </c>
      <c r="M24" s="225"/>
      <c r="N24" s="223">
        <v>297589</v>
      </c>
      <c r="O24" s="239">
        <v>20967805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3899612.45</v>
      </c>
      <c r="K25" s="241">
        <v>0</v>
      </c>
      <c r="L25" s="242">
        <v>3899612.45</v>
      </c>
      <c r="M25" s="225"/>
      <c r="N25" s="50">
        <v>530618</v>
      </c>
      <c r="O25" s="243">
        <v>4430230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1094924.3799999999</v>
      </c>
      <c r="K26" s="241">
        <v>0</v>
      </c>
      <c r="L26" s="242">
        <v>1094924.3799999999</v>
      </c>
      <c r="M26" s="225"/>
      <c r="N26" s="50">
        <v>0</v>
      </c>
      <c r="O26" s="243">
        <v>1094924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1766805.93</v>
      </c>
      <c r="K27" s="241">
        <v>0</v>
      </c>
      <c r="L27" s="242">
        <v>1766805.93</v>
      </c>
      <c r="M27" s="225"/>
      <c r="N27" s="50">
        <v>35938</v>
      </c>
      <c r="O27" s="243">
        <v>1802744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1696716.8399999999</v>
      </c>
      <c r="K28" s="241">
        <v>0</v>
      </c>
      <c r="L28" s="242">
        <v>1696716.8399999999</v>
      </c>
      <c r="M28" s="225"/>
      <c r="N28" s="50">
        <v>1052654</v>
      </c>
      <c r="O28" s="243">
        <v>2749371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1790911.2199999997</v>
      </c>
      <c r="K29" s="241">
        <v>0</v>
      </c>
      <c r="L29" s="242">
        <v>1790911.2199999997</v>
      </c>
      <c r="M29" s="225"/>
      <c r="N29" s="50">
        <v>28467</v>
      </c>
      <c r="O29" s="243">
        <v>1819378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2241207.8199999998</v>
      </c>
      <c r="K30" s="247">
        <v>0</v>
      </c>
      <c r="L30" s="248">
        <v>2241207.8199999998</v>
      </c>
      <c r="M30" s="225"/>
      <c r="N30" s="58">
        <v>8974</v>
      </c>
      <c r="O30" s="249">
        <v>2250182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57"/>
      <c r="D32" s="65" t="s">
        <v>54</v>
      </c>
      <c r="E32" s="35"/>
      <c r="F32" s="14"/>
      <c r="G32" s="14"/>
      <c r="H32" s="14"/>
      <c r="I32" s="15"/>
      <c r="J32" s="251">
        <v>33160394.949999996</v>
      </c>
      <c r="K32" s="251">
        <v>0</v>
      </c>
      <c r="L32" s="252">
        <v>33160394</v>
      </c>
      <c r="M32" s="261"/>
      <c r="N32" s="251">
        <v>1954240</v>
      </c>
      <c r="O32" s="253">
        <v>35114634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57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-25762379.179999996</v>
      </c>
      <c r="K34" s="263">
        <v>0</v>
      </c>
      <c r="L34" s="264">
        <v>-25762378</v>
      </c>
      <c r="M34" s="67"/>
      <c r="N34" s="263">
        <v>-138620</v>
      </c>
      <c r="O34" s="265">
        <v>-25900998</v>
      </c>
      <c r="P34" s="68"/>
    </row>
    <row r="35" spans="1:16" s="43" customFormat="1">
      <c r="A35" s="12"/>
      <c r="B35" s="72"/>
      <c r="C35" s="57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65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76" t="s">
        <v>58</v>
      </c>
      <c r="D37" s="35"/>
      <c r="E37" s="14"/>
      <c r="F37" s="14"/>
      <c r="G37" s="35"/>
      <c r="H37" s="14"/>
      <c r="I37" s="15"/>
      <c r="J37" s="257">
        <v>14896025.619999999</v>
      </c>
      <c r="K37" s="223">
        <v>0</v>
      </c>
      <c r="L37" s="238">
        <v>14896025.619999999</v>
      </c>
      <c r="M37" s="49"/>
      <c r="N37" s="223">
        <v>0</v>
      </c>
      <c r="O37" s="239">
        <v>14896026</v>
      </c>
      <c r="P37" s="81"/>
    </row>
    <row r="38" spans="1:16" s="43" customFormat="1">
      <c r="A38" s="1" t="s">
        <v>59</v>
      </c>
      <c r="B38" s="72" t="s">
        <v>20</v>
      </c>
      <c r="C38" s="76" t="s">
        <v>60</v>
      </c>
      <c r="D38" s="35"/>
      <c r="E38" s="14"/>
      <c r="F38" s="14"/>
      <c r="G38" s="35"/>
      <c r="H38" s="14"/>
      <c r="I38" s="15"/>
      <c r="J38" s="259">
        <v>5781300.7399999993</v>
      </c>
      <c r="K38" s="241">
        <v>0</v>
      </c>
      <c r="L38" s="242">
        <v>5781300.7399999993</v>
      </c>
      <c r="M38" s="49"/>
      <c r="N38" s="80">
        <v>0</v>
      </c>
      <c r="O38" s="243">
        <v>5781301</v>
      </c>
      <c r="P38" s="81"/>
    </row>
    <row r="39" spans="1:16" s="43" customFormat="1">
      <c r="A39" s="12" t="s">
        <v>61</v>
      </c>
      <c r="B39" s="72" t="s">
        <v>20</v>
      </c>
      <c r="C39" s="76" t="s">
        <v>62</v>
      </c>
      <c r="D39" s="35"/>
      <c r="E39" s="14"/>
      <c r="F39" s="14"/>
      <c r="G39" s="35"/>
      <c r="H39" s="14"/>
      <c r="I39" s="15"/>
      <c r="J39" s="259">
        <v>1444521.3900000001</v>
      </c>
      <c r="K39" s="241">
        <v>0</v>
      </c>
      <c r="L39" s="242">
        <v>1444521.3900000001</v>
      </c>
      <c r="M39" s="49"/>
      <c r="N39" s="80">
        <v>0</v>
      </c>
      <c r="O39" s="243">
        <v>1444521</v>
      </c>
      <c r="P39" s="81"/>
    </row>
    <row r="40" spans="1:16" s="43" customFormat="1">
      <c r="A40" s="1" t="s">
        <v>63</v>
      </c>
      <c r="B40" s="72" t="s">
        <v>64</v>
      </c>
      <c r="C40" s="76" t="s">
        <v>65</v>
      </c>
      <c r="D40" s="35"/>
      <c r="E40" s="14"/>
      <c r="F40" s="14"/>
      <c r="G40" s="35"/>
      <c r="H40" s="14"/>
      <c r="I40" s="15"/>
      <c r="J40" s="259">
        <v>30078.85</v>
      </c>
      <c r="K40" s="241">
        <v>0</v>
      </c>
      <c r="L40" s="242">
        <v>30078.85</v>
      </c>
      <c r="M40" s="49"/>
      <c r="N40" s="80">
        <v>0</v>
      </c>
      <c r="O40" s="243">
        <v>30079</v>
      </c>
      <c r="P40" s="81"/>
    </row>
    <row r="41" spans="1:16" s="43" customFormat="1">
      <c r="A41" s="12" t="s">
        <v>66</v>
      </c>
      <c r="B41" s="72" t="s">
        <v>64</v>
      </c>
      <c r="C41" s="35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0</v>
      </c>
      <c r="O41" s="243">
        <v>0</v>
      </c>
      <c r="P41" s="81"/>
    </row>
    <row r="42" spans="1:16" s="43" customFormat="1">
      <c r="A42" s="1" t="s">
        <v>67</v>
      </c>
      <c r="B42" s="72" t="s">
        <v>31</v>
      </c>
      <c r="C42" s="76" t="s">
        <v>68</v>
      </c>
      <c r="D42" s="35"/>
      <c r="E42" s="14"/>
      <c r="F42" s="14"/>
      <c r="G42" s="35"/>
      <c r="H42" s="14"/>
      <c r="I42" s="15"/>
      <c r="J42" s="259">
        <v>20662.78</v>
      </c>
      <c r="K42" s="241">
        <v>0</v>
      </c>
      <c r="L42" s="242">
        <v>20662.78</v>
      </c>
      <c r="M42" s="49"/>
      <c r="N42" s="80">
        <v>0</v>
      </c>
      <c r="O42" s="243">
        <v>20663</v>
      </c>
      <c r="P42" s="81"/>
    </row>
    <row r="43" spans="1:16" s="43" customFormat="1">
      <c r="A43" s="12" t="s">
        <v>69</v>
      </c>
      <c r="B43" s="72" t="s">
        <v>70</v>
      </c>
      <c r="C43" s="7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76" t="s">
        <v>72</v>
      </c>
      <c r="D44" s="35"/>
      <c r="E44" s="35"/>
      <c r="F44" s="35"/>
      <c r="G44" s="35"/>
      <c r="H44" s="35"/>
      <c r="I44" s="35"/>
      <c r="J44" s="240">
        <v>-5120</v>
      </c>
      <c r="K44" s="241">
        <v>0</v>
      </c>
      <c r="L44" s="242">
        <v>-5120</v>
      </c>
      <c r="M44" s="49"/>
      <c r="N44" s="80">
        <v>0</v>
      </c>
      <c r="O44" s="243">
        <v>-5120</v>
      </c>
      <c r="P44" s="81"/>
    </row>
    <row r="45" spans="1:16" s="43" customFormat="1">
      <c r="A45" s="12" t="s">
        <v>73</v>
      </c>
      <c r="B45" s="72" t="s">
        <v>38</v>
      </c>
      <c r="C45" s="7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49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65" t="s">
        <v>76</v>
      </c>
      <c r="D47" s="35"/>
      <c r="E47" s="14"/>
      <c r="F47" s="14"/>
      <c r="G47" s="14"/>
      <c r="H47" s="14"/>
      <c r="I47" s="15"/>
      <c r="J47" s="263">
        <v>22167469.380000003</v>
      </c>
      <c r="K47" s="263">
        <v>0</v>
      </c>
      <c r="L47" s="264">
        <v>22167470</v>
      </c>
      <c r="M47" s="59"/>
      <c r="N47" s="263">
        <v>0</v>
      </c>
      <c r="O47" s="265">
        <v>22167470</v>
      </c>
      <c r="P47" s="68"/>
    </row>
    <row r="48" spans="1:16" s="37" customFormat="1">
      <c r="A48" s="52"/>
      <c r="B48" s="53"/>
      <c r="C48" s="344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Loss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57"/>
      <c r="D50" s="29" t="s">
        <v>77</v>
      </c>
      <c r="E50" s="14"/>
      <c r="F50" s="14"/>
      <c r="G50" s="14"/>
      <c r="H50" s="14"/>
      <c r="I50" s="15"/>
      <c r="J50" s="263">
        <v>-3594909.7999999933</v>
      </c>
      <c r="K50" s="263">
        <v>0</v>
      </c>
      <c r="L50" s="264">
        <v>-3594908</v>
      </c>
      <c r="M50" s="59"/>
      <c r="N50" s="263">
        <v>-138620</v>
      </c>
      <c r="O50" s="265">
        <v>-3733528</v>
      </c>
      <c r="P50" s="68"/>
    </row>
    <row r="51" spans="1:16" s="43" customFormat="1">
      <c r="A51" s="52"/>
      <c r="B51" s="53"/>
      <c r="C51" s="57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76" t="s">
        <v>79</v>
      </c>
      <c r="D52" s="35"/>
      <c r="E52" s="14"/>
      <c r="F52" s="14"/>
      <c r="G52" s="14"/>
      <c r="H52" s="35"/>
      <c r="I52" s="15"/>
      <c r="J52" s="257">
        <v>3030467</v>
      </c>
      <c r="K52" s="223">
        <v>0</v>
      </c>
      <c r="L52" s="238">
        <v>3030467</v>
      </c>
      <c r="M52" s="49"/>
      <c r="N52" s="223">
        <v>0</v>
      </c>
      <c r="O52" s="239">
        <v>3030467</v>
      </c>
      <c r="P52" s="81"/>
    </row>
    <row r="53" spans="1:16" s="43" customFormat="1">
      <c r="A53" s="52" t="s">
        <v>80</v>
      </c>
      <c r="B53" s="53" t="s">
        <v>81</v>
      </c>
      <c r="C53" s="76" t="s">
        <v>82</v>
      </c>
      <c r="D53" s="35"/>
      <c r="E53" s="14"/>
      <c r="F53" s="14"/>
      <c r="G53" s="14"/>
      <c r="H53" s="35"/>
      <c r="I53" s="15"/>
      <c r="J53" s="259">
        <v>785128.76</v>
      </c>
      <c r="K53" s="241">
        <v>0</v>
      </c>
      <c r="L53" s="242">
        <v>785128.76</v>
      </c>
      <c r="M53" s="225"/>
      <c r="N53" s="50">
        <v>0</v>
      </c>
      <c r="O53" s="243">
        <v>785129</v>
      </c>
      <c r="P53" s="51"/>
    </row>
    <row r="54" spans="1:16">
      <c r="A54" s="52" t="s">
        <v>83</v>
      </c>
      <c r="B54" s="53" t="s">
        <v>84</v>
      </c>
      <c r="C54" s="57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640505</v>
      </c>
      <c r="O54" s="243">
        <v>640505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49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65" t="s">
        <v>88</v>
      </c>
      <c r="D57" s="35"/>
      <c r="E57" s="35"/>
      <c r="F57" s="14"/>
      <c r="G57" s="14"/>
      <c r="H57" s="14"/>
      <c r="I57" s="15"/>
      <c r="J57" s="251">
        <v>3815595.76</v>
      </c>
      <c r="K57" s="251">
        <v>0</v>
      </c>
      <c r="L57" s="253">
        <v>3815596</v>
      </c>
      <c r="M57" s="261"/>
      <c r="N57" s="251">
        <v>640505</v>
      </c>
      <c r="O57" s="253">
        <v>4456101</v>
      </c>
      <c r="P57" s="91"/>
    </row>
    <row r="58" spans="1:16" ht="13.5" thickTop="1">
      <c r="A58" s="52"/>
      <c r="B58" s="53"/>
      <c r="C58" s="65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220685.96000000648</v>
      </c>
      <c r="K59" s="263">
        <v>0</v>
      </c>
      <c r="L59" s="265">
        <v>220688</v>
      </c>
      <c r="M59" s="92"/>
      <c r="N59" s="263">
        <v>501885</v>
      </c>
      <c r="O59" s="265">
        <v>722573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57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67530335</v>
      </c>
      <c r="M61" s="49"/>
      <c r="N61" s="96">
        <v>15843614</v>
      </c>
      <c r="O61" s="240">
        <v>83373949</v>
      </c>
      <c r="P61" s="97"/>
    </row>
    <row r="62" spans="1:16">
      <c r="A62" s="52" t="s">
        <v>91</v>
      </c>
      <c r="B62" s="53" t="s">
        <v>92</v>
      </c>
      <c r="C62" s="57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>
        <v>52995</v>
      </c>
      <c r="O62" s="246">
        <v>52995</v>
      </c>
      <c r="P62" s="81"/>
    </row>
    <row r="63" spans="1:16" s="64" customFormat="1">
      <c r="A63" s="52"/>
      <c r="B63" s="53"/>
      <c r="C63" s="7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35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67530335</v>
      </c>
      <c r="M64" s="92"/>
      <c r="N64" s="90">
        <v>15896609</v>
      </c>
      <c r="O64" s="90">
        <v>83426944</v>
      </c>
      <c r="P64" s="91"/>
    </row>
    <row r="65" spans="1:16" s="64" customFormat="1">
      <c r="A65" s="52"/>
      <c r="B65" s="53"/>
      <c r="C65" s="7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65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67751023</v>
      </c>
      <c r="M66" s="105"/>
      <c r="N66" s="251">
        <v>16398494</v>
      </c>
      <c r="O66" s="251">
        <v>84149517</v>
      </c>
      <c r="P66" s="46"/>
    </row>
    <row r="67" spans="1:16" ht="13.5" thickTop="1">
      <c r="A67" s="70"/>
      <c r="B67" s="53"/>
      <c r="C67" s="57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49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L66-[16]SNP!M120</f>
        <v>0</v>
      </c>
      <c r="M69" s="110"/>
      <c r="N69" s="111">
        <f>N66-[16]SNP!O120</f>
        <v>0</v>
      </c>
      <c r="O69" s="111">
        <f>O66-[16]SNP!P120</f>
        <v>3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338" priority="24" operator="notEqual">
      <formula>0</formula>
    </cfRule>
    <cfRule type="cellIs" dxfId="337" priority="25" operator="equal">
      <formula>0</formula>
    </cfRule>
  </conditionalFormatting>
  <conditionalFormatting sqref="F11:G11 N62 L62 N17:N18 N11:N15 L16 F17:G17 N24:N30 N37:N45 N52:N55">
    <cfRule type="containsBlanks" dxfId="336" priority="20">
      <formula>LEN(TRIM(F11))=0</formula>
    </cfRule>
    <cfRule type="cellIs" dxfId="335" priority="21" operator="notEqual">
      <formula>0</formula>
    </cfRule>
  </conditionalFormatting>
  <conditionalFormatting sqref="N11">
    <cfRule type="cellIs" dxfId="334" priority="19" operator="notEqual">
      <formula>N20</formula>
    </cfRule>
  </conditionalFormatting>
  <conditionalFormatting sqref="O69">
    <cfRule type="cellIs" dxfId="333" priority="15" operator="notEqual">
      <formula>0</formula>
    </cfRule>
    <cfRule type="cellIs" dxfId="332" priority="16" operator="equal">
      <formula>0</formula>
    </cfRule>
  </conditionalFormatting>
  <conditionalFormatting sqref="K11:K15 K17:K18">
    <cfRule type="containsBlanks" dxfId="331" priority="13">
      <formula>LEN(TRIM(K11))=0</formula>
    </cfRule>
    <cfRule type="cellIs" dxfId="330" priority="14" operator="notEqual">
      <formula>0</formula>
    </cfRule>
  </conditionalFormatting>
  <conditionalFormatting sqref="K11:K15 K17:K18">
    <cfRule type="cellIs" dxfId="329" priority="12" operator="notEqual">
      <formula>K20</formula>
    </cfRule>
  </conditionalFormatting>
  <conditionalFormatting sqref="K16">
    <cfRule type="containsBlanks" dxfId="328" priority="10">
      <formula>LEN(TRIM(K16))=0</formula>
    </cfRule>
    <cfRule type="cellIs" dxfId="327" priority="11" operator="notEqual">
      <formula>0</formula>
    </cfRule>
  </conditionalFormatting>
  <conditionalFormatting sqref="K52 K37 K24">
    <cfRule type="containsBlanks" dxfId="326" priority="8">
      <formula>LEN(TRIM(K24))=0</formula>
    </cfRule>
    <cfRule type="cellIs" dxfId="325" priority="9" operator="notEqual">
      <formula>0</formula>
    </cfRule>
  </conditionalFormatting>
  <conditionalFormatting sqref="K52 K37 K24">
    <cfRule type="cellIs" dxfId="324" priority="7" operator="notEqual">
      <formula>K33</formula>
    </cfRule>
  </conditionalFormatting>
  <conditionalFormatting sqref="K53:K55 K38:K45 K25:K30">
    <cfRule type="containsBlanks" dxfId="323" priority="5">
      <formula>LEN(TRIM(K25))=0</formula>
    </cfRule>
    <cfRule type="cellIs" dxfId="322" priority="6" operator="notEqual">
      <formula>0</formula>
    </cfRule>
  </conditionalFormatting>
  <conditionalFormatting sqref="K53:K55 K38:K45 K25:K30">
    <cfRule type="cellIs" dxfId="321" priority="4" operator="notEqual">
      <formula>K34</formula>
    </cfRule>
  </conditionalFormatting>
  <conditionalFormatting sqref="N24">
    <cfRule type="cellIs" dxfId="320" priority="3" operator="notEqual">
      <formula>N33</formula>
    </cfRule>
  </conditionalFormatting>
  <conditionalFormatting sqref="N37">
    <cfRule type="cellIs" dxfId="319" priority="2" operator="notEqual">
      <formula>N46</formula>
    </cfRule>
  </conditionalFormatting>
  <conditionalFormatting sqref="N52">
    <cfRule type="cellIs" dxfId="318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140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126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57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57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[17]SNP!$O$9</f>
        <v>Unit</v>
      </c>
      <c r="O7" s="26"/>
      <c r="P7" s="27"/>
    </row>
    <row r="8" spans="1:16">
      <c r="C8" s="65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57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49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49"/>
      <c r="D11" s="44" t="s">
        <v>18</v>
      </c>
      <c r="E11" s="35"/>
      <c r="F11" s="339">
        <v>6478052.2199999997</v>
      </c>
      <c r="G11" s="339"/>
      <c r="H11" s="45"/>
      <c r="I11" s="36"/>
      <c r="J11" s="237">
        <v>15949070.34</v>
      </c>
      <c r="K11" s="223">
        <v>0</v>
      </c>
      <c r="L11" s="238">
        <v>15949070.34</v>
      </c>
      <c r="M11" s="224"/>
      <c r="N11" s="223">
        <v>0</v>
      </c>
      <c r="O11" s="239">
        <v>15949070</v>
      </c>
      <c r="P11" s="46"/>
    </row>
    <row r="12" spans="1:16" s="43" customFormat="1">
      <c r="A12" s="1" t="s">
        <v>19</v>
      </c>
      <c r="B12" s="34" t="s">
        <v>20</v>
      </c>
      <c r="C12" s="349"/>
      <c r="D12" s="36" t="s">
        <v>21</v>
      </c>
      <c r="E12" s="14"/>
      <c r="F12" s="48"/>
      <c r="G12" s="49"/>
      <c r="H12" s="15"/>
      <c r="I12" s="35"/>
      <c r="J12" s="240">
        <v>645811.03</v>
      </c>
      <c r="K12" s="241">
        <v>0</v>
      </c>
      <c r="L12" s="242">
        <v>645811.03</v>
      </c>
      <c r="M12" s="225"/>
      <c r="N12" s="50">
        <v>0</v>
      </c>
      <c r="O12" s="243">
        <v>645811</v>
      </c>
      <c r="P12" s="51"/>
    </row>
    <row r="13" spans="1:16" s="43" customFormat="1">
      <c r="A13" s="1" t="s">
        <v>22</v>
      </c>
      <c r="B13" s="34" t="s">
        <v>20</v>
      </c>
      <c r="C13" s="349"/>
      <c r="D13" s="36" t="s">
        <v>23</v>
      </c>
      <c r="E13" s="14"/>
      <c r="F13" s="48"/>
      <c r="G13" s="48"/>
      <c r="H13" s="14"/>
      <c r="I13" s="35"/>
      <c r="J13" s="240">
        <v>4140837.5100000002</v>
      </c>
      <c r="K13" s="241">
        <v>0</v>
      </c>
      <c r="L13" s="242">
        <v>4140837.5100000002</v>
      </c>
      <c r="M13" s="225"/>
      <c r="N13" s="50">
        <v>34426</v>
      </c>
      <c r="O13" s="243">
        <v>4175264</v>
      </c>
      <c r="P13" s="51"/>
    </row>
    <row r="14" spans="1:16" s="43" customFormat="1">
      <c r="A14" s="1" t="s">
        <v>24</v>
      </c>
      <c r="B14" s="34" t="s">
        <v>20</v>
      </c>
      <c r="C14" s="349"/>
      <c r="D14" s="36" t="s">
        <v>25</v>
      </c>
      <c r="E14" s="14"/>
      <c r="F14" s="48"/>
      <c r="G14" s="48"/>
      <c r="H14" s="14"/>
      <c r="I14" s="35"/>
      <c r="J14" s="240">
        <v>494756.68999999994</v>
      </c>
      <c r="K14" s="241">
        <v>0</v>
      </c>
      <c r="L14" s="242">
        <v>494756.68999999994</v>
      </c>
      <c r="M14" s="225"/>
      <c r="N14" s="50">
        <v>1756088</v>
      </c>
      <c r="O14" s="243">
        <v>2250845</v>
      </c>
      <c r="P14" s="51"/>
    </row>
    <row r="15" spans="1:16" s="43" customFormat="1">
      <c r="A15" s="1" t="s">
        <v>26</v>
      </c>
      <c r="B15" s="34" t="s">
        <v>17</v>
      </c>
      <c r="C15" s="349"/>
      <c r="D15" s="36" t="s">
        <v>27</v>
      </c>
      <c r="E15" s="14"/>
      <c r="F15" s="48"/>
      <c r="G15" s="48"/>
      <c r="H15" s="35"/>
      <c r="I15" s="35"/>
      <c r="J15" s="240">
        <v>40680.100000000006</v>
      </c>
      <c r="K15" s="241">
        <v>0</v>
      </c>
      <c r="L15" s="242">
        <v>40680.100000000006</v>
      </c>
      <c r="M15" s="225"/>
      <c r="N15" s="50">
        <v>0</v>
      </c>
      <c r="O15" s="243">
        <v>40680</v>
      </c>
      <c r="P15" s="51"/>
    </row>
    <row r="16" spans="1:16" s="43" customFormat="1">
      <c r="A16" s="52"/>
      <c r="B16" s="53"/>
      <c r="C16" s="349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49"/>
      <c r="D17" s="44" t="s">
        <v>18</v>
      </c>
      <c r="E17" s="35"/>
      <c r="F17" s="339">
        <v>0</v>
      </c>
      <c r="G17" s="339"/>
      <c r="H17" s="55"/>
      <c r="I17" s="35"/>
      <c r="J17" s="240">
        <v>679151.33000000007</v>
      </c>
      <c r="K17" s="241">
        <v>0</v>
      </c>
      <c r="L17" s="242">
        <v>679151.33000000007</v>
      </c>
      <c r="M17" s="225"/>
      <c r="N17" s="50">
        <v>0</v>
      </c>
      <c r="O17" s="243">
        <v>679151</v>
      </c>
      <c r="P17" s="51"/>
    </row>
    <row r="18" spans="1:16" s="43" customFormat="1">
      <c r="A18" s="52" t="s">
        <v>30</v>
      </c>
      <c r="B18" s="56" t="s">
        <v>31</v>
      </c>
      <c r="C18" s="349"/>
      <c r="D18" s="57" t="s">
        <v>32</v>
      </c>
      <c r="E18" s="14"/>
      <c r="F18" s="14"/>
      <c r="G18" s="14"/>
      <c r="H18" s="14"/>
      <c r="I18" s="36"/>
      <c r="J18" s="246">
        <v>523630.17000000004</v>
      </c>
      <c r="K18" s="247">
        <v>12547</v>
      </c>
      <c r="L18" s="248">
        <v>536177.17000000004</v>
      </c>
      <c r="M18" s="225"/>
      <c r="N18" s="58">
        <v>400188</v>
      </c>
      <c r="O18" s="249">
        <v>936365</v>
      </c>
      <c r="P18" s="51"/>
    </row>
    <row r="19" spans="1:16" s="64" customFormat="1">
      <c r="A19" s="52"/>
      <c r="B19" s="56"/>
      <c r="C19" s="7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49"/>
      <c r="D20" s="65" t="s">
        <v>34</v>
      </c>
      <c r="E20" s="35"/>
      <c r="F20" s="14"/>
      <c r="G20" s="14"/>
      <c r="H20" s="14"/>
      <c r="I20" s="15"/>
      <c r="J20" s="251">
        <v>22473937.170000002</v>
      </c>
      <c r="K20" s="251">
        <v>12547</v>
      </c>
      <c r="L20" s="252">
        <v>22486484</v>
      </c>
      <c r="M20" s="67"/>
      <c r="N20" s="251">
        <v>2190702</v>
      </c>
      <c r="O20" s="253">
        <v>24677186</v>
      </c>
      <c r="P20" s="68"/>
    </row>
    <row r="21" spans="1:16" s="43" customFormat="1" ht="13.5" thickTop="1">
      <c r="A21" s="52"/>
      <c r="B21" s="56"/>
      <c r="C21" s="57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65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57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38595613.79999999</v>
      </c>
      <c r="K24" s="223">
        <v>0</v>
      </c>
      <c r="L24" s="258">
        <v>38595613.79999999</v>
      </c>
      <c r="M24" s="225"/>
      <c r="N24" s="223">
        <v>486027</v>
      </c>
      <c r="O24" s="239">
        <v>39081641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10193658.82</v>
      </c>
      <c r="K25" s="241">
        <v>0</v>
      </c>
      <c r="L25" s="242">
        <v>10193658.82</v>
      </c>
      <c r="M25" s="225"/>
      <c r="N25" s="50">
        <v>1462837</v>
      </c>
      <c r="O25" s="243">
        <v>11656496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1568825.28</v>
      </c>
      <c r="K26" s="241">
        <v>0</v>
      </c>
      <c r="L26" s="242">
        <v>1568825.28</v>
      </c>
      <c r="M26" s="225"/>
      <c r="N26" s="50">
        <v>0</v>
      </c>
      <c r="O26" s="243">
        <v>1568825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4273617.1000000006</v>
      </c>
      <c r="K27" s="241">
        <v>0</v>
      </c>
      <c r="L27" s="242">
        <v>4273617.1000000006</v>
      </c>
      <c r="M27" s="225"/>
      <c r="N27" s="50">
        <v>134671</v>
      </c>
      <c r="O27" s="243">
        <v>4408288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4395685.75</v>
      </c>
      <c r="K28" s="241">
        <v>0</v>
      </c>
      <c r="L28" s="242">
        <v>4395685.75</v>
      </c>
      <c r="M28" s="225"/>
      <c r="N28" s="50">
        <v>891011</v>
      </c>
      <c r="O28" s="243">
        <v>5286697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5357107.2699999996</v>
      </c>
      <c r="K29" s="241">
        <v>0</v>
      </c>
      <c r="L29" s="242">
        <v>5357107.2699999996</v>
      </c>
      <c r="M29" s="225"/>
      <c r="N29" s="50">
        <v>39910</v>
      </c>
      <c r="O29" s="243">
        <v>5397017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3302547.55</v>
      </c>
      <c r="K30" s="247">
        <v>0</v>
      </c>
      <c r="L30" s="248">
        <v>3302547.55</v>
      </c>
      <c r="M30" s="225"/>
      <c r="N30" s="58">
        <v>51</v>
      </c>
      <c r="O30" s="249">
        <v>3302599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57"/>
      <c r="D32" s="65" t="s">
        <v>54</v>
      </c>
      <c r="E32" s="35"/>
      <c r="F32" s="14"/>
      <c r="G32" s="14"/>
      <c r="H32" s="14"/>
      <c r="I32" s="15"/>
      <c r="J32" s="251">
        <v>67687055.569999993</v>
      </c>
      <c r="K32" s="251">
        <v>0</v>
      </c>
      <c r="L32" s="252">
        <v>67687056</v>
      </c>
      <c r="M32" s="261"/>
      <c r="N32" s="251">
        <v>3014507</v>
      </c>
      <c r="O32" s="253">
        <v>70701563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57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-45213118.399999991</v>
      </c>
      <c r="K34" s="263">
        <v>12547</v>
      </c>
      <c r="L34" s="264">
        <v>-45200572</v>
      </c>
      <c r="M34" s="67"/>
      <c r="N34" s="263">
        <v>-823805</v>
      </c>
      <c r="O34" s="265">
        <v>-46024377</v>
      </c>
      <c r="P34" s="68"/>
    </row>
    <row r="35" spans="1:16" s="43" customFormat="1">
      <c r="A35" s="12"/>
      <c r="B35" s="72"/>
      <c r="C35" s="57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65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76" t="s">
        <v>58</v>
      </c>
      <c r="D37" s="35"/>
      <c r="E37" s="14"/>
      <c r="F37" s="14"/>
      <c r="G37" s="35"/>
      <c r="H37" s="14"/>
      <c r="I37" s="15"/>
      <c r="J37" s="257">
        <v>25924230.530000001</v>
      </c>
      <c r="K37" s="223">
        <v>0</v>
      </c>
      <c r="L37" s="238">
        <v>25924230.530000001</v>
      </c>
      <c r="M37" s="49"/>
      <c r="N37" s="223">
        <v>0</v>
      </c>
      <c r="O37" s="239">
        <v>25924231</v>
      </c>
      <c r="P37" s="81"/>
    </row>
    <row r="38" spans="1:16" s="43" customFormat="1">
      <c r="A38" s="1" t="s">
        <v>59</v>
      </c>
      <c r="B38" s="72" t="s">
        <v>20</v>
      </c>
      <c r="C38" s="76" t="s">
        <v>60</v>
      </c>
      <c r="D38" s="35"/>
      <c r="E38" s="14"/>
      <c r="F38" s="14"/>
      <c r="G38" s="35"/>
      <c r="H38" s="14"/>
      <c r="I38" s="15"/>
      <c r="J38" s="259">
        <v>15348868.680000002</v>
      </c>
      <c r="K38" s="241">
        <v>0</v>
      </c>
      <c r="L38" s="242">
        <v>15348868.680000002</v>
      </c>
      <c r="M38" s="49"/>
      <c r="N38" s="80">
        <v>0</v>
      </c>
      <c r="O38" s="243">
        <v>15348869</v>
      </c>
      <c r="P38" s="81"/>
    </row>
    <row r="39" spans="1:16" s="43" customFormat="1">
      <c r="A39" s="12" t="s">
        <v>61</v>
      </c>
      <c r="B39" s="72" t="s">
        <v>20</v>
      </c>
      <c r="C39" s="76" t="s">
        <v>62</v>
      </c>
      <c r="D39" s="35"/>
      <c r="E39" s="14"/>
      <c r="F39" s="14"/>
      <c r="G39" s="35"/>
      <c r="H39" s="14"/>
      <c r="I39" s="15"/>
      <c r="J39" s="259">
        <v>0</v>
      </c>
      <c r="K39" s="241">
        <v>0</v>
      </c>
      <c r="L39" s="242">
        <v>0</v>
      </c>
      <c r="M39" s="49"/>
      <c r="N39" s="80">
        <v>0</v>
      </c>
      <c r="O39" s="243">
        <v>0</v>
      </c>
      <c r="P39" s="81"/>
    </row>
    <row r="40" spans="1:16" s="43" customFormat="1">
      <c r="A40" s="1" t="s">
        <v>63</v>
      </c>
      <c r="B40" s="72" t="s">
        <v>64</v>
      </c>
      <c r="C40" s="76" t="s">
        <v>65</v>
      </c>
      <c r="D40" s="35"/>
      <c r="E40" s="14"/>
      <c r="F40" s="14"/>
      <c r="G40" s="35"/>
      <c r="H40" s="14"/>
      <c r="I40" s="15"/>
      <c r="J40" s="259">
        <v>331335.54000000004</v>
      </c>
      <c r="K40" s="241">
        <v>0</v>
      </c>
      <c r="L40" s="242">
        <v>331335.54000000004</v>
      </c>
      <c r="M40" s="49"/>
      <c r="N40" s="80">
        <v>0</v>
      </c>
      <c r="O40" s="243">
        <v>331336</v>
      </c>
      <c r="P40" s="81"/>
    </row>
    <row r="41" spans="1:16" s="43" customFormat="1">
      <c r="A41" s="12" t="s">
        <v>66</v>
      </c>
      <c r="B41" s="72" t="s">
        <v>64</v>
      </c>
      <c r="C41" s="35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4545621</v>
      </c>
      <c r="O41" s="243">
        <v>4545621</v>
      </c>
      <c r="P41" s="81"/>
    </row>
    <row r="42" spans="1:16" s="43" customFormat="1">
      <c r="A42" s="1" t="s">
        <v>67</v>
      </c>
      <c r="B42" s="72" t="s">
        <v>31</v>
      </c>
      <c r="C42" s="7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28663</v>
      </c>
      <c r="O42" s="243">
        <v>28663</v>
      </c>
      <c r="P42" s="81"/>
    </row>
    <row r="43" spans="1:16" s="43" customFormat="1">
      <c r="A43" s="12" t="s">
        <v>69</v>
      </c>
      <c r="B43" s="72" t="s">
        <v>70</v>
      </c>
      <c r="C43" s="7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76" t="s">
        <v>72</v>
      </c>
      <c r="D44" s="35"/>
      <c r="E44" s="35"/>
      <c r="F44" s="35"/>
      <c r="G44" s="35"/>
      <c r="H44" s="35"/>
      <c r="I44" s="35"/>
      <c r="J44" s="240">
        <v>-359.96</v>
      </c>
      <c r="K44" s="241">
        <v>0</v>
      </c>
      <c r="L44" s="242">
        <v>-359.96</v>
      </c>
      <c r="M44" s="49"/>
      <c r="N44" s="80">
        <v>0</v>
      </c>
      <c r="O44" s="243">
        <v>-360</v>
      </c>
      <c r="P44" s="81"/>
    </row>
    <row r="45" spans="1:16" s="43" customFormat="1">
      <c r="A45" s="12" t="s">
        <v>73</v>
      </c>
      <c r="B45" s="72" t="s">
        <v>38</v>
      </c>
      <c r="C45" s="7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49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65" t="s">
        <v>76</v>
      </c>
      <c r="D47" s="35"/>
      <c r="E47" s="14"/>
      <c r="F47" s="14"/>
      <c r="G47" s="14"/>
      <c r="H47" s="14"/>
      <c r="I47" s="15"/>
      <c r="J47" s="263">
        <v>41604074.789999999</v>
      </c>
      <c r="K47" s="263">
        <v>0</v>
      </c>
      <c r="L47" s="264">
        <v>41604076</v>
      </c>
      <c r="M47" s="59"/>
      <c r="N47" s="263">
        <v>4574284</v>
      </c>
      <c r="O47" s="265">
        <v>46178360</v>
      </c>
      <c r="P47" s="68"/>
    </row>
    <row r="48" spans="1:16" s="37" customFormat="1">
      <c r="A48" s="52"/>
      <c r="B48" s="53"/>
      <c r="C48" s="344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57"/>
      <c r="D50" s="29" t="s">
        <v>77</v>
      </c>
      <c r="E50" s="14"/>
      <c r="F50" s="14"/>
      <c r="G50" s="14"/>
      <c r="H50" s="14"/>
      <c r="I50" s="15"/>
      <c r="J50" s="263">
        <v>-3609043.609999992</v>
      </c>
      <c r="K50" s="263">
        <v>12547</v>
      </c>
      <c r="L50" s="264">
        <v>-3596496</v>
      </c>
      <c r="M50" s="59"/>
      <c r="N50" s="263">
        <v>3750479</v>
      </c>
      <c r="O50" s="265">
        <v>153983</v>
      </c>
      <c r="P50" s="68"/>
    </row>
    <row r="51" spans="1:16" s="43" customFormat="1">
      <c r="A51" s="52"/>
      <c r="B51" s="53"/>
      <c r="C51" s="57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76" t="s">
        <v>79</v>
      </c>
      <c r="D52" s="35"/>
      <c r="E52" s="14"/>
      <c r="F52" s="14"/>
      <c r="G52" s="14"/>
      <c r="H52" s="35"/>
      <c r="I52" s="15"/>
      <c r="J52" s="257">
        <v>10217635</v>
      </c>
      <c r="K52" s="223">
        <v>0</v>
      </c>
      <c r="L52" s="238">
        <v>10217635</v>
      </c>
      <c r="M52" s="49"/>
      <c r="N52" s="223">
        <v>0</v>
      </c>
      <c r="O52" s="239">
        <v>10217635</v>
      </c>
      <c r="P52" s="81"/>
    </row>
    <row r="53" spans="1:16" s="43" customFormat="1">
      <c r="A53" s="52" t="s">
        <v>80</v>
      </c>
      <c r="B53" s="53" t="s">
        <v>81</v>
      </c>
      <c r="C53" s="76" t="s">
        <v>82</v>
      </c>
      <c r="D53" s="35"/>
      <c r="E53" s="14"/>
      <c r="F53" s="14"/>
      <c r="G53" s="14"/>
      <c r="H53" s="35"/>
      <c r="I53" s="15"/>
      <c r="J53" s="259">
        <v>1835183.71</v>
      </c>
      <c r="K53" s="241">
        <v>0</v>
      </c>
      <c r="L53" s="242">
        <v>1835183.71</v>
      </c>
      <c r="M53" s="225"/>
      <c r="N53" s="50">
        <v>0</v>
      </c>
      <c r="O53" s="243">
        <v>1835184</v>
      </c>
      <c r="P53" s="51"/>
    </row>
    <row r="54" spans="1:16">
      <c r="A54" s="52" t="s">
        <v>83</v>
      </c>
      <c r="B54" s="53" t="s">
        <v>84</v>
      </c>
      <c r="C54" s="57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49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65" t="s">
        <v>88</v>
      </c>
      <c r="D57" s="35"/>
      <c r="E57" s="35"/>
      <c r="F57" s="14"/>
      <c r="G57" s="14"/>
      <c r="H57" s="14"/>
      <c r="I57" s="15"/>
      <c r="J57" s="251">
        <v>12052818.710000001</v>
      </c>
      <c r="K57" s="251">
        <v>0</v>
      </c>
      <c r="L57" s="253">
        <v>12052819</v>
      </c>
      <c r="M57" s="261"/>
      <c r="N57" s="251">
        <v>0</v>
      </c>
      <c r="O57" s="253">
        <v>12052819</v>
      </c>
      <c r="P57" s="91"/>
    </row>
    <row r="58" spans="1:16" ht="13.5" thickTop="1">
      <c r="A58" s="52"/>
      <c r="B58" s="53"/>
      <c r="C58" s="65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8443775.1000000089</v>
      </c>
      <c r="K59" s="263">
        <v>12547</v>
      </c>
      <c r="L59" s="265">
        <v>8456323</v>
      </c>
      <c r="M59" s="92"/>
      <c r="N59" s="263">
        <v>3750479</v>
      </c>
      <c r="O59" s="265">
        <v>12206802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57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105079913</v>
      </c>
      <c r="M61" s="49"/>
      <c r="N61" s="96">
        <v>50264185</v>
      </c>
      <c r="O61" s="240">
        <v>155344098</v>
      </c>
      <c r="P61" s="97"/>
    </row>
    <row r="62" spans="1:16">
      <c r="A62" s="52" t="s">
        <v>91</v>
      </c>
      <c r="B62" s="53" t="s">
        <v>92</v>
      </c>
      <c r="C62" s="57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7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35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105079913</v>
      </c>
      <c r="M64" s="92"/>
      <c r="N64" s="90">
        <v>50264185</v>
      </c>
      <c r="O64" s="90">
        <v>155344098</v>
      </c>
      <c r="P64" s="91"/>
    </row>
    <row r="65" spans="1:16" s="64" customFormat="1">
      <c r="A65" s="52"/>
      <c r="B65" s="53"/>
      <c r="C65" s="7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65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113536236</v>
      </c>
      <c r="M66" s="105"/>
      <c r="N66" s="251">
        <v>54014664</v>
      </c>
      <c r="O66" s="251">
        <v>167550900</v>
      </c>
      <c r="P66" s="46"/>
    </row>
    <row r="67" spans="1:16" ht="13.5" thickTop="1">
      <c r="A67" s="70"/>
      <c r="B67" s="53"/>
      <c r="C67" s="57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49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L66-[17]SNP!M120</f>
        <v>0.32000000774860382</v>
      </c>
      <c r="M69" s="110"/>
      <c r="N69" s="111">
        <f>N66-[17]SNP!O120</f>
        <v>0</v>
      </c>
      <c r="O69" s="111">
        <f>O66-[17]SNP!P120</f>
        <v>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317" priority="24" operator="notEqual">
      <formula>0</formula>
    </cfRule>
    <cfRule type="cellIs" dxfId="316" priority="25" operator="equal">
      <formula>0</formula>
    </cfRule>
  </conditionalFormatting>
  <conditionalFormatting sqref="F11:G11 N62 L62 N17:N18 N11:N15 L16 F17:G17 N24:N30 N37:N45 N52:N55">
    <cfRule type="containsBlanks" dxfId="315" priority="20">
      <formula>LEN(TRIM(F11))=0</formula>
    </cfRule>
    <cfRule type="cellIs" dxfId="314" priority="21" operator="notEqual">
      <formula>0</formula>
    </cfRule>
  </conditionalFormatting>
  <conditionalFormatting sqref="N11">
    <cfRule type="cellIs" dxfId="313" priority="19" operator="notEqual">
      <formula>N20</formula>
    </cfRule>
  </conditionalFormatting>
  <conditionalFormatting sqref="O69">
    <cfRule type="cellIs" dxfId="312" priority="15" operator="notEqual">
      <formula>0</formula>
    </cfRule>
    <cfRule type="cellIs" dxfId="311" priority="16" operator="equal">
      <formula>0</formula>
    </cfRule>
  </conditionalFormatting>
  <conditionalFormatting sqref="K11:K15 K17:K18">
    <cfRule type="containsBlanks" dxfId="310" priority="13">
      <formula>LEN(TRIM(K11))=0</formula>
    </cfRule>
    <cfRule type="cellIs" dxfId="309" priority="14" operator="notEqual">
      <formula>0</formula>
    </cfRule>
  </conditionalFormatting>
  <conditionalFormatting sqref="K11:K15 K17:K18">
    <cfRule type="cellIs" dxfId="308" priority="12" operator="notEqual">
      <formula>K20</formula>
    </cfRule>
  </conditionalFormatting>
  <conditionalFormatting sqref="K16">
    <cfRule type="containsBlanks" dxfId="307" priority="10">
      <formula>LEN(TRIM(K16))=0</formula>
    </cfRule>
    <cfRule type="cellIs" dxfId="306" priority="11" operator="notEqual">
      <formula>0</formula>
    </cfRule>
  </conditionalFormatting>
  <conditionalFormatting sqref="K52 K37 K24">
    <cfRule type="containsBlanks" dxfId="305" priority="8">
      <formula>LEN(TRIM(K24))=0</formula>
    </cfRule>
    <cfRule type="cellIs" dxfId="304" priority="9" operator="notEqual">
      <formula>0</formula>
    </cfRule>
  </conditionalFormatting>
  <conditionalFormatting sqref="K52 K37 K24">
    <cfRule type="cellIs" dxfId="303" priority="7" operator="notEqual">
      <formula>K33</formula>
    </cfRule>
  </conditionalFormatting>
  <conditionalFormatting sqref="K53:K55 K38:K45 K25:K30">
    <cfRule type="containsBlanks" dxfId="302" priority="5">
      <formula>LEN(TRIM(K25))=0</formula>
    </cfRule>
    <cfRule type="cellIs" dxfId="301" priority="6" operator="notEqual">
      <formula>0</formula>
    </cfRule>
  </conditionalFormatting>
  <conditionalFormatting sqref="K53:K55 K38:K45 K25:K30">
    <cfRule type="cellIs" dxfId="300" priority="4" operator="notEqual">
      <formula>K34</formula>
    </cfRule>
  </conditionalFormatting>
  <conditionalFormatting sqref="N24">
    <cfRule type="cellIs" dxfId="299" priority="3" operator="notEqual">
      <formula>N33</formula>
    </cfRule>
  </conditionalFormatting>
  <conditionalFormatting sqref="N37">
    <cfRule type="cellIs" dxfId="298" priority="2" operator="notEqual">
      <formula>N46</formula>
    </cfRule>
  </conditionalFormatting>
  <conditionalFormatting sqref="N52">
    <cfRule type="cellIs" dxfId="297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301" hidden="1" customWidth="1"/>
    <col min="2" max="2" width="5.28515625" style="20" hidden="1" customWidth="1"/>
    <col min="3" max="3" width="2" style="354" customWidth="1"/>
    <col min="4" max="4" width="9.140625" style="302" customWidth="1"/>
    <col min="5" max="5" width="14.5703125" style="302" customWidth="1"/>
    <col min="6" max="6" width="14" style="302" customWidth="1"/>
    <col min="7" max="7" width="9.42578125" style="302" customWidth="1"/>
    <col min="8" max="8" width="9.140625" style="302" hidden="1" customWidth="1"/>
    <col min="9" max="9" width="9.140625" style="304" hidden="1" customWidth="1"/>
    <col min="10" max="10" width="17.85546875" style="304" bestFit="1" customWidth="1"/>
    <col min="11" max="11" width="15.7109375" style="304" bestFit="1" customWidth="1"/>
    <col min="12" max="12" width="21.85546875" style="302" customWidth="1"/>
    <col min="13" max="13" width="0.7109375" style="304" customWidth="1"/>
    <col min="14" max="14" width="17.28515625" style="302" bestFit="1" customWidth="1"/>
    <col min="15" max="15" width="19.140625" style="302" customWidth="1"/>
    <col min="16" max="16" width="11.28515625" style="302" customWidth="1"/>
    <col min="17" max="16384" width="11.140625" style="302"/>
  </cols>
  <sheetData>
    <row r="1" spans="1:16">
      <c r="B1" s="2"/>
      <c r="C1" s="342" t="s">
        <v>114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52" t="s">
        <v>1</v>
      </c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03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04" t="str">
        <f>FCS!Q4</f>
        <v>2017.v04</v>
      </c>
    </row>
    <row r="5" spans="1:16">
      <c r="A5" s="12"/>
      <c r="B5" s="13"/>
      <c r="C5" s="314"/>
      <c r="D5" s="305"/>
      <c r="E5" s="305"/>
      <c r="F5" s="305"/>
      <c r="G5" s="305"/>
      <c r="H5" s="305"/>
      <c r="I5" s="306"/>
      <c r="J5" s="36"/>
      <c r="K5" s="59"/>
      <c r="L5" s="16"/>
      <c r="M5" s="17"/>
      <c r="N5" s="16"/>
      <c r="O5" s="16"/>
      <c r="P5" s="18"/>
    </row>
    <row r="6" spans="1:16">
      <c r="C6" s="314"/>
      <c r="D6" s="305"/>
      <c r="E6" s="305"/>
      <c r="F6" s="305"/>
      <c r="G6" s="305"/>
      <c r="H6" s="305"/>
      <c r="I6" s="306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314"/>
      <c r="D7" s="305"/>
      <c r="E7" s="305"/>
      <c r="F7" s="305"/>
      <c r="G7" s="305"/>
      <c r="H7" s="305"/>
      <c r="I7" s="306"/>
      <c r="J7" s="26" t="s">
        <v>303</v>
      </c>
      <c r="K7" s="236" t="s">
        <v>304</v>
      </c>
      <c r="L7" s="307"/>
      <c r="M7" s="25"/>
      <c r="N7" s="26" t="str">
        <f>[18]SNP!$O$9</f>
        <v>Unit</v>
      </c>
      <c r="O7" s="26"/>
      <c r="P7" s="27"/>
    </row>
    <row r="8" spans="1:16">
      <c r="C8" s="315" t="s">
        <v>8</v>
      </c>
      <c r="D8" s="305"/>
      <c r="E8" s="305"/>
      <c r="F8" s="305"/>
      <c r="G8" s="305"/>
      <c r="H8" s="305"/>
      <c r="I8" s="306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314" t="s">
        <v>11</v>
      </c>
      <c r="D9" s="305"/>
      <c r="E9" s="305"/>
      <c r="F9" s="305"/>
      <c r="G9" s="305"/>
      <c r="H9" s="305"/>
      <c r="I9" s="306"/>
      <c r="J9" s="306"/>
      <c r="K9" s="306"/>
      <c r="L9" s="17"/>
      <c r="M9" s="17"/>
      <c r="N9" s="17"/>
      <c r="O9" s="17"/>
      <c r="P9" s="18"/>
    </row>
    <row r="10" spans="1:16" s="311" customFormat="1">
      <c r="A10" s="301"/>
      <c r="B10" s="34"/>
      <c r="C10" s="353"/>
      <c r="D10" s="36" t="s">
        <v>13</v>
      </c>
      <c r="E10" s="305"/>
      <c r="F10" s="305"/>
      <c r="G10" s="305"/>
      <c r="H10" s="305"/>
      <c r="I10" s="309"/>
      <c r="J10" s="309"/>
      <c r="K10" s="309"/>
      <c r="L10" s="309"/>
      <c r="M10" s="17"/>
      <c r="N10" s="309"/>
      <c r="O10" s="309"/>
      <c r="P10" s="310"/>
    </row>
    <row r="11" spans="1:16" s="311" customFormat="1">
      <c r="A11" s="301" t="s">
        <v>16</v>
      </c>
      <c r="B11" s="34" t="s">
        <v>17</v>
      </c>
      <c r="C11" s="353"/>
      <c r="D11" s="312" t="s">
        <v>18</v>
      </c>
      <c r="E11" s="309"/>
      <c r="F11" s="339">
        <v>85689949.390000001</v>
      </c>
      <c r="G11" s="339"/>
      <c r="H11" s="45"/>
      <c r="I11" s="36"/>
      <c r="J11" s="237">
        <v>80806774.719999984</v>
      </c>
      <c r="K11" s="223">
        <v>-2323910.6</v>
      </c>
      <c r="L11" s="238">
        <v>78482864.11999999</v>
      </c>
      <c r="M11" s="224"/>
      <c r="N11" s="223">
        <v>0</v>
      </c>
      <c r="O11" s="239">
        <v>78482864</v>
      </c>
      <c r="P11" s="46"/>
    </row>
    <row r="12" spans="1:16" s="311" customFormat="1">
      <c r="A12" s="301" t="s">
        <v>19</v>
      </c>
      <c r="B12" s="34" t="s">
        <v>20</v>
      </c>
      <c r="C12" s="353"/>
      <c r="D12" s="36" t="s">
        <v>21</v>
      </c>
      <c r="E12" s="305"/>
      <c r="F12" s="48"/>
      <c r="G12" s="49"/>
      <c r="H12" s="306"/>
      <c r="I12" s="309"/>
      <c r="J12" s="240">
        <v>28506608.989999998</v>
      </c>
      <c r="K12" s="241">
        <v>0</v>
      </c>
      <c r="L12" s="242">
        <v>28506608.989999998</v>
      </c>
      <c r="M12" s="225"/>
      <c r="N12" s="50">
        <v>0</v>
      </c>
      <c r="O12" s="243">
        <v>28506609</v>
      </c>
      <c r="P12" s="51"/>
    </row>
    <row r="13" spans="1:16" s="311" customFormat="1">
      <c r="A13" s="301" t="s">
        <v>22</v>
      </c>
      <c r="B13" s="34" t="s">
        <v>20</v>
      </c>
      <c r="C13" s="353"/>
      <c r="D13" s="36" t="s">
        <v>23</v>
      </c>
      <c r="E13" s="305"/>
      <c r="F13" s="48"/>
      <c r="G13" s="48"/>
      <c r="H13" s="305"/>
      <c r="I13" s="309"/>
      <c r="J13" s="240">
        <v>4720151.57</v>
      </c>
      <c r="K13" s="241">
        <v>0</v>
      </c>
      <c r="L13" s="242">
        <v>4720151.57</v>
      </c>
      <c r="M13" s="225"/>
      <c r="N13" s="50">
        <v>0</v>
      </c>
      <c r="O13" s="243">
        <v>4720152</v>
      </c>
      <c r="P13" s="51"/>
    </row>
    <row r="14" spans="1:16" s="311" customFormat="1">
      <c r="A14" s="301" t="s">
        <v>24</v>
      </c>
      <c r="B14" s="34" t="s">
        <v>20</v>
      </c>
      <c r="C14" s="353"/>
      <c r="D14" s="36" t="s">
        <v>25</v>
      </c>
      <c r="E14" s="305"/>
      <c r="F14" s="48"/>
      <c r="G14" s="48"/>
      <c r="H14" s="305"/>
      <c r="I14" s="309"/>
      <c r="J14" s="240">
        <v>13070768.08</v>
      </c>
      <c r="K14" s="241">
        <v>0</v>
      </c>
      <c r="L14" s="242">
        <v>13070768.08</v>
      </c>
      <c r="M14" s="225"/>
      <c r="N14" s="50">
        <v>0</v>
      </c>
      <c r="O14" s="243">
        <v>13070768</v>
      </c>
      <c r="P14" s="51"/>
    </row>
    <row r="15" spans="1:16" s="311" customFormat="1">
      <c r="A15" s="301" t="s">
        <v>26</v>
      </c>
      <c r="B15" s="34" t="s">
        <v>17</v>
      </c>
      <c r="C15" s="353"/>
      <c r="D15" s="36" t="s">
        <v>27</v>
      </c>
      <c r="E15" s="305"/>
      <c r="F15" s="48"/>
      <c r="G15" s="48"/>
      <c r="H15" s="309"/>
      <c r="I15" s="309"/>
      <c r="J15" s="240">
        <v>44203.46</v>
      </c>
      <c r="K15" s="241">
        <v>0</v>
      </c>
      <c r="L15" s="242">
        <v>44203.46</v>
      </c>
      <c r="M15" s="225"/>
      <c r="N15" s="50">
        <v>0</v>
      </c>
      <c r="O15" s="243">
        <v>44203</v>
      </c>
      <c r="P15" s="51"/>
    </row>
    <row r="16" spans="1:16" s="311" customFormat="1">
      <c r="A16" s="313"/>
      <c r="B16" s="53"/>
      <c r="C16" s="353"/>
      <c r="D16" s="36" t="s">
        <v>28</v>
      </c>
      <c r="E16" s="305"/>
      <c r="F16" s="54"/>
      <c r="G16" s="49"/>
      <c r="H16" s="55"/>
      <c r="I16" s="309"/>
      <c r="J16" s="309"/>
      <c r="K16" s="244"/>
      <c r="L16" s="245"/>
      <c r="M16" s="225"/>
      <c r="N16" s="309"/>
      <c r="O16" s="243"/>
      <c r="P16" s="310"/>
    </row>
    <row r="17" spans="1:16" s="311" customFormat="1">
      <c r="A17" s="313" t="s">
        <v>29</v>
      </c>
      <c r="B17" s="53" t="s">
        <v>17</v>
      </c>
      <c r="C17" s="353"/>
      <c r="D17" s="312" t="s">
        <v>18</v>
      </c>
      <c r="E17" s="309"/>
      <c r="F17" s="339">
        <v>0</v>
      </c>
      <c r="G17" s="339"/>
      <c r="H17" s="55"/>
      <c r="I17" s="309"/>
      <c r="J17" s="240">
        <v>9945831.5299999993</v>
      </c>
      <c r="K17" s="241">
        <v>0</v>
      </c>
      <c r="L17" s="242">
        <v>9945831.5299999993</v>
      </c>
      <c r="M17" s="225"/>
      <c r="N17" s="50">
        <v>0</v>
      </c>
      <c r="O17" s="243">
        <v>9945832</v>
      </c>
      <c r="P17" s="51"/>
    </row>
    <row r="18" spans="1:16" s="311" customFormat="1">
      <c r="A18" s="313" t="s">
        <v>30</v>
      </c>
      <c r="B18" s="56" t="s">
        <v>31</v>
      </c>
      <c r="C18" s="353"/>
      <c r="D18" s="314" t="s">
        <v>32</v>
      </c>
      <c r="E18" s="305"/>
      <c r="F18" s="305"/>
      <c r="G18" s="305"/>
      <c r="H18" s="305"/>
      <c r="I18" s="36"/>
      <c r="J18" s="246">
        <v>1696267.07</v>
      </c>
      <c r="K18" s="247">
        <v>0</v>
      </c>
      <c r="L18" s="248">
        <v>1696267.07</v>
      </c>
      <c r="M18" s="225"/>
      <c r="N18" s="58">
        <v>13993908</v>
      </c>
      <c r="O18" s="249">
        <v>15690175</v>
      </c>
      <c r="P18" s="51"/>
    </row>
    <row r="19" spans="1:16" s="64" customFormat="1">
      <c r="A19" s="313"/>
      <c r="B19" s="56"/>
      <c r="C19" s="7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311" customFormat="1" ht="13.5" thickBot="1">
      <c r="A20" s="313" t="s">
        <v>33</v>
      </c>
      <c r="B20" s="56"/>
      <c r="C20" s="353"/>
      <c r="D20" s="315" t="s">
        <v>34</v>
      </c>
      <c r="E20" s="309"/>
      <c r="F20" s="305"/>
      <c r="G20" s="305"/>
      <c r="H20" s="305"/>
      <c r="I20" s="306"/>
      <c r="J20" s="251">
        <v>138790605.41999996</v>
      </c>
      <c r="K20" s="251">
        <v>-2323911</v>
      </c>
      <c r="L20" s="252">
        <v>136466695</v>
      </c>
      <c r="M20" s="67"/>
      <c r="N20" s="251">
        <v>13993908</v>
      </c>
      <c r="O20" s="253">
        <v>150460603</v>
      </c>
      <c r="P20" s="68"/>
    </row>
    <row r="21" spans="1:16" s="311" customFormat="1" ht="13.5" thickTop="1">
      <c r="A21" s="313"/>
      <c r="B21" s="56"/>
      <c r="C21" s="314"/>
      <c r="D21" s="305"/>
      <c r="E21" s="305"/>
      <c r="F21" s="305"/>
      <c r="G21" s="305"/>
      <c r="H21" s="305"/>
      <c r="I21" s="306"/>
      <c r="J21" s="306"/>
      <c r="K21" s="306"/>
      <c r="L21" s="254"/>
      <c r="M21" s="17"/>
      <c r="N21" s="17"/>
      <c r="O21" s="224"/>
      <c r="P21" s="18"/>
    </row>
    <row r="22" spans="1:16" s="311" customFormat="1">
      <c r="A22" s="70"/>
      <c r="B22" s="71"/>
      <c r="C22" s="315" t="s">
        <v>35</v>
      </c>
      <c r="D22" s="305"/>
      <c r="E22" s="305"/>
      <c r="F22" s="305"/>
      <c r="G22" s="305"/>
      <c r="H22" s="305"/>
      <c r="I22" s="306"/>
      <c r="J22" s="306"/>
      <c r="K22" s="306"/>
      <c r="L22" s="255"/>
      <c r="M22" s="17"/>
      <c r="N22" s="16"/>
      <c r="O22" s="256"/>
      <c r="P22" s="18"/>
    </row>
    <row r="23" spans="1:16" s="311" customFormat="1">
      <c r="A23" s="313"/>
      <c r="B23" s="53"/>
      <c r="C23" s="314" t="s">
        <v>36</v>
      </c>
      <c r="D23" s="305"/>
      <c r="E23" s="305"/>
      <c r="F23" s="305"/>
      <c r="G23" s="309"/>
      <c r="H23" s="305"/>
      <c r="I23" s="306"/>
      <c r="J23" s="306"/>
      <c r="K23" s="306"/>
      <c r="L23" s="255"/>
      <c r="M23" s="17"/>
      <c r="N23" s="16"/>
      <c r="O23" s="256"/>
      <c r="P23" s="18"/>
    </row>
    <row r="24" spans="1:16" s="311" customFormat="1">
      <c r="A24" s="12" t="s">
        <v>37</v>
      </c>
      <c r="B24" s="72" t="s">
        <v>38</v>
      </c>
      <c r="C24" s="312"/>
      <c r="D24" s="36" t="s">
        <v>39</v>
      </c>
      <c r="E24" s="305"/>
      <c r="F24" s="305"/>
      <c r="G24" s="309"/>
      <c r="H24" s="305"/>
      <c r="I24" s="306"/>
      <c r="J24" s="257">
        <v>294068042.26999998</v>
      </c>
      <c r="K24" s="223">
        <v>0</v>
      </c>
      <c r="L24" s="258">
        <v>294068042.26999998</v>
      </c>
      <c r="M24" s="225"/>
      <c r="N24" s="223">
        <v>2478823</v>
      </c>
      <c r="O24" s="239">
        <v>296546865</v>
      </c>
      <c r="P24" s="51"/>
    </row>
    <row r="25" spans="1:16" s="311" customFormat="1">
      <c r="A25" s="301" t="s">
        <v>40</v>
      </c>
      <c r="B25" s="72" t="s">
        <v>38</v>
      </c>
      <c r="C25" s="312"/>
      <c r="D25" s="36" t="s">
        <v>41</v>
      </c>
      <c r="E25" s="305"/>
      <c r="F25" s="305"/>
      <c r="G25" s="309"/>
      <c r="H25" s="305"/>
      <c r="I25" s="306"/>
      <c r="J25" s="259">
        <v>68258637.11999999</v>
      </c>
      <c r="K25" s="241">
        <v>72478.5</v>
      </c>
      <c r="L25" s="242">
        <v>68331115.61999999</v>
      </c>
      <c r="M25" s="225"/>
      <c r="N25" s="50">
        <v>5192242</v>
      </c>
      <c r="O25" s="243">
        <v>73523358</v>
      </c>
      <c r="P25" s="51"/>
    </row>
    <row r="26" spans="1:16" s="311" customFormat="1">
      <c r="A26" s="12" t="s">
        <v>42</v>
      </c>
      <c r="B26" s="34" t="s">
        <v>38</v>
      </c>
      <c r="C26" s="312"/>
      <c r="D26" s="36" t="s">
        <v>43</v>
      </c>
      <c r="E26" s="305"/>
      <c r="F26" s="305"/>
      <c r="G26" s="309"/>
      <c r="H26" s="305"/>
      <c r="I26" s="306"/>
      <c r="J26" s="259">
        <v>12561605.170000004</v>
      </c>
      <c r="K26" s="241">
        <v>0</v>
      </c>
      <c r="L26" s="242">
        <v>12561605.170000004</v>
      </c>
      <c r="M26" s="225"/>
      <c r="N26" s="50">
        <v>0</v>
      </c>
      <c r="O26" s="243">
        <v>12561605</v>
      </c>
      <c r="P26" s="51"/>
    </row>
    <row r="27" spans="1:16" s="311" customFormat="1">
      <c r="A27" s="301" t="s">
        <v>44</v>
      </c>
      <c r="B27" s="72" t="s">
        <v>38</v>
      </c>
      <c r="C27" s="312"/>
      <c r="D27" s="36" t="s">
        <v>45</v>
      </c>
      <c r="E27" s="305"/>
      <c r="F27" s="305"/>
      <c r="G27" s="309"/>
      <c r="H27" s="305"/>
      <c r="I27" s="306"/>
      <c r="J27" s="259">
        <v>33306109.670000006</v>
      </c>
      <c r="K27" s="241">
        <v>0</v>
      </c>
      <c r="L27" s="242">
        <v>33306109.670000006</v>
      </c>
      <c r="M27" s="225"/>
      <c r="N27" s="50">
        <v>5400764</v>
      </c>
      <c r="O27" s="243">
        <v>38706874</v>
      </c>
      <c r="P27" s="51"/>
    </row>
    <row r="28" spans="1:16" s="311" customFormat="1">
      <c r="A28" s="12" t="s">
        <v>46</v>
      </c>
      <c r="B28" s="34" t="s">
        <v>38</v>
      </c>
      <c r="C28" s="312"/>
      <c r="D28" s="36" t="s">
        <v>47</v>
      </c>
      <c r="E28" s="305"/>
      <c r="F28" s="305"/>
      <c r="G28" s="309"/>
      <c r="H28" s="305"/>
      <c r="I28" s="306"/>
      <c r="J28" s="259">
        <v>27493625.110000003</v>
      </c>
      <c r="K28" s="241">
        <v>-6339077.8499999931</v>
      </c>
      <c r="L28" s="242">
        <v>21154547.260000009</v>
      </c>
      <c r="M28" s="225"/>
      <c r="N28" s="50">
        <v>0</v>
      </c>
      <c r="O28" s="243">
        <v>21154547</v>
      </c>
      <c r="P28" s="51"/>
    </row>
    <row r="29" spans="1:16" s="311" customFormat="1">
      <c r="A29" s="301" t="s">
        <v>48</v>
      </c>
      <c r="B29" s="34" t="s">
        <v>38</v>
      </c>
      <c r="C29" s="312"/>
      <c r="D29" s="36" t="s">
        <v>49</v>
      </c>
      <c r="E29" s="305"/>
      <c r="F29" s="305"/>
      <c r="G29" s="309"/>
      <c r="H29" s="305"/>
      <c r="I29" s="306"/>
      <c r="J29" s="259">
        <v>16187667.899999999</v>
      </c>
      <c r="K29" s="241">
        <v>0</v>
      </c>
      <c r="L29" s="242">
        <v>16187667.899999999</v>
      </c>
      <c r="M29" s="225"/>
      <c r="N29" s="50">
        <v>0</v>
      </c>
      <c r="O29" s="243">
        <v>16187668</v>
      </c>
      <c r="P29" s="51"/>
    </row>
    <row r="30" spans="1:16" s="311" customFormat="1">
      <c r="A30" s="12" t="s">
        <v>50</v>
      </c>
      <c r="B30" s="72" t="s">
        <v>51</v>
      </c>
      <c r="C30" s="312"/>
      <c r="D30" s="36" t="s">
        <v>52</v>
      </c>
      <c r="E30" s="305"/>
      <c r="F30" s="305"/>
      <c r="G30" s="309"/>
      <c r="H30" s="305"/>
      <c r="I30" s="306"/>
      <c r="J30" s="260">
        <v>23372061.280000001</v>
      </c>
      <c r="K30" s="247">
        <v>0</v>
      </c>
      <c r="L30" s="248">
        <v>23372061.280000001</v>
      </c>
      <c r="M30" s="225"/>
      <c r="N30" s="58">
        <v>0</v>
      </c>
      <c r="O30" s="249">
        <v>23372061</v>
      </c>
      <c r="P30" s="51"/>
    </row>
    <row r="31" spans="1:16" s="311" customFormat="1">
      <c r="A31" s="301"/>
      <c r="B31" s="72"/>
      <c r="C31" s="312"/>
      <c r="D31" s="36"/>
      <c r="E31" s="305"/>
      <c r="F31" s="305"/>
      <c r="G31" s="309"/>
      <c r="H31" s="305"/>
      <c r="I31" s="306"/>
      <c r="J31" s="306"/>
      <c r="K31" s="306"/>
      <c r="L31" s="254"/>
      <c r="M31" s="73"/>
      <c r="N31" s="73"/>
      <c r="O31" s="224"/>
      <c r="P31" s="74"/>
    </row>
    <row r="32" spans="1:16" s="311" customFormat="1" ht="13.5" thickBot="1">
      <c r="A32" s="301" t="s">
        <v>53</v>
      </c>
      <c r="B32" s="72"/>
      <c r="C32" s="314"/>
      <c r="D32" s="315" t="s">
        <v>54</v>
      </c>
      <c r="E32" s="309"/>
      <c r="F32" s="305"/>
      <c r="G32" s="305"/>
      <c r="H32" s="305"/>
      <c r="I32" s="306"/>
      <c r="J32" s="251">
        <v>475247748.51999998</v>
      </c>
      <c r="K32" s="251">
        <v>-6266599.3499999931</v>
      </c>
      <c r="L32" s="252">
        <v>468981149</v>
      </c>
      <c r="M32" s="261"/>
      <c r="N32" s="251">
        <v>13071829</v>
      </c>
      <c r="O32" s="253">
        <v>482052978</v>
      </c>
      <c r="P32" s="68"/>
    </row>
    <row r="33" spans="1:16" s="311" customFormat="1" ht="13.5" thickTop="1">
      <c r="A33" s="12"/>
      <c r="B33" s="72"/>
      <c r="C33" s="312"/>
      <c r="D33" s="76"/>
      <c r="E33" s="305"/>
      <c r="F33" s="305"/>
      <c r="G33" s="309"/>
      <c r="H33" s="305"/>
      <c r="I33" s="306"/>
      <c r="J33" s="262"/>
      <c r="K33" s="306"/>
      <c r="L33" s="67"/>
      <c r="M33" s="59"/>
      <c r="N33" s="59"/>
      <c r="O33" s="189"/>
      <c r="P33" s="77"/>
    </row>
    <row r="34" spans="1:16" s="311" customFormat="1">
      <c r="A34" s="301"/>
      <c r="B34" s="72"/>
      <c r="C34" s="314"/>
      <c r="D34" s="315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309"/>
      <c r="F34" s="305"/>
      <c r="G34" s="305"/>
      <c r="H34" s="305"/>
      <c r="I34" s="306"/>
      <c r="J34" s="263">
        <v>-336457143.10000002</v>
      </c>
      <c r="K34" s="263">
        <v>3942688.3499999931</v>
      </c>
      <c r="L34" s="264">
        <v>-332514454</v>
      </c>
      <c r="M34" s="67"/>
      <c r="N34" s="263">
        <v>922079</v>
      </c>
      <c r="O34" s="265">
        <v>-331592375</v>
      </c>
      <c r="P34" s="68"/>
    </row>
    <row r="35" spans="1:16" s="311" customFormat="1">
      <c r="A35" s="12"/>
      <c r="B35" s="72"/>
      <c r="C35" s="314"/>
      <c r="D35" s="305"/>
      <c r="E35" s="305"/>
      <c r="F35" s="305"/>
      <c r="G35" s="305"/>
      <c r="H35" s="305"/>
      <c r="I35" s="306"/>
      <c r="J35" s="306"/>
      <c r="K35" s="306"/>
      <c r="L35" s="254"/>
      <c r="M35" s="78"/>
      <c r="N35" s="78"/>
      <c r="O35" s="224"/>
      <c r="P35" s="79"/>
    </row>
    <row r="36" spans="1:16" s="311" customFormat="1">
      <c r="A36" s="301"/>
      <c r="B36" s="72"/>
      <c r="C36" s="315" t="s">
        <v>55</v>
      </c>
      <c r="D36" s="309"/>
      <c r="E36" s="305"/>
      <c r="F36" s="305"/>
      <c r="G36" s="305"/>
      <c r="H36" s="305"/>
      <c r="I36" s="306"/>
      <c r="J36" s="306"/>
      <c r="K36" s="306"/>
      <c r="L36" s="255"/>
      <c r="M36" s="17"/>
      <c r="N36" s="16"/>
      <c r="O36" s="256"/>
      <c r="P36" s="18"/>
    </row>
    <row r="37" spans="1:16" s="311" customFormat="1">
      <c r="A37" s="12" t="s">
        <v>56</v>
      </c>
      <c r="B37" s="72" t="s">
        <v>57</v>
      </c>
      <c r="C37" s="76" t="s">
        <v>58</v>
      </c>
      <c r="D37" s="309"/>
      <c r="E37" s="305"/>
      <c r="F37" s="305"/>
      <c r="G37" s="309"/>
      <c r="H37" s="305"/>
      <c r="I37" s="306"/>
      <c r="J37" s="257">
        <v>181184795.44999999</v>
      </c>
      <c r="K37" s="223">
        <v>0</v>
      </c>
      <c r="L37" s="238">
        <v>181184795.44999999</v>
      </c>
      <c r="M37" s="49"/>
      <c r="N37" s="223">
        <v>0</v>
      </c>
      <c r="O37" s="239">
        <v>181184795</v>
      </c>
      <c r="P37" s="81"/>
    </row>
    <row r="38" spans="1:16" s="311" customFormat="1">
      <c r="A38" s="301" t="s">
        <v>59</v>
      </c>
      <c r="B38" s="72" t="s">
        <v>20</v>
      </c>
      <c r="C38" s="76" t="s">
        <v>60</v>
      </c>
      <c r="D38" s="309"/>
      <c r="E38" s="305"/>
      <c r="F38" s="305"/>
      <c r="G38" s="309"/>
      <c r="H38" s="305"/>
      <c r="I38" s="306"/>
      <c r="J38" s="259">
        <v>0</v>
      </c>
      <c r="K38" s="241">
        <v>0</v>
      </c>
      <c r="L38" s="242">
        <v>0</v>
      </c>
      <c r="M38" s="49"/>
      <c r="N38" s="80">
        <v>0</v>
      </c>
      <c r="O38" s="243">
        <v>0</v>
      </c>
      <c r="P38" s="81"/>
    </row>
    <row r="39" spans="1:16" s="311" customFormat="1">
      <c r="A39" s="12" t="s">
        <v>61</v>
      </c>
      <c r="B39" s="72" t="s">
        <v>20</v>
      </c>
      <c r="C39" s="76" t="s">
        <v>62</v>
      </c>
      <c r="D39" s="309"/>
      <c r="E39" s="305"/>
      <c r="F39" s="305"/>
      <c r="G39" s="309"/>
      <c r="H39" s="305"/>
      <c r="I39" s="306"/>
      <c r="J39" s="259">
        <v>140045344.38</v>
      </c>
      <c r="K39" s="223">
        <v>2323910.6</v>
      </c>
      <c r="L39" s="242">
        <v>142369254.97999999</v>
      </c>
      <c r="M39" s="49"/>
      <c r="N39" s="80">
        <v>0</v>
      </c>
      <c r="O39" s="243">
        <v>142369255</v>
      </c>
      <c r="P39" s="81"/>
    </row>
    <row r="40" spans="1:16" s="311" customFormat="1">
      <c r="A40" s="301" t="s">
        <v>63</v>
      </c>
      <c r="B40" s="72" t="s">
        <v>64</v>
      </c>
      <c r="C40" s="76" t="s">
        <v>65</v>
      </c>
      <c r="D40" s="309"/>
      <c r="E40" s="305"/>
      <c r="F40" s="305"/>
      <c r="G40" s="309"/>
      <c r="H40" s="305"/>
      <c r="I40" s="306"/>
      <c r="J40" s="259">
        <v>14171085.02</v>
      </c>
      <c r="K40" s="241">
        <v>0</v>
      </c>
      <c r="L40" s="242">
        <v>14171085.02</v>
      </c>
      <c r="M40" s="49"/>
      <c r="N40" s="80">
        <v>1015759</v>
      </c>
      <c r="O40" s="243">
        <v>15186844</v>
      </c>
      <c r="P40" s="81"/>
    </row>
    <row r="41" spans="1:16" s="311" customFormat="1">
      <c r="A41" s="12" t="s">
        <v>66</v>
      </c>
      <c r="B41" s="72" t="s">
        <v>64</v>
      </c>
      <c r="C41" s="35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316"/>
      <c r="E41" s="317"/>
      <c r="F41" s="317"/>
      <c r="G41" s="309"/>
      <c r="H41" s="305"/>
      <c r="I41" s="306"/>
      <c r="J41" s="259">
        <v>5612467.910000002</v>
      </c>
      <c r="K41" s="241">
        <v>0</v>
      </c>
      <c r="L41" s="242">
        <v>5612467.910000002</v>
      </c>
      <c r="M41" s="49"/>
      <c r="N41" s="80">
        <v>11720165</v>
      </c>
      <c r="O41" s="243">
        <v>17332633</v>
      </c>
      <c r="P41" s="81"/>
    </row>
    <row r="42" spans="1:16" s="311" customFormat="1">
      <c r="A42" s="301" t="s">
        <v>67</v>
      </c>
      <c r="B42" s="72" t="s">
        <v>31</v>
      </c>
      <c r="C42" s="76" t="s">
        <v>68</v>
      </c>
      <c r="D42" s="309"/>
      <c r="E42" s="305"/>
      <c r="F42" s="305"/>
      <c r="G42" s="309"/>
      <c r="H42" s="305"/>
      <c r="I42" s="306"/>
      <c r="J42" s="259">
        <v>35778.76</v>
      </c>
      <c r="K42" s="241">
        <v>0</v>
      </c>
      <c r="L42" s="242">
        <v>35778.76</v>
      </c>
      <c r="M42" s="49"/>
      <c r="N42" s="80">
        <v>0</v>
      </c>
      <c r="O42" s="243">
        <v>35779</v>
      </c>
      <c r="P42" s="81"/>
    </row>
    <row r="43" spans="1:16" s="311" customFormat="1">
      <c r="A43" s="12" t="s">
        <v>69</v>
      </c>
      <c r="B43" s="72" t="s">
        <v>70</v>
      </c>
      <c r="C43" s="7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09"/>
      <c r="E43" s="305"/>
      <c r="F43" s="305"/>
      <c r="G43" s="309"/>
      <c r="H43" s="305"/>
      <c r="I43" s="306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311" customFormat="1">
      <c r="A44" s="301" t="s">
        <v>71</v>
      </c>
      <c r="B44" s="72" t="s">
        <v>38</v>
      </c>
      <c r="C44" s="76" t="s">
        <v>72</v>
      </c>
      <c r="D44" s="309"/>
      <c r="E44" s="309"/>
      <c r="F44" s="309"/>
      <c r="G44" s="309"/>
      <c r="H44" s="309"/>
      <c r="I44" s="309"/>
      <c r="J44" s="240">
        <v>-15950</v>
      </c>
      <c r="K44" s="241">
        <v>0</v>
      </c>
      <c r="L44" s="242">
        <v>-15950</v>
      </c>
      <c r="M44" s="49"/>
      <c r="N44" s="80">
        <v>0</v>
      </c>
      <c r="O44" s="243">
        <v>-15950</v>
      </c>
      <c r="P44" s="81"/>
    </row>
    <row r="45" spans="1:16" s="311" customFormat="1">
      <c r="A45" s="12" t="s">
        <v>73</v>
      </c>
      <c r="B45" s="72" t="s">
        <v>38</v>
      </c>
      <c r="C45" s="76" t="s">
        <v>74</v>
      </c>
      <c r="D45" s="309"/>
      <c r="E45" s="305"/>
      <c r="F45" s="305"/>
      <c r="G45" s="309"/>
      <c r="H45" s="305"/>
      <c r="I45" s="306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311" customFormat="1">
      <c r="A46" s="301"/>
      <c r="B46" s="72"/>
      <c r="C46" s="353"/>
      <c r="D46" s="309"/>
      <c r="E46" s="309"/>
      <c r="F46" s="309"/>
      <c r="G46" s="309"/>
      <c r="H46" s="309"/>
      <c r="I46" s="309"/>
      <c r="J46" s="309"/>
      <c r="K46" s="309"/>
      <c r="L46" s="242"/>
      <c r="M46" s="84"/>
      <c r="N46" s="83"/>
      <c r="O46" s="243"/>
      <c r="P46" s="85"/>
    </row>
    <row r="47" spans="1:16" s="311" customFormat="1">
      <c r="A47" s="313" t="s">
        <v>75</v>
      </c>
      <c r="B47" s="53"/>
      <c r="C47" s="315" t="s">
        <v>76</v>
      </c>
      <c r="D47" s="309"/>
      <c r="E47" s="305"/>
      <c r="F47" s="305"/>
      <c r="G47" s="305"/>
      <c r="H47" s="305"/>
      <c r="I47" s="306"/>
      <c r="J47" s="263">
        <v>341033521.51999998</v>
      </c>
      <c r="K47" s="263">
        <v>2323910.6</v>
      </c>
      <c r="L47" s="264">
        <v>343357432</v>
      </c>
      <c r="M47" s="59"/>
      <c r="N47" s="263">
        <v>12735924</v>
      </c>
      <c r="O47" s="265">
        <v>356093356</v>
      </c>
      <c r="P47" s="68"/>
    </row>
    <row r="48" spans="1:16" s="310" customFormat="1">
      <c r="A48" s="313"/>
      <c r="B48" s="53"/>
      <c r="C48" s="352"/>
      <c r="D48" s="318"/>
      <c r="E48" s="306"/>
      <c r="F48" s="306"/>
      <c r="G48" s="306"/>
      <c r="H48" s="306"/>
      <c r="I48" s="306"/>
      <c r="J48" s="59"/>
      <c r="K48" s="59"/>
      <c r="L48" s="67"/>
      <c r="M48" s="59"/>
      <c r="N48" s="59"/>
      <c r="O48" s="189"/>
      <c r="P48" s="77"/>
    </row>
    <row r="49" spans="1:16" s="311" customFormat="1">
      <c r="A49" s="313"/>
      <c r="B49" s="53"/>
      <c r="C49" s="31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Before Other Revenues,</v>
      </c>
      <c r="D49" s="309"/>
      <c r="E49" s="309"/>
      <c r="F49" s="305"/>
      <c r="G49" s="305"/>
      <c r="H49" s="305"/>
      <c r="I49" s="306"/>
      <c r="J49" s="309"/>
      <c r="K49" s="309"/>
      <c r="L49" s="242"/>
      <c r="M49" s="309"/>
      <c r="N49" s="309"/>
      <c r="O49" s="243"/>
      <c r="P49" s="310"/>
    </row>
    <row r="50" spans="1:16" s="311" customFormat="1">
      <c r="A50" s="313"/>
      <c r="B50" s="53"/>
      <c r="C50" s="314"/>
      <c r="D50" s="308" t="s">
        <v>77</v>
      </c>
      <c r="E50" s="305"/>
      <c r="F50" s="305"/>
      <c r="G50" s="305"/>
      <c r="H50" s="305"/>
      <c r="I50" s="306"/>
      <c r="J50" s="263">
        <v>4576378.4199999571</v>
      </c>
      <c r="K50" s="263">
        <v>6266598.9499999937</v>
      </c>
      <c r="L50" s="264">
        <v>10842978</v>
      </c>
      <c r="M50" s="59"/>
      <c r="N50" s="263">
        <v>13658003</v>
      </c>
      <c r="O50" s="265">
        <v>24500981</v>
      </c>
      <c r="P50" s="68"/>
    </row>
    <row r="51" spans="1:16" s="311" customFormat="1">
      <c r="A51" s="313"/>
      <c r="B51" s="53"/>
      <c r="C51" s="314"/>
      <c r="D51" s="308"/>
      <c r="E51" s="305"/>
      <c r="F51" s="305"/>
      <c r="G51" s="305"/>
      <c r="H51" s="305"/>
      <c r="I51" s="306"/>
      <c r="J51" s="306"/>
      <c r="K51" s="306"/>
      <c r="L51" s="254"/>
      <c r="M51" s="17"/>
      <c r="N51" s="17"/>
      <c r="O51" s="224"/>
      <c r="P51" s="18"/>
    </row>
    <row r="52" spans="1:16" s="311" customFormat="1">
      <c r="A52" s="313" t="s">
        <v>78</v>
      </c>
      <c r="B52" s="53" t="s">
        <v>57</v>
      </c>
      <c r="C52" s="76" t="s">
        <v>79</v>
      </c>
      <c r="D52" s="309"/>
      <c r="E52" s="305"/>
      <c r="F52" s="305"/>
      <c r="G52" s="305"/>
      <c r="H52" s="309"/>
      <c r="I52" s="306"/>
      <c r="J52" s="257">
        <v>14136640</v>
      </c>
      <c r="K52" s="223">
        <v>0</v>
      </c>
      <c r="L52" s="238">
        <v>14136640</v>
      </c>
      <c r="M52" s="49"/>
      <c r="N52" s="223">
        <v>0</v>
      </c>
      <c r="O52" s="239">
        <v>14136640</v>
      </c>
      <c r="P52" s="81"/>
    </row>
    <row r="53" spans="1:16" s="311" customFormat="1">
      <c r="A53" s="313" t="s">
        <v>80</v>
      </c>
      <c r="B53" s="53" t="s">
        <v>81</v>
      </c>
      <c r="C53" s="76" t="s">
        <v>82</v>
      </c>
      <c r="D53" s="309"/>
      <c r="E53" s="305"/>
      <c r="F53" s="305"/>
      <c r="G53" s="305"/>
      <c r="H53" s="309"/>
      <c r="I53" s="306"/>
      <c r="J53" s="259">
        <v>21161512.369999997</v>
      </c>
      <c r="K53" s="241">
        <v>0</v>
      </c>
      <c r="L53" s="242">
        <v>21161512.369999997</v>
      </c>
      <c r="M53" s="225"/>
      <c r="N53" s="50">
        <v>0</v>
      </c>
      <c r="O53" s="243">
        <v>21161512</v>
      </c>
      <c r="P53" s="51"/>
    </row>
    <row r="54" spans="1:16">
      <c r="A54" s="313" t="s">
        <v>83</v>
      </c>
      <c r="B54" s="53" t="s">
        <v>84</v>
      </c>
      <c r="C54" s="314" t="s">
        <v>85</v>
      </c>
      <c r="D54" s="309"/>
      <c r="E54" s="305"/>
      <c r="F54" s="305"/>
      <c r="G54" s="305"/>
      <c r="H54" s="309"/>
      <c r="I54" s="306"/>
      <c r="J54" s="259">
        <v>1093380.03</v>
      </c>
      <c r="K54" s="241">
        <v>0</v>
      </c>
      <c r="L54" s="242">
        <v>1093380.03</v>
      </c>
      <c r="M54" s="225"/>
      <c r="N54" s="89">
        <v>0</v>
      </c>
      <c r="O54" s="243">
        <v>1093380</v>
      </c>
      <c r="P54" s="51"/>
    </row>
    <row r="55" spans="1:16">
      <c r="A55" s="313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09"/>
      <c r="E55" s="305"/>
      <c r="F55" s="305"/>
      <c r="G55" s="305"/>
      <c r="H55" s="309"/>
      <c r="I55" s="306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313"/>
      <c r="B56" s="53"/>
      <c r="C56" s="353"/>
      <c r="D56" s="309"/>
      <c r="E56" s="305"/>
      <c r="F56" s="305"/>
      <c r="G56" s="305"/>
      <c r="H56" s="305"/>
      <c r="I56" s="306"/>
      <c r="J56" s="83"/>
      <c r="K56" s="306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315" t="s">
        <v>88</v>
      </c>
      <c r="D57" s="309"/>
      <c r="E57" s="309"/>
      <c r="F57" s="305"/>
      <c r="G57" s="305"/>
      <c r="H57" s="305"/>
      <c r="I57" s="306"/>
      <c r="J57" s="251">
        <v>36391532.399999999</v>
      </c>
      <c r="K57" s="251">
        <v>0</v>
      </c>
      <c r="L57" s="253">
        <v>36391532</v>
      </c>
      <c r="M57" s="261"/>
      <c r="N57" s="251">
        <v>0</v>
      </c>
      <c r="O57" s="253">
        <v>36391532</v>
      </c>
      <c r="P57" s="91"/>
    </row>
    <row r="58" spans="1:16" ht="13.5" thickTop="1">
      <c r="A58" s="313"/>
      <c r="B58" s="53"/>
      <c r="C58" s="315"/>
      <c r="D58" s="309"/>
      <c r="E58" s="309"/>
      <c r="F58" s="305"/>
      <c r="G58" s="305"/>
      <c r="H58" s="305"/>
      <c r="I58" s="306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31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09"/>
      <c r="E59" s="309"/>
      <c r="F59" s="305"/>
      <c r="G59" s="305"/>
      <c r="H59" s="305"/>
      <c r="I59" s="306"/>
      <c r="J59" s="263">
        <v>40967910.819999956</v>
      </c>
      <c r="K59" s="263">
        <v>6266598.9499999937</v>
      </c>
      <c r="L59" s="265">
        <v>47234510</v>
      </c>
      <c r="M59" s="92"/>
      <c r="N59" s="263">
        <v>13658003</v>
      </c>
      <c r="O59" s="265">
        <v>60892513</v>
      </c>
      <c r="P59" s="91"/>
    </row>
    <row r="60" spans="1:16">
      <c r="A60" s="313"/>
      <c r="B60" s="53"/>
      <c r="C60" s="319"/>
      <c r="D60" s="309"/>
      <c r="E60" s="309"/>
      <c r="F60" s="305"/>
      <c r="G60" s="305"/>
      <c r="H60" s="305"/>
      <c r="I60" s="306"/>
      <c r="J60" s="306"/>
      <c r="K60" s="306"/>
      <c r="L60" s="94"/>
      <c r="M60" s="94"/>
      <c r="N60" s="94"/>
      <c r="O60" s="94"/>
      <c r="P60" s="95"/>
    </row>
    <row r="61" spans="1:16">
      <c r="A61" s="313" t="s">
        <v>89</v>
      </c>
      <c r="B61" s="53"/>
      <c r="C61" s="314" t="s">
        <v>90</v>
      </c>
      <c r="D61" s="309"/>
      <c r="E61" s="305"/>
      <c r="F61" s="305"/>
      <c r="G61" s="305"/>
      <c r="H61" s="305"/>
      <c r="I61" s="306"/>
      <c r="J61" s="96"/>
      <c r="K61" s="306"/>
      <c r="L61" s="96">
        <v>1367532444</v>
      </c>
      <c r="M61" s="49"/>
      <c r="N61" s="96">
        <v>119763514</v>
      </c>
      <c r="O61" s="240">
        <v>1487295958</v>
      </c>
      <c r="P61" s="97"/>
    </row>
    <row r="62" spans="1:16">
      <c r="A62" s="313" t="s">
        <v>91</v>
      </c>
      <c r="B62" s="53" t="s">
        <v>92</v>
      </c>
      <c r="C62" s="314" t="s">
        <v>93</v>
      </c>
      <c r="D62" s="309"/>
      <c r="E62" s="305"/>
      <c r="F62" s="305"/>
      <c r="G62" s="305"/>
      <c r="H62" s="305"/>
      <c r="I62" s="306"/>
      <c r="J62" s="306"/>
      <c r="K62" s="306"/>
      <c r="L62" s="82">
        <v>0</v>
      </c>
      <c r="M62" s="49"/>
      <c r="N62" s="82"/>
      <c r="O62" s="246">
        <v>0</v>
      </c>
      <c r="P62" s="81"/>
    </row>
    <row r="63" spans="1:16" s="64" customFormat="1">
      <c r="A63" s="313"/>
      <c r="B63" s="53"/>
      <c r="C63" s="7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35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1367532444</v>
      </c>
      <c r="M64" s="92"/>
      <c r="N64" s="90">
        <v>119763514</v>
      </c>
      <c r="O64" s="90">
        <v>1487295958</v>
      </c>
      <c r="P64" s="91"/>
    </row>
    <row r="65" spans="1:16" s="64" customFormat="1">
      <c r="A65" s="313"/>
      <c r="B65" s="53"/>
      <c r="C65" s="7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313"/>
      <c r="B66" s="53"/>
      <c r="C66" s="315" t="s">
        <v>95</v>
      </c>
      <c r="D66" s="309"/>
      <c r="E66" s="305"/>
      <c r="F66" s="305"/>
      <c r="G66" s="305"/>
      <c r="H66" s="305"/>
      <c r="I66" s="103"/>
      <c r="J66" s="103"/>
      <c r="K66" s="103"/>
      <c r="L66" s="251">
        <v>1414766954</v>
      </c>
      <c r="M66" s="105"/>
      <c r="N66" s="251">
        <v>133421517</v>
      </c>
      <c r="O66" s="251">
        <v>1548188471</v>
      </c>
      <c r="P66" s="46"/>
    </row>
    <row r="67" spans="1:16" ht="13.5" thickTop="1">
      <c r="A67" s="70"/>
      <c r="B67" s="53"/>
      <c r="C67" s="314"/>
      <c r="D67" s="305"/>
      <c r="E67" s="305"/>
      <c r="F67" s="305"/>
      <c r="G67" s="305"/>
      <c r="H67" s="305"/>
      <c r="I67" s="306"/>
      <c r="J67" s="306"/>
      <c r="K67" s="306"/>
      <c r="L67" s="107"/>
      <c r="M67" s="306"/>
      <c r="N67" s="107"/>
      <c r="O67" s="107"/>
      <c r="P67" s="108"/>
    </row>
    <row r="68" spans="1:16">
      <c r="A68" s="313"/>
      <c r="B68" s="53"/>
      <c r="C68" s="353" t="s">
        <v>96</v>
      </c>
      <c r="D68" s="309"/>
      <c r="E68" s="309"/>
      <c r="F68" s="309"/>
      <c r="G68" s="309"/>
      <c r="H68" s="309"/>
      <c r="I68" s="318"/>
      <c r="J68" s="318"/>
      <c r="K68" s="318"/>
      <c r="L68" s="309"/>
      <c r="M68" s="318"/>
      <c r="N68" s="309"/>
      <c r="O68" s="309"/>
      <c r="P68" s="310"/>
    </row>
    <row r="69" spans="1:16">
      <c r="B69" s="72"/>
      <c r="I69" s="302"/>
      <c r="J69" s="302"/>
      <c r="K69" s="302"/>
      <c r="L69" s="109">
        <f>L66-[18]SNP!M120</f>
        <v>5</v>
      </c>
      <c r="M69" s="110"/>
      <c r="N69" s="111">
        <f>N66-[18]SNP!O120</f>
        <v>-6</v>
      </c>
      <c r="O69" s="111">
        <f>O66-[18]SNP!P120</f>
        <v>-1</v>
      </c>
      <c r="P69" s="112"/>
    </row>
    <row r="70" spans="1:16">
      <c r="B70" s="72"/>
      <c r="I70" s="320" t="s">
        <v>97</v>
      </c>
      <c r="J70" s="320"/>
      <c r="K70" s="320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ellIs" dxfId="296" priority="10" operator="notEqual">
      <formula>K33</formula>
    </cfRule>
  </conditionalFormatting>
  <conditionalFormatting sqref="N37">
    <cfRule type="cellIs" dxfId="295" priority="5" operator="notEqual">
      <formula>N46</formula>
    </cfRule>
  </conditionalFormatting>
  <conditionalFormatting sqref="L69 N69">
    <cfRule type="cellIs" dxfId="294" priority="27" operator="notEqual">
      <formula>0</formula>
    </cfRule>
    <cfRule type="cellIs" dxfId="293" priority="28" operator="equal">
      <formula>0</formula>
    </cfRule>
  </conditionalFormatting>
  <conditionalFormatting sqref="F11:G11 N62 L62 N17:N18 N11:N15 L16 F17:G17 N24:N30 N37:N45 N52:N55">
    <cfRule type="containsBlanks" dxfId="292" priority="23">
      <formula>LEN(TRIM(F11))=0</formula>
    </cfRule>
    <cfRule type="cellIs" dxfId="291" priority="24" operator="notEqual">
      <formula>0</formula>
    </cfRule>
  </conditionalFormatting>
  <conditionalFormatting sqref="N11">
    <cfRule type="cellIs" dxfId="290" priority="22" operator="notEqual">
      <formula>N20</formula>
    </cfRule>
  </conditionalFormatting>
  <conditionalFormatting sqref="O69">
    <cfRule type="cellIs" dxfId="289" priority="18" operator="notEqual">
      <formula>0</formula>
    </cfRule>
    <cfRule type="cellIs" dxfId="288" priority="19" operator="equal">
      <formula>0</formula>
    </cfRule>
  </conditionalFormatting>
  <conditionalFormatting sqref="K11:K15 K17:K18">
    <cfRule type="containsBlanks" dxfId="287" priority="16">
      <formula>LEN(TRIM(K11))=0</formula>
    </cfRule>
    <cfRule type="cellIs" dxfId="286" priority="17" operator="notEqual">
      <formula>0</formula>
    </cfRule>
  </conditionalFormatting>
  <conditionalFormatting sqref="K11:K15 K17:K18">
    <cfRule type="cellIs" dxfId="285" priority="15" operator="notEqual">
      <formula>K20</formula>
    </cfRule>
  </conditionalFormatting>
  <conditionalFormatting sqref="K16">
    <cfRule type="containsBlanks" dxfId="284" priority="13">
      <formula>LEN(TRIM(K16))=0</formula>
    </cfRule>
    <cfRule type="cellIs" dxfId="283" priority="14" operator="notEqual">
      <formula>0</formula>
    </cfRule>
  </conditionalFormatting>
  <conditionalFormatting sqref="K52 K37 K24">
    <cfRule type="containsBlanks" dxfId="282" priority="11">
      <formula>LEN(TRIM(K24))=0</formula>
    </cfRule>
    <cfRule type="cellIs" dxfId="281" priority="12" operator="notEqual">
      <formula>0</formula>
    </cfRule>
  </conditionalFormatting>
  <conditionalFormatting sqref="K53:K55 K38 K25:K30 K40:K45">
    <cfRule type="containsBlanks" dxfId="280" priority="8">
      <formula>LEN(TRIM(K25))=0</formula>
    </cfRule>
    <cfRule type="cellIs" dxfId="279" priority="9" operator="notEqual">
      <formula>0</formula>
    </cfRule>
  </conditionalFormatting>
  <conditionalFormatting sqref="K53:K55 K38 K25:K30 K40:K45">
    <cfRule type="cellIs" dxfId="278" priority="7" operator="notEqual">
      <formula>K34</formula>
    </cfRule>
  </conditionalFormatting>
  <conditionalFormatting sqref="N24">
    <cfRule type="cellIs" dxfId="277" priority="6" operator="notEqual">
      <formula>N33</formula>
    </cfRule>
  </conditionalFormatting>
  <conditionalFormatting sqref="N52">
    <cfRule type="cellIs" dxfId="276" priority="4" operator="notEqual">
      <formula>N61</formula>
    </cfRule>
  </conditionalFormatting>
  <conditionalFormatting sqref="K39">
    <cfRule type="containsBlanks" dxfId="275" priority="2">
      <formula>LEN(TRIM(K39))=0</formula>
    </cfRule>
    <cfRule type="cellIs" dxfId="274" priority="3" operator="notEqual">
      <formula>0</formula>
    </cfRule>
  </conditionalFormatting>
  <conditionalFormatting sqref="K39">
    <cfRule type="cellIs" dxfId="273" priority="1" operator="notEqual">
      <formula>K48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42578125" style="1" hidden="1" customWidth="1"/>
    <col min="2" max="2" width="5.28515625" style="20" hidden="1" customWidth="1"/>
    <col min="3" max="3" width="2" style="140" customWidth="1"/>
    <col min="4" max="4" width="9.140625" style="6" customWidth="1"/>
    <col min="5" max="5" width="14.42578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342" t="s">
        <v>115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57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57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[19]SNP!$O$9</f>
        <v>Unit</v>
      </c>
      <c r="O7" s="26"/>
      <c r="P7" s="27"/>
    </row>
    <row r="8" spans="1:16">
      <c r="C8" s="65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57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49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49"/>
      <c r="D11" s="44" t="s">
        <v>18</v>
      </c>
      <c r="E11" s="35"/>
      <c r="F11" s="339">
        <v>1136788.76</v>
      </c>
      <c r="G11" s="339"/>
      <c r="H11" s="45"/>
      <c r="I11" s="36"/>
      <c r="J11" s="237">
        <v>1094071.73</v>
      </c>
      <c r="K11" s="223">
        <v>0</v>
      </c>
      <c r="L11" s="238">
        <v>1094071.73</v>
      </c>
      <c r="M11" s="224"/>
      <c r="N11" s="223">
        <v>0</v>
      </c>
      <c r="O11" s="239">
        <v>1094072</v>
      </c>
      <c r="P11" s="46"/>
    </row>
    <row r="12" spans="1:16" s="43" customFormat="1">
      <c r="A12" s="1" t="s">
        <v>19</v>
      </c>
      <c r="B12" s="34" t="s">
        <v>20</v>
      </c>
      <c r="C12" s="349"/>
      <c r="D12" s="36" t="s">
        <v>21</v>
      </c>
      <c r="E12" s="14"/>
      <c r="F12" s="48"/>
      <c r="G12" s="49"/>
      <c r="H12" s="15"/>
      <c r="I12" s="35"/>
      <c r="J12" s="240">
        <v>892033.7</v>
      </c>
      <c r="K12" s="241">
        <v>0</v>
      </c>
      <c r="L12" s="242">
        <v>892033.7</v>
      </c>
      <c r="M12" s="225"/>
      <c r="N12" s="50">
        <v>0</v>
      </c>
      <c r="O12" s="243">
        <v>892034</v>
      </c>
      <c r="P12" s="51"/>
    </row>
    <row r="13" spans="1:16" s="43" customFormat="1">
      <c r="A13" s="1" t="s">
        <v>22</v>
      </c>
      <c r="B13" s="34" t="s">
        <v>20</v>
      </c>
      <c r="C13" s="349"/>
      <c r="D13" s="36" t="s">
        <v>23</v>
      </c>
      <c r="E13" s="14"/>
      <c r="F13" s="48"/>
      <c r="G13" s="48"/>
      <c r="H13" s="14"/>
      <c r="I13" s="35"/>
      <c r="J13" s="240">
        <v>0</v>
      </c>
      <c r="K13" s="241">
        <v>0</v>
      </c>
      <c r="L13" s="242">
        <v>0</v>
      </c>
      <c r="M13" s="225"/>
      <c r="N13" s="50">
        <v>0</v>
      </c>
      <c r="O13" s="243">
        <v>0</v>
      </c>
      <c r="P13" s="51"/>
    </row>
    <row r="14" spans="1:16" s="43" customFormat="1">
      <c r="A14" s="1" t="s">
        <v>24</v>
      </c>
      <c r="B14" s="34" t="s">
        <v>20</v>
      </c>
      <c r="C14" s="349"/>
      <c r="D14" s="36" t="s">
        <v>25</v>
      </c>
      <c r="E14" s="14"/>
      <c r="F14" s="48"/>
      <c r="G14" s="48"/>
      <c r="H14" s="14"/>
      <c r="I14" s="35"/>
      <c r="J14" s="240">
        <v>0</v>
      </c>
      <c r="K14" s="241">
        <v>0</v>
      </c>
      <c r="L14" s="242">
        <v>0</v>
      </c>
      <c r="M14" s="225"/>
      <c r="N14" s="50">
        <v>228544</v>
      </c>
      <c r="O14" s="243">
        <v>228544</v>
      </c>
      <c r="P14" s="51"/>
    </row>
    <row r="15" spans="1:16" s="43" customFormat="1">
      <c r="A15" s="1" t="s">
        <v>26</v>
      </c>
      <c r="B15" s="34" t="s">
        <v>17</v>
      </c>
      <c r="C15" s="349"/>
      <c r="D15" s="36" t="s">
        <v>27</v>
      </c>
      <c r="E15" s="14"/>
      <c r="F15" s="48"/>
      <c r="G15" s="48"/>
      <c r="H15" s="35"/>
      <c r="I15" s="35"/>
      <c r="J15" s="240">
        <v>7364.6</v>
      </c>
      <c r="K15" s="241">
        <v>0</v>
      </c>
      <c r="L15" s="242">
        <v>7364.6</v>
      </c>
      <c r="M15" s="225"/>
      <c r="N15" s="50">
        <v>0</v>
      </c>
      <c r="O15" s="243">
        <v>7365</v>
      </c>
      <c r="P15" s="51"/>
    </row>
    <row r="16" spans="1:16" s="43" customFormat="1">
      <c r="A16" s="52"/>
      <c r="B16" s="53"/>
      <c r="C16" s="349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49"/>
      <c r="D17" s="44" t="s">
        <v>18</v>
      </c>
      <c r="E17" s="35"/>
      <c r="F17" s="339">
        <v>318877.14</v>
      </c>
      <c r="G17" s="339"/>
      <c r="H17" s="55"/>
      <c r="I17" s="35"/>
      <c r="J17" s="240">
        <v>137854.84</v>
      </c>
      <c r="K17" s="241">
        <v>0</v>
      </c>
      <c r="L17" s="242">
        <v>137854.84</v>
      </c>
      <c r="M17" s="225"/>
      <c r="N17" s="50">
        <v>0</v>
      </c>
      <c r="O17" s="243">
        <v>137855</v>
      </c>
      <c r="P17" s="51"/>
    </row>
    <row r="18" spans="1:16" s="43" customFormat="1">
      <c r="A18" s="52" t="s">
        <v>30</v>
      </c>
      <c r="B18" s="56" t="s">
        <v>31</v>
      </c>
      <c r="C18" s="349"/>
      <c r="D18" s="57" t="s">
        <v>32</v>
      </c>
      <c r="E18" s="14"/>
      <c r="F18" s="14"/>
      <c r="G18" s="14"/>
      <c r="H18" s="14"/>
      <c r="I18" s="36"/>
      <c r="J18" s="246">
        <v>328292.69999999995</v>
      </c>
      <c r="K18" s="247">
        <v>0</v>
      </c>
      <c r="L18" s="248">
        <v>328292.69999999995</v>
      </c>
      <c r="M18" s="225"/>
      <c r="N18" s="58">
        <v>143473</v>
      </c>
      <c r="O18" s="249">
        <v>471766</v>
      </c>
      <c r="P18" s="51"/>
    </row>
    <row r="19" spans="1:16" s="64" customFormat="1">
      <c r="A19" s="52"/>
      <c r="B19" s="56"/>
      <c r="C19" s="7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49"/>
      <c r="D20" s="65" t="s">
        <v>34</v>
      </c>
      <c r="E20" s="35"/>
      <c r="F20" s="14"/>
      <c r="G20" s="14"/>
      <c r="H20" s="14"/>
      <c r="I20" s="15"/>
      <c r="J20" s="251">
        <v>2459617.5700000003</v>
      </c>
      <c r="K20" s="251">
        <v>0</v>
      </c>
      <c r="L20" s="252">
        <v>2459619</v>
      </c>
      <c r="M20" s="67"/>
      <c r="N20" s="251">
        <v>372017</v>
      </c>
      <c r="O20" s="253">
        <v>2831636</v>
      </c>
      <c r="P20" s="68"/>
    </row>
    <row r="21" spans="1:16" s="43" customFormat="1" ht="13.5" thickTop="1">
      <c r="A21" s="52"/>
      <c r="B21" s="56"/>
      <c r="C21" s="57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65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57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7623028.0299999993</v>
      </c>
      <c r="K24" s="223">
        <v>0</v>
      </c>
      <c r="L24" s="258">
        <v>7623028.0299999993</v>
      </c>
      <c r="M24" s="225"/>
      <c r="N24" s="223">
        <v>112789</v>
      </c>
      <c r="O24" s="239">
        <v>7735817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1443197.9300000002</v>
      </c>
      <c r="K25" s="241"/>
      <c r="L25" s="242">
        <v>1443197.9300000002</v>
      </c>
      <c r="M25" s="225"/>
      <c r="N25" s="50">
        <v>275411</v>
      </c>
      <c r="O25" s="243">
        <v>1718609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534792.65</v>
      </c>
      <c r="K26" s="241">
        <v>0</v>
      </c>
      <c r="L26" s="242">
        <v>534792.65</v>
      </c>
      <c r="M26" s="225"/>
      <c r="N26" s="50">
        <v>870</v>
      </c>
      <c r="O26" s="243">
        <v>535663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984968.5900000002</v>
      </c>
      <c r="K27" s="241">
        <v>0</v>
      </c>
      <c r="L27" s="242">
        <v>984968.5900000002</v>
      </c>
      <c r="M27" s="225"/>
      <c r="N27" s="50">
        <v>15750</v>
      </c>
      <c r="O27" s="243">
        <v>1000719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761026.69000000006</v>
      </c>
      <c r="K28" s="241">
        <v>0</v>
      </c>
      <c r="L28" s="242">
        <v>761026.69000000006</v>
      </c>
      <c r="M28" s="225"/>
      <c r="N28" s="50">
        <v>29294</v>
      </c>
      <c r="O28" s="243">
        <v>790321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1067301.3999999999</v>
      </c>
      <c r="K29" s="241"/>
      <c r="L29" s="242">
        <v>1067301.3999999999</v>
      </c>
      <c r="M29" s="225"/>
      <c r="N29" s="50">
        <v>2097</v>
      </c>
      <c r="O29" s="243">
        <v>1069398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876756.41</v>
      </c>
      <c r="K30" s="247">
        <v>0</v>
      </c>
      <c r="L30" s="248">
        <v>876756.41</v>
      </c>
      <c r="M30" s="225"/>
      <c r="N30" s="58">
        <v>0</v>
      </c>
      <c r="O30" s="249">
        <v>876756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57"/>
      <c r="D32" s="65" t="s">
        <v>54</v>
      </c>
      <c r="E32" s="35"/>
      <c r="F32" s="14"/>
      <c r="G32" s="14"/>
      <c r="H32" s="14"/>
      <c r="I32" s="15"/>
      <c r="J32" s="251">
        <v>13291071.699999999</v>
      </c>
      <c r="K32" s="251">
        <v>0</v>
      </c>
      <c r="L32" s="252">
        <v>13291072</v>
      </c>
      <c r="M32" s="261"/>
      <c r="N32" s="251">
        <v>436211</v>
      </c>
      <c r="O32" s="253">
        <v>13727283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57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-10831454.129999999</v>
      </c>
      <c r="K34" s="263">
        <v>0</v>
      </c>
      <c r="L34" s="264">
        <v>-10831453</v>
      </c>
      <c r="M34" s="67"/>
      <c r="N34" s="263">
        <v>-64194</v>
      </c>
      <c r="O34" s="265">
        <v>-10895647</v>
      </c>
      <c r="P34" s="68"/>
    </row>
    <row r="35" spans="1:16" s="43" customFormat="1">
      <c r="A35" s="12"/>
      <c r="B35" s="72"/>
      <c r="C35" s="57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65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76" t="s">
        <v>58</v>
      </c>
      <c r="D37" s="35"/>
      <c r="E37" s="14"/>
      <c r="F37" s="14"/>
      <c r="G37" s="35"/>
      <c r="H37" s="14"/>
      <c r="I37" s="15"/>
      <c r="J37" s="257">
        <v>8465243.4100000001</v>
      </c>
      <c r="K37" s="223">
        <v>0</v>
      </c>
      <c r="L37" s="238">
        <v>8465243.4100000001</v>
      </c>
      <c r="M37" s="49"/>
      <c r="N37" s="223">
        <v>0</v>
      </c>
      <c r="O37" s="239">
        <v>8465243</v>
      </c>
      <c r="P37" s="81"/>
    </row>
    <row r="38" spans="1:16" s="43" customFormat="1">
      <c r="A38" s="1" t="s">
        <v>59</v>
      </c>
      <c r="B38" s="72" t="s">
        <v>20</v>
      </c>
      <c r="C38" s="76" t="s">
        <v>60</v>
      </c>
      <c r="D38" s="35"/>
      <c r="E38" s="14"/>
      <c r="F38" s="14"/>
      <c r="G38" s="35"/>
      <c r="H38" s="14"/>
      <c r="I38" s="15"/>
      <c r="J38" s="259">
        <v>198372.1</v>
      </c>
      <c r="K38" s="241">
        <v>0</v>
      </c>
      <c r="L38" s="242">
        <v>198372.1</v>
      </c>
      <c r="M38" s="49"/>
      <c r="N38" s="80">
        <v>0</v>
      </c>
      <c r="O38" s="243">
        <v>198372</v>
      </c>
      <c r="P38" s="81"/>
    </row>
    <row r="39" spans="1:16" s="43" customFormat="1">
      <c r="A39" s="12" t="s">
        <v>61</v>
      </c>
      <c r="B39" s="72" t="s">
        <v>20</v>
      </c>
      <c r="C39" s="76" t="s">
        <v>62</v>
      </c>
      <c r="D39" s="35"/>
      <c r="E39" s="14"/>
      <c r="F39" s="14"/>
      <c r="G39" s="35"/>
      <c r="H39" s="14"/>
      <c r="I39" s="15"/>
      <c r="J39" s="259">
        <v>2095669.4299999997</v>
      </c>
      <c r="K39" s="241">
        <v>0</v>
      </c>
      <c r="L39" s="242">
        <v>2095669.4299999997</v>
      </c>
      <c r="M39" s="49"/>
      <c r="N39" s="80">
        <v>0</v>
      </c>
      <c r="O39" s="243">
        <v>2095669</v>
      </c>
      <c r="P39" s="81"/>
    </row>
    <row r="40" spans="1:16" s="43" customFormat="1">
      <c r="A40" s="1" t="s">
        <v>63</v>
      </c>
      <c r="B40" s="72" t="s">
        <v>64</v>
      </c>
      <c r="C40" s="76" t="s">
        <v>65</v>
      </c>
      <c r="D40" s="35"/>
      <c r="E40" s="14"/>
      <c r="F40" s="14"/>
      <c r="G40" s="35"/>
      <c r="H40" s="14"/>
      <c r="I40" s="15"/>
      <c r="J40" s="259">
        <v>56076.35</v>
      </c>
      <c r="K40" s="241">
        <v>0</v>
      </c>
      <c r="L40" s="242">
        <v>56076.35</v>
      </c>
      <c r="M40" s="49"/>
      <c r="N40" s="80">
        <v>236554</v>
      </c>
      <c r="O40" s="243">
        <v>292630</v>
      </c>
      <c r="P40" s="81"/>
    </row>
    <row r="41" spans="1:16" s="43" customFormat="1">
      <c r="A41" s="12" t="s">
        <v>66</v>
      </c>
      <c r="B41" s="72" t="s">
        <v>64</v>
      </c>
      <c r="C41" s="35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67"/>
      <c r="E41" s="268"/>
      <c r="F41" s="268"/>
      <c r="G41" s="35"/>
      <c r="H41" s="14"/>
      <c r="I41" s="15"/>
      <c r="J41" s="259">
        <v>5166</v>
      </c>
      <c r="K41" s="241">
        <v>0</v>
      </c>
      <c r="L41" s="242">
        <v>5166</v>
      </c>
      <c r="M41" s="49"/>
      <c r="N41" s="80">
        <v>0</v>
      </c>
      <c r="O41" s="243">
        <v>5166</v>
      </c>
      <c r="P41" s="81"/>
    </row>
    <row r="42" spans="1:16" s="43" customFormat="1">
      <c r="A42" s="1" t="s">
        <v>67</v>
      </c>
      <c r="B42" s="72" t="s">
        <v>31</v>
      </c>
      <c r="C42" s="7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0</v>
      </c>
      <c r="O42" s="243">
        <v>0</v>
      </c>
      <c r="P42" s="81"/>
    </row>
    <row r="43" spans="1:16" s="43" customFormat="1">
      <c r="A43" s="12" t="s">
        <v>69</v>
      </c>
      <c r="B43" s="72" t="s">
        <v>70</v>
      </c>
      <c r="C43" s="7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76" t="s">
        <v>72</v>
      </c>
      <c r="D44" s="35"/>
      <c r="E44" s="35"/>
      <c r="F44" s="35"/>
      <c r="G44" s="35"/>
      <c r="H44" s="35"/>
      <c r="I44" s="35"/>
      <c r="J44" s="240">
        <v>0</v>
      </c>
      <c r="K44" s="241">
        <v>0</v>
      </c>
      <c r="L44" s="242">
        <v>0</v>
      </c>
      <c r="M44" s="49"/>
      <c r="N44" s="80">
        <v>0</v>
      </c>
      <c r="O44" s="243">
        <v>0</v>
      </c>
      <c r="P44" s="81"/>
    </row>
    <row r="45" spans="1:16" s="43" customFormat="1">
      <c r="A45" s="12" t="s">
        <v>73</v>
      </c>
      <c r="B45" s="72" t="s">
        <v>38</v>
      </c>
      <c r="C45" s="7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49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65" t="s">
        <v>76</v>
      </c>
      <c r="D47" s="35"/>
      <c r="E47" s="14"/>
      <c r="F47" s="14"/>
      <c r="G47" s="14"/>
      <c r="H47" s="14"/>
      <c r="I47" s="15"/>
      <c r="J47" s="263">
        <v>10820527.289999999</v>
      </c>
      <c r="K47" s="263">
        <v>0</v>
      </c>
      <c r="L47" s="264">
        <v>10820526</v>
      </c>
      <c r="M47" s="59"/>
      <c r="N47" s="263">
        <v>236554</v>
      </c>
      <c r="O47" s="265">
        <v>11057080</v>
      </c>
      <c r="P47" s="68"/>
    </row>
    <row r="48" spans="1:16" s="37" customFormat="1">
      <c r="A48" s="52"/>
      <c r="B48" s="53"/>
      <c r="C48" s="344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57"/>
      <c r="D50" s="29" t="s">
        <v>77</v>
      </c>
      <c r="E50" s="14"/>
      <c r="F50" s="14"/>
      <c r="G50" s="14"/>
      <c r="H50" s="14"/>
      <c r="I50" s="15"/>
      <c r="J50" s="263">
        <v>-10926.839999999851</v>
      </c>
      <c r="K50" s="263">
        <v>0</v>
      </c>
      <c r="L50" s="264">
        <v>-10927</v>
      </c>
      <c r="M50" s="59"/>
      <c r="N50" s="263">
        <v>172360</v>
      </c>
      <c r="O50" s="265">
        <v>161433</v>
      </c>
      <c r="P50" s="68"/>
    </row>
    <row r="51" spans="1:16" s="43" customFormat="1">
      <c r="A51" s="52"/>
      <c r="B51" s="53"/>
      <c r="C51" s="57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76" t="s">
        <v>79</v>
      </c>
      <c r="D52" s="35"/>
      <c r="E52" s="14"/>
      <c r="F52" s="14"/>
      <c r="G52" s="14"/>
      <c r="H52" s="35"/>
      <c r="I52" s="15"/>
      <c r="J52" s="257">
        <v>337478.19</v>
      </c>
      <c r="K52" s="223">
        <v>0</v>
      </c>
      <c r="L52" s="238">
        <v>337478.19</v>
      </c>
      <c r="M52" s="49"/>
      <c r="N52" s="223">
        <v>0</v>
      </c>
      <c r="O52" s="239">
        <v>337478</v>
      </c>
      <c r="P52" s="81"/>
    </row>
    <row r="53" spans="1:16" s="43" customFormat="1">
      <c r="A53" s="52" t="s">
        <v>80</v>
      </c>
      <c r="B53" s="53" t="s">
        <v>81</v>
      </c>
      <c r="C53" s="76" t="s">
        <v>82</v>
      </c>
      <c r="D53" s="35"/>
      <c r="E53" s="14"/>
      <c r="F53" s="14"/>
      <c r="G53" s="14"/>
      <c r="H53" s="35"/>
      <c r="I53" s="15"/>
      <c r="J53" s="259">
        <v>171842.07</v>
      </c>
      <c r="K53" s="241">
        <v>0</v>
      </c>
      <c r="L53" s="242">
        <v>171842.07</v>
      </c>
      <c r="M53" s="225"/>
      <c r="N53" s="50">
        <v>0</v>
      </c>
      <c r="O53" s="243">
        <v>171842</v>
      </c>
      <c r="P53" s="51"/>
    </row>
    <row r="54" spans="1:16">
      <c r="A54" s="52" t="s">
        <v>83</v>
      </c>
      <c r="B54" s="53" t="s">
        <v>84</v>
      </c>
      <c r="C54" s="57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49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65" t="s">
        <v>88</v>
      </c>
      <c r="D57" s="35"/>
      <c r="E57" s="35"/>
      <c r="F57" s="14"/>
      <c r="G57" s="14"/>
      <c r="H57" s="14"/>
      <c r="I57" s="15"/>
      <c r="J57" s="251">
        <v>509320.26</v>
      </c>
      <c r="K57" s="251">
        <v>0</v>
      </c>
      <c r="L57" s="253">
        <v>509320</v>
      </c>
      <c r="M57" s="261"/>
      <c r="N57" s="251">
        <v>0</v>
      </c>
      <c r="O57" s="253">
        <v>509320</v>
      </c>
      <c r="P57" s="91"/>
    </row>
    <row r="58" spans="1:16" ht="13.5" thickTop="1">
      <c r="A58" s="52"/>
      <c r="B58" s="53"/>
      <c r="C58" s="65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498393.42000000016</v>
      </c>
      <c r="K59" s="263">
        <v>0</v>
      </c>
      <c r="L59" s="265">
        <v>498393</v>
      </c>
      <c r="M59" s="92"/>
      <c r="N59" s="263">
        <v>172360</v>
      </c>
      <c r="O59" s="265">
        <v>670753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57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25159927.030000001</v>
      </c>
      <c r="M61" s="49"/>
      <c r="N61" s="96">
        <v>3663263</v>
      </c>
      <c r="O61" s="240">
        <v>28823190</v>
      </c>
      <c r="P61" s="97"/>
    </row>
    <row r="62" spans="1:16">
      <c r="A62" s="52" t="s">
        <v>91</v>
      </c>
      <c r="B62" s="53" t="s">
        <v>92</v>
      </c>
      <c r="C62" s="57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7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35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25159927</v>
      </c>
      <c r="M64" s="92"/>
      <c r="N64" s="90">
        <v>3663263</v>
      </c>
      <c r="O64" s="90">
        <v>28823190</v>
      </c>
      <c r="P64" s="91"/>
    </row>
    <row r="65" spans="1:16" s="64" customFormat="1">
      <c r="A65" s="52"/>
      <c r="B65" s="53"/>
      <c r="C65" s="7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65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25658320</v>
      </c>
      <c r="M66" s="105"/>
      <c r="N66" s="251">
        <v>3835623</v>
      </c>
      <c r="O66" s="251">
        <v>29493943</v>
      </c>
      <c r="P66" s="46"/>
    </row>
    <row r="67" spans="1:16" ht="13.5" thickTop="1">
      <c r="A67" s="70"/>
      <c r="B67" s="53"/>
      <c r="C67" s="57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49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L66-[19]SNP!M120</f>
        <v>0</v>
      </c>
      <c r="M69" s="110"/>
      <c r="N69" s="111">
        <f>N66-[19]SNP!O120</f>
        <v>0</v>
      </c>
      <c r="O69" s="111">
        <f>O66-[19]SNP!P120</f>
        <v>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272" priority="24" operator="notEqual">
      <formula>0</formula>
    </cfRule>
    <cfRule type="cellIs" dxfId="271" priority="25" operator="equal">
      <formula>0</formula>
    </cfRule>
  </conditionalFormatting>
  <conditionalFormatting sqref="F11:G11 N62 L62 N17:N18 N11:N15 L16 F17:G17 N24:N30 N37:N45 N52:N55">
    <cfRule type="containsBlanks" dxfId="270" priority="20">
      <formula>LEN(TRIM(F11))=0</formula>
    </cfRule>
    <cfRule type="cellIs" dxfId="269" priority="21" operator="notEqual">
      <formula>0</formula>
    </cfRule>
  </conditionalFormatting>
  <conditionalFormatting sqref="N11">
    <cfRule type="cellIs" dxfId="268" priority="19" operator="notEqual">
      <formula>N20</formula>
    </cfRule>
  </conditionalFormatting>
  <conditionalFormatting sqref="O69">
    <cfRule type="cellIs" dxfId="267" priority="15" operator="notEqual">
      <formula>0</formula>
    </cfRule>
    <cfRule type="cellIs" dxfId="266" priority="16" operator="equal">
      <formula>0</formula>
    </cfRule>
  </conditionalFormatting>
  <conditionalFormatting sqref="K11:K15 K17:K18">
    <cfRule type="containsBlanks" dxfId="265" priority="13">
      <formula>LEN(TRIM(K11))=0</formula>
    </cfRule>
    <cfRule type="cellIs" dxfId="264" priority="14" operator="notEqual">
      <formula>0</formula>
    </cfRule>
  </conditionalFormatting>
  <conditionalFormatting sqref="K11:K15 K17:K18">
    <cfRule type="cellIs" dxfId="263" priority="12" operator="notEqual">
      <formula>K20</formula>
    </cfRule>
  </conditionalFormatting>
  <conditionalFormatting sqref="K16">
    <cfRule type="containsBlanks" dxfId="262" priority="10">
      <formula>LEN(TRIM(K16))=0</formula>
    </cfRule>
    <cfRule type="cellIs" dxfId="261" priority="11" operator="notEqual">
      <formula>0</formula>
    </cfRule>
  </conditionalFormatting>
  <conditionalFormatting sqref="K52 K37 K24">
    <cfRule type="containsBlanks" dxfId="260" priority="8">
      <formula>LEN(TRIM(K24))=0</formula>
    </cfRule>
    <cfRule type="cellIs" dxfId="259" priority="9" operator="notEqual">
      <formula>0</formula>
    </cfRule>
  </conditionalFormatting>
  <conditionalFormatting sqref="K52 K37 K24">
    <cfRule type="cellIs" dxfId="258" priority="7" operator="notEqual">
      <formula>K33</formula>
    </cfRule>
  </conditionalFormatting>
  <conditionalFormatting sqref="K53:K55 K38:K45 K25:K30">
    <cfRule type="containsBlanks" dxfId="257" priority="5">
      <formula>LEN(TRIM(K25))=0</formula>
    </cfRule>
    <cfRule type="cellIs" dxfId="256" priority="6" operator="notEqual">
      <formula>0</formula>
    </cfRule>
  </conditionalFormatting>
  <conditionalFormatting sqref="K53:K55 K38:K45 K25:K30">
    <cfRule type="cellIs" dxfId="255" priority="4" operator="notEqual">
      <formula>K34</formula>
    </cfRule>
  </conditionalFormatting>
  <conditionalFormatting sqref="N24">
    <cfRule type="cellIs" dxfId="254" priority="3" operator="notEqual">
      <formula>N33</formula>
    </cfRule>
  </conditionalFormatting>
  <conditionalFormatting sqref="N37">
    <cfRule type="cellIs" dxfId="253" priority="2" operator="notEqual">
      <formula>N46</formula>
    </cfRule>
  </conditionalFormatting>
  <conditionalFormatting sqref="N52">
    <cfRule type="cellIs" dxfId="252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140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.855468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116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57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57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[20]SNP!$O$9</f>
        <v>Unit</v>
      </c>
      <c r="O7" s="26"/>
      <c r="P7" s="27"/>
    </row>
    <row r="8" spans="1:16">
      <c r="C8" s="65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57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49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49"/>
      <c r="D11" s="44" t="s">
        <v>18</v>
      </c>
      <c r="E11" s="35"/>
      <c r="F11" s="339">
        <v>3355356.1</v>
      </c>
      <c r="G11" s="339"/>
      <c r="H11" s="45"/>
      <c r="I11" s="36"/>
      <c r="J11" s="237">
        <v>8185775.5599999987</v>
      </c>
      <c r="K11" s="223">
        <v>0</v>
      </c>
      <c r="L11" s="238">
        <v>8185775.5599999987</v>
      </c>
      <c r="M11" s="224"/>
      <c r="N11" s="223">
        <v>0</v>
      </c>
      <c r="O11" s="239">
        <v>8185776</v>
      </c>
      <c r="P11" s="46"/>
    </row>
    <row r="12" spans="1:16" s="43" customFormat="1">
      <c r="A12" s="1" t="s">
        <v>19</v>
      </c>
      <c r="B12" s="34" t="s">
        <v>20</v>
      </c>
      <c r="C12" s="349"/>
      <c r="D12" s="36" t="s">
        <v>21</v>
      </c>
      <c r="E12" s="14"/>
      <c r="F12" s="48"/>
      <c r="G12" s="49"/>
      <c r="H12" s="15"/>
      <c r="I12" s="35"/>
      <c r="J12" s="240">
        <v>1107097.19</v>
      </c>
      <c r="K12" s="241">
        <v>0</v>
      </c>
      <c r="L12" s="242">
        <v>1107097.19</v>
      </c>
      <c r="M12" s="225"/>
      <c r="N12" s="50">
        <v>0</v>
      </c>
      <c r="O12" s="243">
        <v>1107097</v>
      </c>
      <c r="P12" s="51"/>
    </row>
    <row r="13" spans="1:16" s="43" customFormat="1">
      <c r="A13" s="1" t="s">
        <v>22</v>
      </c>
      <c r="B13" s="34" t="s">
        <v>20</v>
      </c>
      <c r="C13" s="349"/>
      <c r="D13" s="36" t="s">
        <v>23</v>
      </c>
      <c r="E13" s="14"/>
      <c r="F13" s="48"/>
      <c r="G13" s="48"/>
      <c r="H13" s="14"/>
      <c r="I13" s="35"/>
      <c r="J13" s="240">
        <v>25000</v>
      </c>
      <c r="K13" s="241">
        <v>0</v>
      </c>
      <c r="L13" s="242">
        <v>25000</v>
      </c>
      <c r="M13" s="225"/>
      <c r="N13" s="50">
        <v>0</v>
      </c>
      <c r="O13" s="243">
        <v>25000</v>
      </c>
      <c r="P13" s="51"/>
    </row>
    <row r="14" spans="1:16" s="43" customFormat="1">
      <c r="A14" s="1" t="s">
        <v>24</v>
      </c>
      <c r="B14" s="34" t="s">
        <v>20</v>
      </c>
      <c r="C14" s="349"/>
      <c r="D14" s="36" t="s">
        <v>25</v>
      </c>
      <c r="E14" s="14"/>
      <c r="F14" s="48"/>
      <c r="G14" s="48"/>
      <c r="H14" s="14"/>
      <c r="I14" s="35"/>
      <c r="J14" s="240">
        <v>0</v>
      </c>
      <c r="K14" s="241">
        <v>0</v>
      </c>
      <c r="L14" s="242">
        <v>0</v>
      </c>
      <c r="M14" s="225"/>
      <c r="N14" s="50">
        <v>0</v>
      </c>
      <c r="O14" s="243">
        <v>0</v>
      </c>
      <c r="P14" s="51"/>
    </row>
    <row r="15" spans="1:16" s="43" customFormat="1">
      <c r="A15" s="1" t="s">
        <v>26</v>
      </c>
      <c r="B15" s="34" t="s">
        <v>17</v>
      </c>
      <c r="C15" s="349"/>
      <c r="D15" s="36" t="s">
        <v>27</v>
      </c>
      <c r="E15" s="14"/>
      <c r="F15" s="48"/>
      <c r="G15" s="48"/>
      <c r="H15" s="35"/>
      <c r="I15" s="35"/>
      <c r="J15" s="240">
        <v>196343.76</v>
      </c>
      <c r="K15" s="241">
        <v>0</v>
      </c>
      <c r="L15" s="242">
        <v>196343.76</v>
      </c>
      <c r="M15" s="225"/>
      <c r="N15" s="50">
        <v>0</v>
      </c>
      <c r="O15" s="243">
        <v>196344</v>
      </c>
      <c r="P15" s="51"/>
    </row>
    <row r="16" spans="1:16" s="43" customFormat="1">
      <c r="A16" s="52"/>
      <c r="B16" s="53"/>
      <c r="C16" s="349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49"/>
      <c r="D17" s="44" t="s">
        <v>18</v>
      </c>
      <c r="E17" s="35"/>
      <c r="F17" s="339">
        <v>0</v>
      </c>
      <c r="G17" s="339"/>
      <c r="H17" s="55"/>
      <c r="I17" s="35"/>
      <c r="J17" s="240">
        <v>1485843.62</v>
      </c>
      <c r="K17" s="241">
        <v>0</v>
      </c>
      <c r="L17" s="242">
        <v>1485843.62</v>
      </c>
      <c r="M17" s="225"/>
      <c r="N17" s="50">
        <v>0</v>
      </c>
      <c r="O17" s="243">
        <v>1485844</v>
      </c>
      <c r="P17" s="51"/>
    </row>
    <row r="18" spans="1:16" s="43" customFormat="1">
      <c r="A18" s="52" t="s">
        <v>30</v>
      </c>
      <c r="B18" s="56" t="s">
        <v>31</v>
      </c>
      <c r="C18" s="349"/>
      <c r="D18" s="57" t="s">
        <v>32</v>
      </c>
      <c r="E18" s="14"/>
      <c r="F18" s="14"/>
      <c r="G18" s="14"/>
      <c r="H18" s="14"/>
      <c r="I18" s="36"/>
      <c r="J18" s="246">
        <v>446864.17000000004</v>
      </c>
      <c r="K18" s="247">
        <v>0</v>
      </c>
      <c r="L18" s="248">
        <v>446864.17000000004</v>
      </c>
      <c r="M18" s="225"/>
      <c r="N18" s="58">
        <v>619052</v>
      </c>
      <c r="O18" s="249">
        <v>1065916</v>
      </c>
      <c r="P18" s="51"/>
    </row>
    <row r="19" spans="1:16" s="64" customFormat="1">
      <c r="A19" s="52"/>
      <c r="B19" s="56"/>
      <c r="C19" s="7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49"/>
      <c r="D20" s="65" t="s">
        <v>34</v>
      </c>
      <c r="E20" s="35"/>
      <c r="F20" s="14"/>
      <c r="G20" s="14"/>
      <c r="H20" s="14"/>
      <c r="I20" s="15"/>
      <c r="J20" s="251">
        <v>11446924.299999999</v>
      </c>
      <c r="K20" s="251">
        <v>0</v>
      </c>
      <c r="L20" s="252">
        <v>11446925</v>
      </c>
      <c r="M20" s="67"/>
      <c r="N20" s="251">
        <v>619052</v>
      </c>
      <c r="O20" s="253">
        <v>12065977</v>
      </c>
      <c r="P20" s="68"/>
    </row>
    <row r="21" spans="1:16" s="43" customFormat="1" ht="13.5" thickTop="1">
      <c r="A21" s="52"/>
      <c r="B21" s="56"/>
      <c r="C21" s="57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65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57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26182654.260000002</v>
      </c>
      <c r="K24" s="223">
        <v>0</v>
      </c>
      <c r="L24" s="258">
        <v>26182654.260000002</v>
      </c>
      <c r="M24" s="225"/>
      <c r="N24" s="223">
        <v>0</v>
      </c>
      <c r="O24" s="239">
        <v>26182654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4385337.9800000004</v>
      </c>
      <c r="K25" s="241">
        <v>0</v>
      </c>
      <c r="L25" s="242">
        <v>4385337.9800000004</v>
      </c>
      <c r="M25" s="225"/>
      <c r="N25" s="50">
        <v>479711</v>
      </c>
      <c r="O25" s="243">
        <v>4865049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1863129.6500000001</v>
      </c>
      <c r="K26" s="241">
        <v>0</v>
      </c>
      <c r="L26" s="242">
        <v>1863129.6500000001</v>
      </c>
      <c r="M26" s="225"/>
      <c r="N26" s="50">
        <v>117105</v>
      </c>
      <c r="O26" s="243">
        <v>1980235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3065380.7999999993</v>
      </c>
      <c r="K27" s="241">
        <v>0</v>
      </c>
      <c r="L27" s="242">
        <v>3065380.7999999993</v>
      </c>
      <c r="M27" s="225"/>
      <c r="N27" s="50">
        <v>0</v>
      </c>
      <c r="O27" s="243">
        <v>3065381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2258912.8200000003</v>
      </c>
      <c r="K28" s="241">
        <v>0</v>
      </c>
      <c r="L28" s="242">
        <v>2258912.8200000003</v>
      </c>
      <c r="M28" s="225"/>
      <c r="N28" s="50">
        <v>2003174</v>
      </c>
      <c r="O28" s="243">
        <v>4262087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3681660.68</v>
      </c>
      <c r="K29" s="241">
        <v>55881</v>
      </c>
      <c r="L29" s="242">
        <v>3737541.68</v>
      </c>
      <c r="M29" s="225"/>
      <c r="N29" s="50">
        <v>44574</v>
      </c>
      <c r="O29" s="243">
        <v>3782116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6378383.0699999994</v>
      </c>
      <c r="K30" s="247">
        <v>0</v>
      </c>
      <c r="L30" s="248">
        <v>6378383.0699999994</v>
      </c>
      <c r="M30" s="225"/>
      <c r="N30" s="58">
        <v>168256</v>
      </c>
      <c r="O30" s="249">
        <v>6546639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57"/>
      <c r="D32" s="65" t="s">
        <v>54</v>
      </c>
      <c r="E32" s="35"/>
      <c r="F32" s="14"/>
      <c r="G32" s="14"/>
      <c r="H32" s="14"/>
      <c r="I32" s="15"/>
      <c r="J32" s="251">
        <v>47815459.259999998</v>
      </c>
      <c r="K32" s="251">
        <v>55881</v>
      </c>
      <c r="L32" s="252">
        <v>47871341</v>
      </c>
      <c r="M32" s="261"/>
      <c r="N32" s="251">
        <v>2812820</v>
      </c>
      <c r="O32" s="253">
        <v>50684161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57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-36368534.960000001</v>
      </c>
      <c r="K34" s="263">
        <v>-55881</v>
      </c>
      <c r="L34" s="264">
        <v>-36424416</v>
      </c>
      <c r="M34" s="67"/>
      <c r="N34" s="263">
        <v>-2193768</v>
      </c>
      <c r="O34" s="265">
        <v>-38618184</v>
      </c>
      <c r="P34" s="68"/>
    </row>
    <row r="35" spans="1:16" s="43" customFormat="1">
      <c r="A35" s="12"/>
      <c r="B35" s="72"/>
      <c r="C35" s="57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65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76" t="s">
        <v>58</v>
      </c>
      <c r="D37" s="35"/>
      <c r="E37" s="14"/>
      <c r="F37" s="14"/>
      <c r="G37" s="35"/>
      <c r="H37" s="14"/>
      <c r="I37" s="15"/>
      <c r="J37" s="257">
        <v>19614815.289999999</v>
      </c>
      <c r="K37" s="223">
        <v>0</v>
      </c>
      <c r="L37" s="238">
        <v>19614815.289999999</v>
      </c>
      <c r="M37" s="49"/>
      <c r="N37" s="223">
        <v>0</v>
      </c>
      <c r="O37" s="239">
        <v>19614815</v>
      </c>
      <c r="P37" s="81"/>
    </row>
    <row r="38" spans="1:16" s="43" customFormat="1">
      <c r="A38" s="1" t="s">
        <v>59</v>
      </c>
      <c r="B38" s="72" t="s">
        <v>20</v>
      </c>
      <c r="C38" s="76" t="s">
        <v>60</v>
      </c>
      <c r="D38" s="35"/>
      <c r="E38" s="14"/>
      <c r="F38" s="14"/>
      <c r="G38" s="35"/>
      <c r="H38" s="14"/>
      <c r="I38" s="15"/>
      <c r="J38" s="259">
        <v>5776592.6699999999</v>
      </c>
      <c r="K38" s="241">
        <v>0</v>
      </c>
      <c r="L38" s="242">
        <v>5776592.6699999999</v>
      </c>
      <c r="M38" s="49"/>
      <c r="N38" s="80">
        <v>0</v>
      </c>
      <c r="O38" s="243">
        <v>5776593</v>
      </c>
      <c r="P38" s="81"/>
    </row>
    <row r="39" spans="1:16" s="43" customFormat="1">
      <c r="A39" s="12" t="s">
        <v>61</v>
      </c>
      <c r="B39" s="72" t="s">
        <v>20</v>
      </c>
      <c r="C39" s="76" t="s">
        <v>62</v>
      </c>
      <c r="D39" s="35"/>
      <c r="E39" s="14"/>
      <c r="F39" s="14"/>
      <c r="G39" s="35"/>
      <c r="H39" s="14"/>
      <c r="I39" s="15"/>
      <c r="J39" s="259">
        <v>4161207.33</v>
      </c>
      <c r="K39" s="241">
        <v>0</v>
      </c>
      <c r="L39" s="242">
        <v>4161207.33</v>
      </c>
      <c r="M39" s="49"/>
      <c r="N39" s="80">
        <v>404603</v>
      </c>
      <c r="O39" s="243">
        <v>4565810</v>
      </c>
      <c r="P39" s="81"/>
    </row>
    <row r="40" spans="1:16" s="43" customFormat="1">
      <c r="A40" s="1" t="s">
        <v>63</v>
      </c>
      <c r="B40" s="72" t="s">
        <v>64</v>
      </c>
      <c r="C40" s="76" t="s">
        <v>65</v>
      </c>
      <c r="D40" s="35"/>
      <c r="E40" s="14"/>
      <c r="F40" s="14"/>
      <c r="G40" s="35"/>
      <c r="H40" s="14"/>
      <c r="I40" s="15"/>
      <c r="J40" s="259">
        <v>144136.01999999996</v>
      </c>
      <c r="K40" s="241">
        <v>0</v>
      </c>
      <c r="L40" s="242">
        <v>144136.01999999996</v>
      </c>
      <c r="M40" s="49"/>
      <c r="N40" s="80">
        <v>1281323</v>
      </c>
      <c r="O40" s="243">
        <v>1425459</v>
      </c>
      <c r="P40" s="81"/>
    </row>
    <row r="41" spans="1:16" s="43" customFormat="1">
      <c r="A41" s="12" t="s">
        <v>66</v>
      </c>
      <c r="B41" s="72" t="s">
        <v>64</v>
      </c>
      <c r="C41" s="35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3996821</v>
      </c>
      <c r="O41" s="243">
        <v>3996821</v>
      </c>
      <c r="P41" s="81"/>
    </row>
    <row r="42" spans="1:16" s="43" customFormat="1">
      <c r="A42" s="1" t="s">
        <v>67</v>
      </c>
      <c r="B42" s="72" t="s">
        <v>31</v>
      </c>
      <c r="C42" s="76" t="s">
        <v>68</v>
      </c>
      <c r="D42" s="35"/>
      <c r="E42" s="14"/>
      <c r="F42" s="14"/>
      <c r="G42" s="35"/>
      <c r="H42" s="14"/>
      <c r="I42" s="15"/>
      <c r="J42" s="259">
        <v>9764.65</v>
      </c>
      <c r="K42" s="241">
        <v>0</v>
      </c>
      <c r="L42" s="242">
        <v>9764.65</v>
      </c>
      <c r="M42" s="49"/>
      <c r="N42" s="80">
        <v>73776</v>
      </c>
      <c r="O42" s="243">
        <v>83541</v>
      </c>
      <c r="P42" s="81"/>
    </row>
    <row r="43" spans="1:16" s="43" customFormat="1">
      <c r="A43" s="12" t="s">
        <v>69</v>
      </c>
      <c r="B43" s="72" t="s">
        <v>70</v>
      </c>
      <c r="C43" s="7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76" t="s">
        <v>72</v>
      </c>
      <c r="D44" s="35"/>
      <c r="E44" s="35"/>
      <c r="F44" s="35"/>
      <c r="G44" s="35"/>
      <c r="H44" s="35"/>
      <c r="I44" s="35"/>
      <c r="J44" s="240">
        <v>-49908.32</v>
      </c>
      <c r="K44" s="241">
        <v>0</v>
      </c>
      <c r="L44" s="242">
        <v>-49908.32</v>
      </c>
      <c r="M44" s="49"/>
      <c r="N44" s="80">
        <v>0</v>
      </c>
      <c r="O44" s="243">
        <v>-49908</v>
      </c>
      <c r="P44" s="81"/>
    </row>
    <row r="45" spans="1:16" s="43" customFormat="1">
      <c r="A45" s="12" t="s">
        <v>73</v>
      </c>
      <c r="B45" s="72" t="s">
        <v>38</v>
      </c>
      <c r="C45" s="7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49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65" t="s">
        <v>76</v>
      </c>
      <c r="D47" s="35"/>
      <c r="E47" s="14"/>
      <c r="F47" s="14"/>
      <c r="G47" s="14"/>
      <c r="H47" s="14"/>
      <c r="I47" s="15"/>
      <c r="J47" s="263">
        <v>29656607.639999997</v>
      </c>
      <c r="K47" s="263">
        <v>0</v>
      </c>
      <c r="L47" s="264">
        <v>29656608</v>
      </c>
      <c r="M47" s="59"/>
      <c r="N47" s="263">
        <v>5756523</v>
      </c>
      <c r="O47" s="265">
        <v>35413131</v>
      </c>
      <c r="P47" s="68"/>
    </row>
    <row r="48" spans="1:16" s="37" customFormat="1">
      <c r="A48" s="52"/>
      <c r="B48" s="53"/>
      <c r="C48" s="344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57"/>
      <c r="D50" s="29" t="s">
        <v>77</v>
      </c>
      <c r="E50" s="14"/>
      <c r="F50" s="14"/>
      <c r="G50" s="14"/>
      <c r="H50" s="14"/>
      <c r="I50" s="15"/>
      <c r="J50" s="263">
        <v>-6711927.320000004</v>
      </c>
      <c r="K50" s="263">
        <v>-55881</v>
      </c>
      <c r="L50" s="264">
        <v>-6767808</v>
      </c>
      <c r="M50" s="59"/>
      <c r="N50" s="263">
        <v>3562755</v>
      </c>
      <c r="O50" s="265">
        <v>-3205053</v>
      </c>
      <c r="P50" s="68"/>
    </row>
    <row r="51" spans="1:16" s="43" customFormat="1">
      <c r="A51" s="52"/>
      <c r="B51" s="53"/>
      <c r="C51" s="57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76" t="s">
        <v>79</v>
      </c>
      <c r="D52" s="35"/>
      <c r="E52" s="14"/>
      <c r="F52" s="14"/>
      <c r="G52" s="14"/>
      <c r="H52" s="35"/>
      <c r="I52" s="15"/>
      <c r="J52" s="257">
        <v>929241</v>
      </c>
      <c r="K52" s="223">
        <v>0</v>
      </c>
      <c r="L52" s="238">
        <v>929241</v>
      </c>
      <c r="M52" s="49"/>
      <c r="N52" s="223">
        <v>0</v>
      </c>
      <c r="O52" s="239">
        <v>929241</v>
      </c>
      <c r="P52" s="81"/>
    </row>
    <row r="53" spans="1:16" s="43" customFormat="1">
      <c r="A53" s="52" t="s">
        <v>80</v>
      </c>
      <c r="B53" s="53" t="s">
        <v>81</v>
      </c>
      <c r="C53" s="76" t="s">
        <v>82</v>
      </c>
      <c r="D53" s="35"/>
      <c r="E53" s="14"/>
      <c r="F53" s="14"/>
      <c r="G53" s="14"/>
      <c r="H53" s="35"/>
      <c r="I53" s="15"/>
      <c r="J53" s="259">
        <v>3131099.42</v>
      </c>
      <c r="K53" s="241">
        <v>0</v>
      </c>
      <c r="L53" s="242">
        <v>3131099.42</v>
      </c>
      <c r="M53" s="225"/>
      <c r="N53" s="50">
        <v>0</v>
      </c>
      <c r="O53" s="243">
        <v>3131099</v>
      </c>
      <c r="P53" s="51"/>
    </row>
    <row r="54" spans="1:16">
      <c r="A54" s="52" t="s">
        <v>83</v>
      </c>
      <c r="B54" s="53" t="s">
        <v>84</v>
      </c>
      <c r="C54" s="57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261117</v>
      </c>
      <c r="O54" s="243">
        <v>261117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49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65" t="s">
        <v>88</v>
      </c>
      <c r="D57" s="35"/>
      <c r="E57" s="35"/>
      <c r="F57" s="14"/>
      <c r="G57" s="14"/>
      <c r="H57" s="14"/>
      <c r="I57" s="15"/>
      <c r="J57" s="251">
        <v>4060340.42</v>
      </c>
      <c r="K57" s="251">
        <v>0</v>
      </c>
      <c r="L57" s="253">
        <v>4060340</v>
      </c>
      <c r="M57" s="261"/>
      <c r="N57" s="251">
        <v>261117</v>
      </c>
      <c r="O57" s="253">
        <v>4321457</v>
      </c>
      <c r="P57" s="91"/>
    </row>
    <row r="58" spans="1:16" ht="13.5" thickTop="1">
      <c r="A58" s="52"/>
      <c r="B58" s="53"/>
      <c r="C58" s="65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3">
        <v>-2651586.9000000041</v>
      </c>
      <c r="K59" s="263">
        <v>-55881</v>
      </c>
      <c r="L59" s="265">
        <v>-2707468</v>
      </c>
      <c r="M59" s="92"/>
      <c r="N59" s="263">
        <v>3823872</v>
      </c>
      <c r="O59" s="265">
        <v>1116404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57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117225915</v>
      </c>
      <c r="M61" s="49"/>
      <c r="N61" s="96">
        <v>45042572</v>
      </c>
      <c r="O61" s="240">
        <v>162268487</v>
      </c>
      <c r="P61" s="97"/>
    </row>
    <row r="62" spans="1:16">
      <c r="A62" s="52" t="s">
        <v>91</v>
      </c>
      <c r="B62" s="53" t="s">
        <v>92</v>
      </c>
      <c r="C62" s="57" t="s">
        <v>93</v>
      </c>
      <c r="D62" s="35"/>
      <c r="E62" s="14"/>
      <c r="F62" s="14"/>
      <c r="G62" s="14"/>
      <c r="H62" s="14"/>
      <c r="I62" s="15"/>
      <c r="J62" s="15"/>
      <c r="K62" s="15"/>
      <c r="L62" s="82">
        <v>0</v>
      </c>
      <c r="M62" s="49"/>
      <c r="N62" s="82"/>
      <c r="O62" s="246">
        <v>0</v>
      </c>
      <c r="P62" s="81"/>
    </row>
    <row r="63" spans="1:16" s="64" customFormat="1">
      <c r="A63" s="52"/>
      <c r="B63" s="53"/>
      <c r="C63" s="7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35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117225915</v>
      </c>
      <c r="M64" s="92"/>
      <c r="N64" s="90">
        <v>45042572</v>
      </c>
      <c r="O64" s="90">
        <v>162268487</v>
      </c>
      <c r="P64" s="91"/>
    </row>
    <row r="65" spans="1:16" s="64" customFormat="1">
      <c r="A65" s="52"/>
      <c r="B65" s="53"/>
      <c r="C65" s="7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65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114518447</v>
      </c>
      <c r="M66" s="105"/>
      <c r="N66" s="251">
        <v>48866444</v>
      </c>
      <c r="O66" s="251">
        <v>163384891</v>
      </c>
      <c r="P66" s="46"/>
    </row>
    <row r="67" spans="1:16" ht="13.5" thickTop="1">
      <c r="A67" s="70"/>
      <c r="B67" s="53"/>
      <c r="C67" s="57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49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L66-[20]SNP!M120</f>
        <v>0</v>
      </c>
      <c r="M69" s="110"/>
      <c r="N69" s="111">
        <f>N66-[20]SNP!O120</f>
        <v>1</v>
      </c>
      <c r="O69" s="111">
        <f>O66-[20]SNP!P120</f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251" priority="24" operator="notEqual">
      <formula>0</formula>
    </cfRule>
    <cfRule type="cellIs" dxfId="250" priority="25" operator="equal">
      <formula>0</formula>
    </cfRule>
  </conditionalFormatting>
  <conditionalFormatting sqref="F11:G11 N62 L62 N17:N18 N11:N15 L16 F17:G17 N24:N30 N37:N45 N52:N55">
    <cfRule type="containsBlanks" dxfId="249" priority="20">
      <formula>LEN(TRIM(F11))=0</formula>
    </cfRule>
    <cfRule type="cellIs" dxfId="248" priority="21" operator="notEqual">
      <formula>0</formula>
    </cfRule>
  </conditionalFormatting>
  <conditionalFormatting sqref="N11">
    <cfRule type="cellIs" dxfId="247" priority="19" operator="notEqual">
      <formula>N20</formula>
    </cfRule>
  </conditionalFormatting>
  <conditionalFormatting sqref="O69">
    <cfRule type="cellIs" dxfId="246" priority="15" operator="notEqual">
      <formula>0</formula>
    </cfRule>
    <cfRule type="cellIs" dxfId="245" priority="16" operator="equal">
      <formula>0</formula>
    </cfRule>
  </conditionalFormatting>
  <conditionalFormatting sqref="K11:K15 K17:K18">
    <cfRule type="containsBlanks" dxfId="244" priority="13">
      <formula>LEN(TRIM(K11))=0</formula>
    </cfRule>
    <cfRule type="cellIs" dxfId="243" priority="14" operator="notEqual">
      <formula>0</formula>
    </cfRule>
  </conditionalFormatting>
  <conditionalFormatting sqref="K11:K15 K17:K18">
    <cfRule type="cellIs" dxfId="242" priority="12" operator="notEqual">
      <formula>K20</formula>
    </cfRule>
  </conditionalFormatting>
  <conditionalFormatting sqref="K16">
    <cfRule type="containsBlanks" dxfId="241" priority="10">
      <formula>LEN(TRIM(K16))=0</formula>
    </cfRule>
    <cfRule type="cellIs" dxfId="240" priority="11" operator="notEqual">
      <formula>0</formula>
    </cfRule>
  </conditionalFormatting>
  <conditionalFormatting sqref="K52 K37 K24">
    <cfRule type="containsBlanks" dxfId="239" priority="8">
      <formula>LEN(TRIM(K24))=0</formula>
    </cfRule>
    <cfRule type="cellIs" dxfId="238" priority="9" operator="notEqual">
      <formula>0</formula>
    </cfRule>
  </conditionalFormatting>
  <conditionalFormatting sqref="K52 K37 K24">
    <cfRule type="cellIs" dxfId="237" priority="7" operator="notEqual">
      <formula>K33</formula>
    </cfRule>
  </conditionalFormatting>
  <conditionalFormatting sqref="K53:K55 K38:K45 K25:K30">
    <cfRule type="containsBlanks" dxfId="236" priority="5">
      <formula>LEN(TRIM(K25))=0</formula>
    </cfRule>
    <cfRule type="cellIs" dxfId="235" priority="6" operator="notEqual">
      <formula>0</formula>
    </cfRule>
  </conditionalFormatting>
  <conditionalFormatting sqref="K53:K55 K38:K45 K25:K30">
    <cfRule type="cellIs" dxfId="234" priority="4" operator="notEqual">
      <formula>K34</formula>
    </cfRule>
  </conditionalFormatting>
  <conditionalFormatting sqref="N24">
    <cfRule type="cellIs" dxfId="233" priority="3" operator="notEqual">
      <formula>N33</formula>
    </cfRule>
  </conditionalFormatting>
  <conditionalFormatting sqref="N37">
    <cfRule type="cellIs" dxfId="232" priority="2" operator="notEqual">
      <formula>N46</formula>
    </cfRule>
  </conditionalFormatting>
  <conditionalFormatting sqref="N52">
    <cfRule type="cellIs" dxfId="231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127"/>
  <sheetViews>
    <sheetView tabSelected="1"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6" style="6" customWidth="1"/>
    <col min="7" max="7" width="15.28515625" style="6" customWidth="1"/>
    <col min="8" max="8" width="9.140625" style="6" hidden="1" customWidth="1"/>
    <col min="9" max="9" width="9.140625" style="11" hidden="1" customWidth="1"/>
    <col min="10" max="10" width="18" style="6" customWidth="1"/>
    <col min="11" max="11" width="0.7109375" style="11" customWidth="1"/>
    <col min="12" max="12" width="17.42578125" style="6" customWidth="1"/>
    <col min="13" max="13" width="18" style="6" customWidth="1"/>
    <col min="14" max="14" width="0.7109375" style="11" customWidth="1"/>
    <col min="15" max="15" width="17.42578125" style="6" customWidth="1"/>
    <col min="16" max="16" width="17" style="6" bestFit="1" customWidth="1"/>
    <col min="17" max="17" width="11.28515625" style="6" customWidth="1"/>
    <col min="18" max="18" width="24" style="10" hidden="1" customWidth="1"/>
    <col min="19" max="19" width="1.28515625" style="5" hidden="1" customWidth="1"/>
    <col min="20" max="20" width="18.85546875" style="5" hidden="1" customWidth="1"/>
    <col min="21" max="21" width="17.7109375" style="5" hidden="1" customWidth="1"/>
    <col min="22" max="22" width="18.7109375" style="5" hidden="1" customWidth="1"/>
    <col min="23" max="23" width="13.7109375" style="5" hidden="1" customWidth="1"/>
    <col min="24" max="24" width="18.7109375" style="227" bestFit="1" customWidth="1"/>
    <col min="25" max="16384" width="11.140625" style="6"/>
  </cols>
  <sheetData>
    <row r="1" spans="1:24">
      <c r="B1" s="2"/>
      <c r="C1" s="342" t="s">
        <v>129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"/>
      <c r="R1" s="4"/>
    </row>
    <row r="2" spans="1:24">
      <c r="B2" s="2"/>
      <c r="C2" s="343" t="s">
        <v>0</v>
      </c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7"/>
      <c r="R2" s="8"/>
    </row>
    <row r="3" spans="1:24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9" t="s">
        <v>2</v>
      </c>
      <c r="T3" s="332" t="s">
        <v>3</v>
      </c>
      <c r="U3" s="332"/>
      <c r="V3" s="332"/>
      <c r="W3" s="332"/>
    </row>
    <row r="4" spans="1:24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11" t="s">
        <v>311</v>
      </c>
      <c r="T4" s="332"/>
      <c r="U4" s="332"/>
      <c r="V4" s="332"/>
      <c r="W4" s="332"/>
    </row>
    <row r="5" spans="1:2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7"/>
      <c r="O5" s="16"/>
      <c r="P5" s="16"/>
      <c r="Q5" s="18"/>
      <c r="R5" s="19"/>
      <c r="T5" s="332"/>
      <c r="U5" s="332"/>
      <c r="V5" s="332"/>
      <c r="W5" s="332"/>
    </row>
    <row r="6" spans="1:24">
      <c r="C6" s="14"/>
      <c r="D6" s="14"/>
      <c r="E6" s="14"/>
      <c r="F6" s="14"/>
      <c r="G6" s="14"/>
      <c r="H6" s="14"/>
      <c r="I6" s="15"/>
      <c r="J6" s="338" t="s">
        <v>4</v>
      </c>
      <c r="K6" s="21"/>
      <c r="L6" s="22"/>
      <c r="M6" s="338" t="s">
        <v>4</v>
      </c>
      <c r="N6" s="21"/>
      <c r="O6" s="22" t="s">
        <v>5</v>
      </c>
      <c r="P6" s="22" t="s">
        <v>6</v>
      </c>
      <c r="Q6" s="23"/>
      <c r="R6" s="19"/>
      <c r="T6" s="332"/>
      <c r="U6" s="332"/>
      <c r="V6" s="332"/>
      <c r="W6" s="332"/>
    </row>
    <row r="7" spans="1:24">
      <c r="C7" s="14"/>
      <c r="D7" s="14"/>
      <c r="E7" s="14"/>
      <c r="F7" s="14"/>
      <c r="G7" s="14"/>
      <c r="H7" s="14"/>
      <c r="I7" s="15"/>
      <c r="J7" s="270" t="s">
        <v>308</v>
      </c>
      <c r="K7" s="25"/>
      <c r="L7" s="26" t="s">
        <v>304</v>
      </c>
      <c r="M7" s="24"/>
      <c r="N7" s="25"/>
      <c r="O7" s="26" t="str">
        <f>[3]SNP!$M$9</f>
        <v>Unit</v>
      </c>
      <c r="P7" s="26"/>
      <c r="Q7" s="27"/>
      <c r="R7" s="28" t="s">
        <v>7</v>
      </c>
      <c r="T7" s="332"/>
      <c r="U7" s="332"/>
      <c r="V7" s="332"/>
      <c r="W7" s="332"/>
    </row>
    <row r="8" spans="1:24">
      <c r="C8" s="29" t="s">
        <v>8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25"/>
      <c r="O8" s="25"/>
      <c r="P8" s="25"/>
      <c r="Q8" s="30"/>
      <c r="R8" s="31"/>
      <c r="T8" s="332"/>
      <c r="U8" s="332"/>
      <c r="V8" s="332"/>
      <c r="W8" s="332"/>
    </row>
    <row r="9" spans="1:24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7"/>
      <c r="O9" s="17"/>
      <c r="P9" s="17"/>
      <c r="Q9" s="18"/>
      <c r="R9" s="31"/>
      <c r="T9" s="334" t="s">
        <v>12</v>
      </c>
      <c r="U9" s="334"/>
      <c r="V9" s="334"/>
      <c r="W9" s="334"/>
    </row>
    <row r="10" spans="1:24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17"/>
      <c r="L10" s="35"/>
      <c r="M10" s="35"/>
      <c r="N10" s="17"/>
      <c r="O10" s="35"/>
      <c r="P10" s="35"/>
      <c r="Q10" s="37"/>
      <c r="R10" s="31"/>
      <c r="S10" s="38"/>
      <c r="T10" s="39" t="s">
        <v>4</v>
      </c>
      <c r="U10" s="40" t="s">
        <v>14</v>
      </c>
      <c r="V10" s="41" t="s">
        <v>15</v>
      </c>
      <c r="W10" s="42" t="s">
        <v>14</v>
      </c>
      <c r="X10" s="226"/>
    </row>
    <row r="11" spans="1:24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5">
        <f>SUM(EASTERNFL:VALENCIA!F11:G11)</f>
        <v>433930768.88999999</v>
      </c>
      <c r="G11" s="335"/>
      <c r="H11" s="45"/>
      <c r="I11" s="36"/>
      <c r="J11" s="129">
        <f>SUM(EASTERNFL:VALENCIA!J11)</f>
        <v>609605548.36000001</v>
      </c>
      <c r="K11" s="129"/>
      <c r="L11" s="129">
        <f>SUM(EASTERNFL:VALENCIA!K11)</f>
        <v>-3776393.37</v>
      </c>
      <c r="M11" s="129">
        <f>SUM(EASTERNFL:VALENCIA!L11)</f>
        <v>605829154.99000013</v>
      </c>
      <c r="N11" s="129"/>
      <c r="O11" s="129">
        <f>SUM(EASTERNFL:VALENCIA!N11)</f>
        <v>0</v>
      </c>
      <c r="P11" s="129">
        <f>ROUND(O11,0)+ROUND(M11,0)</f>
        <v>605829155</v>
      </c>
      <c r="Q11" s="46"/>
      <c r="R11" s="31"/>
      <c r="S11" s="38"/>
      <c r="T11" s="47">
        <f>M11</f>
        <v>605829154.99000013</v>
      </c>
      <c r="U11" s="47">
        <f>ROUND(T11,0)-T11</f>
        <v>9.9998712539672852E-3</v>
      </c>
      <c r="V11" s="47">
        <f>O11</f>
        <v>0</v>
      </c>
      <c r="W11" s="47">
        <f>ROUND(V11,0)-V11</f>
        <v>0</v>
      </c>
      <c r="X11" s="226"/>
    </row>
    <row r="12" spans="1:24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130">
        <f>SUM(EASTERNFL:VALENCIA!J12)</f>
        <v>102196695.14000002</v>
      </c>
      <c r="K12" s="130"/>
      <c r="L12" s="130">
        <f>SUM(EASTERNFL:VALENCIA!K12)</f>
        <v>-18495491.419999998</v>
      </c>
      <c r="M12" s="130">
        <f>SUM(EASTERNFL:VALENCIA!L12)</f>
        <v>83701203.719999999</v>
      </c>
      <c r="N12" s="130"/>
      <c r="O12" s="130">
        <f>SUM(EASTERNFL:VALENCIA!N12)</f>
        <v>83839</v>
      </c>
      <c r="P12" s="130">
        <f t="shared" ref="P12:P16" si="0">ROUND(O12,0)+ROUND(M12,0)</f>
        <v>83785043</v>
      </c>
      <c r="Q12" s="51"/>
      <c r="R12" s="31"/>
      <c r="S12" s="38"/>
      <c r="T12" s="47">
        <f t="shared" ref="T12:T18" si="1">M12</f>
        <v>83701203.719999999</v>
      </c>
      <c r="U12" s="47">
        <f t="shared" ref="U12:U18" si="2">ROUND(T12,0)-T12</f>
        <v>0.2800000011920929</v>
      </c>
      <c r="V12" s="47">
        <f t="shared" ref="V12:V18" si="3">O12</f>
        <v>83839</v>
      </c>
      <c r="W12" s="47">
        <f t="shared" ref="W12:W18" si="4">ROUND(V12,0)-V12</f>
        <v>0</v>
      </c>
      <c r="X12" s="226"/>
    </row>
    <row r="13" spans="1:24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130">
        <f>SUM(EASTERNFL:VALENCIA!J13)</f>
        <v>39965522.920000002</v>
      </c>
      <c r="K13" s="130"/>
      <c r="L13" s="130">
        <f>SUM(EASTERNFL:VALENCIA!K13)</f>
        <v>18819.78</v>
      </c>
      <c r="M13" s="130">
        <f>SUM(EASTERNFL:VALENCIA!L13)</f>
        <v>39984342.700000003</v>
      </c>
      <c r="N13" s="130"/>
      <c r="O13" s="130">
        <f>SUM(EASTERNFL:VALENCIA!N13)</f>
        <v>733630</v>
      </c>
      <c r="P13" s="130">
        <f t="shared" si="0"/>
        <v>40717973</v>
      </c>
      <c r="Q13" s="51"/>
      <c r="R13" s="31"/>
      <c r="S13" s="38"/>
      <c r="T13" s="47">
        <f t="shared" si="1"/>
        <v>39984342.700000003</v>
      </c>
      <c r="U13" s="47">
        <f t="shared" si="2"/>
        <v>0.29999999701976776</v>
      </c>
      <c r="V13" s="47">
        <f t="shared" si="3"/>
        <v>733630</v>
      </c>
      <c r="W13" s="47">
        <f t="shared" si="4"/>
        <v>0</v>
      </c>
      <c r="X13" s="226"/>
    </row>
    <row r="14" spans="1:24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130">
        <f>SUM(EASTERNFL:VALENCIA!J14)</f>
        <v>40697450.779999994</v>
      </c>
      <c r="K14" s="130"/>
      <c r="L14" s="130">
        <f>SUM(EASTERNFL:VALENCIA!K14)</f>
        <v>-0.44</v>
      </c>
      <c r="M14" s="130">
        <f>SUM(EASTERNFL:VALENCIA!L14)</f>
        <v>40697450.339999996</v>
      </c>
      <c r="N14" s="130"/>
      <c r="O14" s="130">
        <f>SUM(EASTERNFL:VALENCIA!N14)</f>
        <v>22812553</v>
      </c>
      <c r="P14" s="130">
        <f t="shared" si="0"/>
        <v>63510003</v>
      </c>
      <c r="Q14" s="51"/>
      <c r="R14" s="31"/>
      <c r="S14" s="38"/>
      <c r="T14" s="47">
        <f t="shared" si="1"/>
        <v>40697450.339999996</v>
      </c>
      <c r="U14" s="47">
        <f t="shared" si="2"/>
        <v>-0.33999999612569809</v>
      </c>
      <c r="V14" s="47">
        <f t="shared" si="3"/>
        <v>22812553</v>
      </c>
      <c r="W14" s="47">
        <f t="shared" si="4"/>
        <v>0</v>
      </c>
      <c r="X14" s="226"/>
    </row>
    <row r="15" spans="1:24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130">
        <f>SUM(EASTERNFL:VALENCIA!J15)</f>
        <v>10069023.49</v>
      </c>
      <c r="K15" s="130"/>
      <c r="L15" s="130">
        <f>SUM(EASTERNFL:VALENCIA!K15)</f>
        <v>49432.189999999995</v>
      </c>
      <c r="M15" s="130">
        <f>SUM(EASTERNFL:VALENCIA!L15)</f>
        <v>10118455.68</v>
      </c>
      <c r="N15" s="130"/>
      <c r="O15" s="130">
        <f>SUM(EASTERNFL:VALENCIA!N15)</f>
        <v>0</v>
      </c>
      <c r="P15" s="130">
        <f t="shared" si="0"/>
        <v>10118456</v>
      </c>
      <c r="Q15" s="51"/>
      <c r="R15" s="31"/>
      <c r="S15" s="38"/>
      <c r="T15" s="47">
        <f t="shared" si="1"/>
        <v>10118455.68</v>
      </c>
      <c r="U15" s="47">
        <f t="shared" si="2"/>
        <v>0.32000000029802322</v>
      </c>
      <c r="V15" s="47">
        <f t="shared" si="3"/>
        <v>0</v>
      </c>
      <c r="W15" s="47">
        <f t="shared" si="4"/>
        <v>0</v>
      </c>
      <c r="X15" s="226"/>
    </row>
    <row r="16" spans="1:24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130">
        <f>SUM(EASTERNFL:VALENCIA!J16)</f>
        <v>0</v>
      </c>
      <c r="K16" s="130"/>
      <c r="L16" s="130">
        <f>SUM(EASTERNFL:VALENCIA!K16)</f>
        <v>0</v>
      </c>
      <c r="M16" s="130">
        <f>SUM(EASTERNFL:VALENCIA!L16)</f>
        <v>0</v>
      </c>
      <c r="N16" s="130"/>
      <c r="O16" s="130">
        <f>SUM(EASTERNFL:VALENCIA!N16)</f>
        <v>0</v>
      </c>
      <c r="P16" s="130">
        <f t="shared" si="0"/>
        <v>0</v>
      </c>
      <c r="Q16" s="37"/>
      <c r="R16" s="31"/>
      <c r="S16" s="38"/>
      <c r="T16" s="47"/>
      <c r="U16" s="47"/>
      <c r="V16" s="47"/>
      <c r="W16" s="47"/>
      <c r="X16" s="226"/>
    </row>
    <row r="17" spans="1:24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5">
        <f>SUM(EASTERNFL:VALENCIA!F17:G17)</f>
        <v>14840021.079999998</v>
      </c>
      <c r="G17" s="335"/>
      <c r="H17" s="55"/>
      <c r="I17" s="35"/>
      <c r="J17" s="130">
        <f>SUM(EASTERNFL:VALENCIA!J17)</f>
        <v>76729200.340000004</v>
      </c>
      <c r="K17" s="130"/>
      <c r="L17" s="130">
        <f>SUM(EASTERNFL:VALENCIA!K17)</f>
        <v>-203418.12</v>
      </c>
      <c r="M17" s="130">
        <f>SUM(EASTERNFL:VALENCIA!L17)</f>
        <v>76525782.219999999</v>
      </c>
      <c r="N17" s="130"/>
      <c r="O17" s="130">
        <f>SUM(EASTERNFL:VALENCIA!N17)</f>
        <v>145152</v>
      </c>
      <c r="P17" s="130">
        <f t="shared" ref="P17:P18" si="5">ROUND(O17,0)+ROUND(M17,0)</f>
        <v>76670934</v>
      </c>
      <c r="Q17" s="51"/>
      <c r="R17" s="31"/>
      <c r="S17" s="38"/>
      <c r="T17" s="47">
        <f t="shared" si="1"/>
        <v>76525782.219999999</v>
      </c>
      <c r="U17" s="47">
        <f t="shared" si="2"/>
        <v>-0.2199999988079071</v>
      </c>
      <c r="V17" s="47">
        <f t="shared" si="3"/>
        <v>145152</v>
      </c>
      <c r="W17" s="47">
        <f t="shared" si="4"/>
        <v>0</v>
      </c>
      <c r="X17" s="226"/>
    </row>
    <row r="18" spans="1:24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131">
        <f>SUM(EASTERNFL:VALENCIA!J18)</f>
        <v>15478087.649999999</v>
      </c>
      <c r="K18" s="131"/>
      <c r="L18" s="131">
        <f>SUM(EASTERNFL:VALENCIA!K18)</f>
        <v>250001.21000000002</v>
      </c>
      <c r="M18" s="131">
        <f>SUM(EASTERNFL:VALENCIA!L18)</f>
        <v>15728088.859999999</v>
      </c>
      <c r="N18" s="131"/>
      <c r="O18" s="131">
        <f>SUM(EASTERNFL:VALENCIA!N18)</f>
        <v>52957539.409999996</v>
      </c>
      <c r="P18" s="131">
        <f t="shared" si="5"/>
        <v>68685628</v>
      </c>
      <c r="Q18" s="51"/>
      <c r="R18" s="31"/>
      <c r="S18" s="38"/>
      <c r="T18" s="47">
        <f t="shared" si="1"/>
        <v>15728088.859999999</v>
      </c>
      <c r="U18" s="47">
        <f t="shared" si="2"/>
        <v>0.14000000059604645</v>
      </c>
      <c r="V18" s="47">
        <f t="shared" si="3"/>
        <v>52957539.409999996</v>
      </c>
      <c r="W18" s="47">
        <f t="shared" si="4"/>
        <v>-0.40999999642372131</v>
      </c>
      <c r="X18" s="226"/>
    </row>
    <row r="19" spans="1:24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59"/>
      <c r="N19" s="60"/>
      <c r="O19" s="60"/>
      <c r="P19" s="60"/>
      <c r="Q19" s="61"/>
      <c r="R19" s="31"/>
      <c r="S19" s="62"/>
      <c r="T19" s="63"/>
      <c r="U19" s="63"/>
      <c r="V19" s="63"/>
      <c r="W19" s="63"/>
      <c r="X19" s="226"/>
    </row>
    <row r="20" spans="1:24" s="43" customForma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66">
        <f t="array" ref="J20">SUM(ROUND(J11:J18,0))</f>
        <v>894741528</v>
      </c>
      <c r="K20" s="67"/>
      <c r="L20" s="66">
        <f t="array" ref="L20">SUM(ROUND(L11:L18,0))</f>
        <v>-22157049</v>
      </c>
      <c r="M20" s="66">
        <f t="array" ref="M20">SUM(ROUND(M11:M18,0))</f>
        <v>872584479</v>
      </c>
      <c r="N20" s="67"/>
      <c r="O20" s="66">
        <f t="array" ref="O20">SUM(ROUND(O11:O18,0))</f>
        <v>76732713</v>
      </c>
      <c r="P20" s="66">
        <f t="array" ref="P20">SUM(ROUND(P11:P18,0))</f>
        <v>949317192</v>
      </c>
      <c r="Q20" s="68"/>
      <c r="R20" s="31"/>
      <c r="S20" s="38"/>
      <c r="T20" s="69">
        <f>SUM(T11:T18)</f>
        <v>872584478.51000023</v>
      </c>
      <c r="U20" s="69">
        <f>M20-T20</f>
        <v>0.48999977111816406</v>
      </c>
      <c r="V20" s="69">
        <f>SUM(V11:V18)</f>
        <v>76732713.409999996</v>
      </c>
      <c r="W20" s="69">
        <f>O20-V20</f>
        <v>-0.40999999642372131</v>
      </c>
      <c r="X20" s="226"/>
    </row>
    <row r="21" spans="1:24" s="43" customFormat="1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7"/>
      <c r="O21" s="17"/>
      <c r="P21" s="17"/>
      <c r="Q21" s="18"/>
      <c r="R21" s="31"/>
      <c r="S21" s="38"/>
      <c r="T21" s="47"/>
      <c r="U21" s="47"/>
      <c r="V21" s="47"/>
      <c r="W21" s="47"/>
      <c r="X21" s="226"/>
    </row>
    <row r="22" spans="1:24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7"/>
      <c r="O22" s="16"/>
      <c r="P22" s="16"/>
      <c r="Q22" s="18"/>
      <c r="R22" s="31"/>
      <c r="S22" s="38"/>
      <c r="T22" s="47">
        <f t="shared" ref="T22:T30" si="6">M22</f>
        <v>0</v>
      </c>
      <c r="U22" s="47">
        <f t="shared" ref="U22:U30" si="7">ROUND(T22,0)-T22</f>
        <v>0</v>
      </c>
      <c r="V22" s="47">
        <f t="shared" ref="V22:V30" si="8">O22</f>
        <v>0</v>
      </c>
      <c r="W22" s="47">
        <f t="shared" ref="W22:W30" si="9">ROUND(V22,0)-V22</f>
        <v>0</v>
      </c>
      <c r="X22" s="226"/>
    </row>
    <row r="23" spans="1:24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7"/>
      <c r="O23" s="16"/>
      <c r="P23" s="16"/>
      <c r="Q23" s="18"/>
      <c r="R23" s="31"/>
      <c r="S23" s="38"/>
      <c r="T23" s="47">
        <f t="shared" si="6"/>
        <v>0</v>
      </c>
      <c r="U23" s="47">
        <f t="shared" si="7"/>
        <v>0</v>
      </c>
      <c r="V23" s="47">
        <f t="shared" si="8"/>
        <v>0</v>
      </c>
      <c r="W23" s="47">
        <f t="shared" si="9"/>
        <v>0</v>
      </c>
      <c r="X23" s="226"/>
    </row>
    <row r="24" spans="1:24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129">
        <f>SUM(EASTERNFL:VALENCIA!J24)</f>
        <v>1901440507.0540004</v>
      </c>
      <c r="K24" s="129"/>
      <c r="L24" s="129">
        <f>SUM(EASTERNFL:VALENCIA!K24)</f>
        <v>3.95</v>
      </c>
      <c r="M24" s="129">
        <f>SUM(EASTERNFL:VALENCIA!L24)</f>
        <v>1901440511.0040002</v>
      </c>
      <c r="N24" s="129"/>
      <c r="O24" s="129">
        <f>SUM(EASTERNFL:VALENCIA!N24)</f>
        <v>8269932.8499999996</v>
      </c>
      <c r="P24" s="130">
        <f t="shared" ref="P24:P30" si="10">ROUND(O24,0)+ROUND(M24,0)</f>
        <v>1909710444</v>
      </c>
      <c r="Q24" s="51"/>
      <c r="R24" s="31"/>
      <c r="S24" s="38"/>
      <c r="T24" s="47">
        <v>1755184891.4100001</v>
      </c>
      <c r="U24" s="47">
        <f>M24-T24</f>
        <v>146255619.5940001</v>
      </c>
      <c r="V24" s="47">
        <f t="shared" si="8"/>
        <v>8269932.8499999996</v>
      </c>
      <c r="W24" s="47">
        <f t="shared" si="9"/>
        <v>0.15000000037252903</v>
      </c>
      <c r="X24" s="226"/>
    </row>
    <row r="25" spans="1:24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130">
        <f>SUM(EASTERNFL:VALENCIA!J25)</f>
        <v>473658704.45000005</v>
      </c>
      <c r="K25" s="130"/>
      <c r="L25" s="130">
        <f>SUM(EASTERNFL:VALENCIA!K25)</f>
        <v>-18404192.559999999</v>
      </c>
      <c r="M25" s="130">
        <f>SUM(EASTERNFL:VALENCIA!L25)</f>
        <v>455254511.88999999</v>
      </c>
      <c r="N25" s="130"/>
      <c r="O25" s="130">
        <f>SUM(EASTERNFL:VALENCIA!N25)</f>
        <v>34506584.32</v>
      </c>
      <c r="P25" s="130">
        <f t="shared" si="10"/>
        <v>489761096</v>
      </c>
      <c r="Q25" s="51"/>
      <c r="R25" s="31"/>
      <c r="S25" s="38"/>
      <c r="T25" s="47">
        <f t="shared" si="6"/>
        <v>455254511.88999999</v>
      </c>
      <c r="U25" s="47">
        <f t="shared" si="7"/>
        <v>0.11000001430511475</v>
      </c>
      <c r="V25" s="47">
        <f t="shared" si="8"/>
        <v>34506584.32</v>
      </c>
      <c r="W25" s="47">
        <f t="shared" si="9"/>
        <v>-0.32000000029802322</v>
      </c>
      <c r="X25" s="226"/>
    </row>
    <row r="26" spans="1:24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130">
        <f>SUM(EASTERNFL:VALENCIA!J26)</f>
        <v>83800598.080000013</v>
      </c>
      <c r="K26" s="130"/>
      <c r="L26" s="130">
        <f>SUM(EASTERNFL:VALENCIA!K26)</f>
        <v>-1.25</v>
      </c>
      <c r="M26" s="130">
        <f>SUM(EASTERNFL:VALENCIA!L26)</f>
        <v>83800596.830000013</v>
      </c>
      <c r="N26" s="130"/>
      <c r="O26" s="130">
        <f>SUM(EASTERNFL:VALENCIA!N26)</f>
        <v>265762.49</v>
      </c>
      <c r="P26" s="130">
        <f t="shared" si="10"/>
        <v>84066359</v>
      </c>
      <c r="Q26" s="51"/>
      <c r="R26" s="31"/>
      <c r="S26" s="38"/>
      <c r="T26" s="47">
        <f t="shared" si="6"/>
        <v>83800596.830000013</v>
      </c>
      <c r="U26" s="47">
        <f t="shared" si="7"/>
        <v>0.16999998688697815</v>
      </c>
      <c r="V26" s="47">
        <f t="shared" si="8"/>
        <v>265762.49</v>
      </c>
      <c r="W26" s="47">
        <f t="shared" si="9"/>
        <v>-0.48999999999068677</v>
      </c>
      <c r="X26" s="226"/>
    </row>
    <row r="27" spans="1:24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130">
        <f>SUM(EASTERNFL:VALENCIA!J27)</f>
        <v>215451323.98000002</v>
      </c>
      <c r="K27" s="130"/>
      <c r="L27" s="130">
        <f>SUM(EASTERNFL:VALENCIA!K27)</f>
        <v>-2698545.63</v>
      </c>
      <c r="M27" s="130">
        <f>SUM(EASTERNFL:VALENCIA!L27)</f>
        <v>212752778.35000002</v>
      </c>
      <c r="N27" s="130"/>
      <c r="O27" s="130">
        <f>SUM(EASTERNFL:VALENCIA!N27)</f>
        <v>19285703.48</v>
      </c>
      <c r="P27" s="130">
        <f t="shared" si="10"/>
        <v>232038481</v>
      </c>
      <c r="Q27" s="51"/>
      <c r="R27" s="31"/>
      <c r="S27" s="38"/>
      <c r="T27" s="47">
        <f t="shared" si="6"/>
        <v>212752778.35000002</v>
      </c>
      <c r="U27" s="47">
        <f t="shared" si="7"/>
        <v>-0.35000002384185791</v>
      </c>
      <c r="V27" s="47">
        <f t="shared" si="8"/>
        <v>19285703.48</v>
      </c>
      <c r="W27" s="47">
        <f t="shared" si="9"/>
        <v>-0.48000000044703484</v>
      </c>
      <c r="X27" s="226"/>
    </row>
    <row r="28" spans="1:24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130">
        <f>SUM(EASTERNFL:VALENCIA!J28)</f>
        <v>173855439.22</v>
      </c>
      <c r="K28" s="130"/>
      <c r="L28" s="130">
        <f>SUM(EASTERNFL:VALENCIA!K28)</f>
        <v>-8486566.349999994</v>
      </c>
      <c r="M28" s="130">
        <f>SUM(EASTERNFL:VALENCIA!L28)</f>
        <v>165368872.87000003</v>
      </c>
      <c r="N28" s="130"/>
      <c r="O28" s="130">
        <f>SUM(EASTERNFL:VALENCIA!N28)</f>
        <v>33948206.670000002</v>
      </c>
      <c r="P28" s="130">
        <f t="shared" si="10"/>
        <v>199317080</v>
      </c>
      <c r="Q28" s="51"/>
      <c r="R28" s="31"/>
      <c r="S28" s="38"/>
      <c r="T28" s="47">
        <f t="shared" si="6"/>
        <v>165368872.87000003</v>
      </c>
      <c r="U28" s="47">
        <f t="shared" si="7"/>
        <v>0.12999996542930603</v>
      </c>
      <c r="V28" s="47">
        <f t="shared" si="8"/>
        <v>33948206.670000002</v>
      </c>
      <c r="W28" s="47">
        <f t="shared" si="9"/>
        <v>0.32999999821186066</v>
      </c>
      <c r="X28" s="226"/>
    </row>
    <row r="29" spans="1:24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130">
        <f>SUM(EASTERNFL:VALENCIA!J29)</f>
        <v>228692098.83999997</v>
      </c>
      <c r="K29" s="130"/>
      <c r="L29" s="130">
        <f>SUM(EASTERNFL:VALENCIA!K29)</f>
        <v>280373.71999999997</v>
      </c>
      <c r="M29" s="130">
        <f>SUM(EASTERNFL:VALENCIA!L29)</f>
        <v>228972472.56</v>
      </c>
      <c r="N29" s="130"/>
      <c r="O29" s="130">
        <f>SUM(EASTERNFL:VALENCIA!N29)</f>
        <v>1252507.53</v>
      </c>
      <c r="P29" s="130">
        <f t="shared" si="10"/>
        <v>230224981</v>
      </c>
      <c r="Q29" s="51"/>
      <c r="R29" s="31"/>
      <c r="S29" s="38"/>
      <c r="T29" s="47">
        <f t="shared" si="6"/>
        <v>228972472.56</v>
      </c>
      <c r="U29" s="47">
        <f t="shared" si="7"/>
        <v>0.43999999761581421</v>
      </c>
      <c r="V29" s="47">
        <f t="shared" si="8"/>
        <v>1252507.53</v>
      </c>
      <c r="W29" s="47">
        <f t="shared" si="9"/>
        <v>0.46999999997206032</v>
      </c>
      <c r="X29" s="226"/>
    </row>
    <row r="30" spans="1:24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131">
        <f>SUM(EASTERNFL:VALENCIA!J30)</f>
        <v>183864385.48999998</v>
      </c>
      <c r="K30" s="131"/>
      <c r="L30" s="131">
        <f>SUM(EASTERNFL:VALENCIA!K30)</f>
        <v>-0.09</v>
      </c>
      <c r="M30" s="131">
        <f>SUM(EASTERNFL:VALENCIA!L30)</f>
        <v>183864385.39999998</v>
      </c>
      <c r="N30" s="131"/>
      <c r="O30" s="131">
        <f>SUM(EASTERNFL:VALENCIA!N30)</f>
        <v>2666707</v>
      </c>
      <c r="P30" s="131">
        <f t="shared" si="10"/>
        <v>186531092</v>
      </c>
      <c r="Q30" s="51"/>
      <c r="R30" s="31"/>
      <c r="S30" s="38"/>
      <c r="T30" s="47">
        <f t="shared" si="6"/>
        <v>183864385.39999998</v>
      </c>
      <c r="U30" s="47">
        <f t="shared" si="7"/>
        <v>-0.39999997615814209</v>
      </c>
      <c r="V30" s="47">
        <f t="shared" si="8"/>
        <v>2666707</v>
      </c>
      <c r="W30" s="47">
        <f t="shared" si="9"/>
        <v>0</v>
      </c>
      <c r="X30" s="226"/>
    </row>
    <row r="31" spans="1:24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3"/>
      <c r="O31" s="73"/>
      <c r="P31" s="73"/>
      <c r="Q31" s="74"/>
      <c r="R31" s="31"/>
      <c r="S31" s="38"/>
      <c r="T31" s="63"/>
      <c r="U31" s="63"/>
      <c r="V31" s="63"/>
      <c r="W31" s="63"/>
      <c r="X31" s="226"/>
    </row>
    <row r="32" spans="1:24" s="43" customForma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66">
        <f t="array" ref="J32">SUM(ROUND(J24:J30,0))</f>
        <v>3260763056</v>
      </c>
      <c r="K32" s="59"/>
      <c r="L32" s="66">
        <f t="array" ref="L32">SUM(ROUND(L24:L30,0))</f>
        <v>-29308928</v>
      </c>
      <c r="M32" s="66">
        <f t="array" ref="M32">SUM(ROUND(M24:M30,0))</f>
        <v>3231454129</v>
      </c>
      <c r="N32" s="59"/>
      <c r="O32" s="66">
        <f t="array" ref="O32">SUM(ROUND(O24:O30,0))</f>
        <v>100195404</v>
      </c>
      <c r="P32" s="66">
        <f t="array" ref="P32">SUM(ROUND(P24:P30,0))</f>
        <v>3331649533</v>
      </c>
      <c r="Q32" s="68"/>
      <c r="R32" s="31"/>
      <c r="S32" s="38"/>
      <c r="T32" s="75">
        <f>SUM(T22:T30)</f>
        <v>3085198509.3099999</v>
      </c>
      <c r="U32" s="69">
        <f>M32-T32</f>
        <v>146255619.69000006</v>
      </c>
      <c r="V32" s="69">
        <f>SUM(V22:V30)</f>
        <v>100195404.34</v>
      </c>
      <c r="W32" s="69">
        <f>O32-V32</f>
        <v>-0.34000000357627869</v>
      </c>
      <c r="X32" s="226"/>
    </row>
    <row r="33" spans="1:24" s="43" customFormat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59"/>
      <c r="O33" s="59"/>
      <c r="P33" s="59"/>
      <c r="Q33" s="77"/>
      <c r="R33" s="31"/>
      <c r="S33" s="38"/>
      <c r="T33" s="63"/>
      <c r="U33" s="47"/>
      <c r="V33" s="47"/>
      <c r="W33" s="47"/>
      <c r="X33" s="226"/>
    </row>
    <row r="34" spans="1:24" s="43" customFormat="1">
      <c r="A34" s="1"/>
      <c r="B34" s="72"/>
      <c r="C34" s="14"/>
      <c r="D34" s="65" t="str">
        <f>IF(M34&lt;0,IF(O34&gt;0,"Operating Income (Loss)","Operating Loss"),IF(M34&gt;0,IF(O34&gt;=0,"Operating Income","Operating Income (Loss)"),IF(O34&lt;0,"Operating Loss",IF(O34&gt;0,"Operating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-2366021528</v>
      </c>
      <c r="K34" s="67"/>
      <c r="L34" s="66">
        <f>L20-L32</f>
        <v>7151879</v>
      </c>
      <c r="M34" s="66">
        <f>M20-M32</f>
        <v>-2358869650</v>
      </c>
      <c r="N34" s="67"/>
      <c r="O34" s="66">
        <f>O20-O32</f>
        <v>-23462691</v>
      </c>
      <c r="P34" s="66">
        <f>P20-P32</f>
        <v>-2382332341</v>
      </c>
      <c r="Q34" s="68"/>
      <c r="R34" s="31"/>
      <c r="S34" s="38"/>
      <c r="T34" s="69">
        <f>T20-T32</f>
        <v>-2212614030.7999997</v>
      </c>
      <c r="U34" s="69">
        <f>M34-T34</f>
        <v>-146255619.20000029</v>
      </c>
      <c r="V34" s="69">
        <f>V20-V32</f>
        <v>-23462690.930000007</v>
      </c>
      <c r="W34" s="69">
        <f>O34-V34</f>
        <v>-6.9999992847442627E-2</v>
      </c>
      <c r="X34" s="226"/>
    </row>
    <row r="35" spans="1:24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8"/>
      <c r="O35" s="78"/>
      <c r="P35" s="78"/>
      <c r="Q35" s="79"/>
      <c r="R35" s="31"/>
      <c r="S35" s="38"/>
      <c r="T35" s="47"/>
      <c r="U35" s="47"/>
      <c r="V35" s="47"/>
      <c r="W35" s="47"/>
      <c r="X35" s="226"/>
    </row>
    <row r="36" spans="1:24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7"/>
      <c r="O36" s="16"/>
      <c r="P36" s="16"/>
      <c r="Q36" s="18"/>
      <c r="R36" s="31"/>
      <c r="S36" s="38"/>
      <c r="T36" s="47"/>
      <c r="U36" s="47"/>
      <c r="V36" s="47"/>
      <c r="W36" s="47"/>
      <c r="X36" s="226"/>
    </row>
    <row r="37" spans="1:24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129">
        <f>SUM(EASTERNFL:VALENCIA!J37)</f>
        <v>1249469784.7700002</v>
      </c>
      <c r="K37" s="129"/>
      <c r="L37" s="129">
        <f>SUM(EASTERNFL:VALENCIA!K37)</f>
        <v>-4207497.8900000006</v>
      </c>
      <c r="M37" s="129">
        <f>SUM(EASTERNFL:VALENCIA!L37)</f>
        <v>1245262286.8800001</v>
      </c>
      <c r="N37" s="129"/>
      <c r="O37" s="129">
        <f>SUM(EASTERNFL:VALENCIA!N37)</f>
        <v>54828</v>
      </c>
      <c r="P37" s="80">
        <f t="shared" ref="P37:P45" si="11">ROUND(O37,0)+ROUND(M37,0)</f>
        <v>1245317115</v>
      </c>
      <c r="Q37" s="81"/>
      <c r="R37" s="31"/>
      <c r="S37" s="38"/>
      <c r="T37" s="47">
        <f t="shared" ref="T37:T45" si="12">M37</f>
        <v>1245262286.8800001</v>
      </c>
      <c r="U37" s="47">
        <f t="shared" ref="U37:U45" si="13">ROUND(T37,0)-T37</f>
        <v>0.11999988555908203</v>
      </c>
      <c r="V37" s="47">
        <f t="shared" ref="V37:V45" si="14">O37</f>
        <v>54828</v>
      </c>
      <c r="W37" s="47">
        <f t="shared" ref="W37:W45" si="15">ROUND(V37,0)-V37</f>
        <v>0</v>
      </c>
      <c r="X37" s="226"/>
    </row>
    <row r="38" spans="1:24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130">
        <f>SUM(EASTERNFL:VALENCIA!J38)</f>
        <v>512522104.38</v>
      </c>
      <c r="K38" s="130"/>
      <c r="L38" s="130">
        <f>SUM(EASTERNFL:VALENCIA!K38)</f>
        <v>54414002.640000001</v>
      </c>
      <c r="M38" s="130">
        <f>SUM(EASTERNFL:VALENCIA!L38)</f>
        <v>566936107.01999998</v>
      </c>
      <c r="N38" s="130"/>
      <c r="O38" s="130">
        <f>SUM(EASTERNFL:VALENCIA!N38)</f>
        <v>0</v>
      </c>
      <c r="P38" s="80">
        <f t="shared" si="11"/>
        <v>566936107</v>
      </c>
      <c r="Q38" s="81"/>
      <c r="R38" s="31"/>
      <c r="S38" s="38"/>
      <c r="T38" s="47">
        <f t="shared" si="12"/>
        <v>566936107.01999998</v>
      </c>
      <c r="U38" s="47">
        <f t="shared" si="13"/>
        <v>-1.9999980926513672E-2</v>
      </c>
      <c r="V38" s="47">
        <f t="shared" si="14"/>
        <v>0</v>
      </c>
      <c r="W38" s="47">
        <f t="shared" si="15"/>
        <v>0</v>
      </c>
      <c r="X38" s="226"/>
    </row>
    <row r="39" spans="1:24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130">
        <f>SUM(EASTERNFL:VALENCIA!J39)</f>
        <v>384589022.13</v>
      </c>
      <c r="K39" s="130"/>
      <c r="L39" s="130">
        <f>SUM(EASTERNFL:VALENCIA!K39)</f>
        <v>-48392202.32</v>
      </c>
      <c r="M39" s="130">
        <f>SUM(EASTERNFL:VALENCIA!L39)</f>
        <v>336196819.81</v>
      </c>
      <c r="N39" s="130"/>
      <c r="O39" s="130">
        <f>SUM(EASTERNFL:VALENCIA!N39)</f>
        <v>6805453.0899999999</v>
      </c>
      <c r="P39" s="80">
        <f t="shared" si="11"/>
        <v>343002273</v>
      </c>
      <c r="Q39" s="81"/>
      <c r="R39" s="31"/>
      <c r="S39" s="38"/>
      <c r="T39" s="47">
        <f t="shared" si="12"/>
        <v>336196819.81</v>
      </c>
      <c r="U39" s="47">
        <f t="shared" si="13"/>
        <v>0.18999999761581421</v>
      </c>
      <c r="V39" s="47">
        <f t="shared" si="14"/>
        <v>6805453.0899999999</v>
      </c>
      <c r="W39" s="47">
        <f t="shared" si="15"/>
        <v>-8.9999999850988388E-2</v>
      </c>
      <c r="X39" s="226"/>
    </row>
    <row r="40" spans="1:24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130">
        <f>SUM(EASTERNFL:VALENCIA!J40)</f>
        <v>23377517.570000004</v>
      </c>
      <c r="K40" s="130"/>
      <c r="L40" s="130">
        <f>SUM(EASTERNFL:VALENCIA!K40)</f>
        <v>-1508237.06</v>
      </c>
      <c r="M40" s="130">
        <f>SUM(EASTERNFL:VALENCIA!L40)</f>
        <v>21869280.510000002</v>
      </c>
      <c r="N40" s="130"/>
      <c r="O40" s="130">
        <f>SUM(EASTERNFL:VALENCIA!N40)</f>
        <v>40404728.310000002</v>
      </c>
      <c r="P40" s="80">
        <f t="shared" si="11"/>
        <v>62274009</v>
      </c>
      <c r="Q40" s="81"/>
      <c r="R40" s="31"/>
      <c r="S40" s="38"/>
      <c r="T40" s="47">
        <f t="shared" si="12"/>
        <v>21869280.510000002</v>
      </c>
      <c r="U40" s="47">
        <f t="shared" si="13"/>
        <v>0.48999999836087227</v>
      </c>
      <c r="V40" s="47">
        <f t="shared" si="14"/>
        <v>40404728.310000002</v>
      </c>
      <c r="W40" s="47">
        <f t="shared" si="15"/>
        <v>-0.31000000238418579</v>
      </c>
      <c r="X40" s="226"/>
    </row>
    <row r="41" spans="1:24" s="43" customFormat="1">
      <c r="A41" s="12" t="s">
        <v>66</v>
      </c>
      <c r="B41" s="72" t="s">
        <v>64</v>
      </c>
      <c r="C41" s="36" t="str">
        <f>IF(M41&lt;0,IF(O41&gt;0,"Net Gain (Loss) on Investments","Net Loss on Investments"),IF(M41&gt;0,IF(O41&gt;=0,"Net Gain on Investments","Net Gain (Loss) on Investments"),IF(O41&lt;0,"Net Loss on Investments",IF(O41&gt;0,"Net Gain on Investments","Net Gain (Loss) on Investments"))))</f>
        <v>Net Gain on Investments</v>
      </c>
      <c r="D41" s="35"/>
      <c r="E41" s="14"/>
      <c r="F41" s="14"/>
      <c r="G41" s="35"/>
      <c r="H41" s="14"/>
      <c r="I41" s="15"/>
      <c r="J41" s="130">
        <f>SUM(EASTERNFL:VALENCIA!J41)</f>
        <v>815764.07000000239</v>
      </c>
      <c r="K41" s="130"/>
      <c r="L41" s="130">
        <f>SUM(EASTERNFL:VALENCIA!K41)</f>
        <v>1508237.4</v>
      </c>
      <c r="M41" s="130">
        <f>SUM(EASTERNFL:VALENCIA!L41)</f>
        <v>2324001.4700000025</v>
      </c>
      <c r="N41" s="130"/>
      <c r="O41" s="130">
        <f>SUM(EASTERNFL:VALENCIA!N41)</f>
        <v>48417784</v>
      </c>
      <c r="P41" s="80">
        <f t="shared" si="11"/>
        <v>50741785</v>
      </c>
      <c r="Q41" s="81"/>
      <c r="R41" s="31"/>
      <c r="S41" s="38"/>
      <c r="T41" s="47">
        <f t="shared" si="12"/>
        <v>2324001.4700000025</v>
      </c>
      <c r="U41" s="47">
        <f t="shared" si="13"/>
        <v>-0.4700000025331974</v>
      </c>
      <c r="V41" s="47">
        <f t="shared" si="14"/>
        <v>48417784</v>
      </c>
      <c r="W41" s="47">
        <f t="shared" si="15"/>
        <v>0</v>
      </c>
      <c r="X41" s="226"/>
    </row>
    <row r="42" spans="1:24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130">
        <f>SUM(EASTERNFL:VALENCIA!J42)</f>
        <v>436133.19000000006</v>
      </c>
      <c r="K42" s="130"/>
      <c r="L42" s="130">
        <f>SUM(EASTERNFL:VALENCIA!K42)</f>
        <v>1662685.7400000002</v>
      </c>
      <c r="M42" s="130">
        <f>SUM(EASTERNFL:VALENCIA!L42)</f>
        <v>2098818.9299999997</v>
      </c>
      <c r="N42" s="130"/>
      <c r="O42" s="130">
        <f>SUM(EASTERNFL:VALENCIA!N42)</f>
        <v>9053348</v>
      </c>
      <c r="P42" s="80">
        <f t="shared" si="11"/>
        <v>11152167</v>
      </c>
      <c r="Q42" s="81"/>
      <c r="R42" s="31"/>
      <c r="S42" s="38"/>
      <c r="T42" s="47">
        <f t="shared" si="12"/>
        <v>2098818.9299999997</v>
      </c>
      <c r="U42" s="47">
        <f t="shared" si="13"/>
        <v>7.0000000298023224E-2</v>
      </c>
      <c r="V42" s="47">
        <f t="shared" si="14"/>
        <v>9053348</v>
      </c>
      <c r="W42" s="47">
        <f t="shared" si="15"/>
        <v>0</v>
      </c>
      <c r="X42" s="226"/>
    </row>
    <row r="43" spans="1:24" s="43" customFormat="1">
      <c r="A43" s="12" t="s">
        <v>69</v>
      </c>
      <c r="B43" s="72" t="s">
        <v>70</v>
      </c>
      <c r="C43" s="36" t="str">
        <f>IF(M43&lt;0,IF(O43&gt;0,"Gain (Loss) on Disposal of Capital Assets","Loss on Disposal of Capital Assets"),IF(M43&gt;0,IF(O43&gt;=0,"Gain on Disposal of Capital Assets","Gain (Loss) on Disposal of Capital Assets"),IF(O43&lt;0,"Loss on Disposal of Capital Assets",IF(O43&gt;0,"Gain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130">
        <f>SUM(EASTERNFL:VALENCIA!J43)</f>
        <v>-2225434.4400000004</v>
      </c>
      <c r="K43" s="130"/>
      <c r="L43" s="130">
        <f>SUM(EASTERNFL:VALENCIA!K43)</f>
        <v>-200727.22</v>
      </c>
      <c r="M43" s="130">
        <f>SUM(EASTERNFL:VALENCIA!L43)</f>
        <v>-2426161.6600000006</v>
      </c>
      <c r="N43" s="130"/>
      <c r="O43" s="130">
        <f>SUM(EASTERNFL:VALENCIA!N43)</f>
        <v>-10960</v>
      </c>
      <c r="P43" s="80">
        <f t="shared" si="11"/>
        <v>-2437122</v>
      </c>
      <c r="Q43" s="81"/>
      <c r="R43" s="31"/>
      <c r="S43" s="38"/>
      <c r="T43" s="47">
        <f t="shared" si="12"/>
        <v>-2426161.6600000006</v>
      </c>
      <c r="U43" s="47">
        <f t="shared" si="13"/>
        <v>-0.3399999993853271</v>
      </c>
      <c r="V43" s="47">
        <f t="shared" si="14"/>
        <v>-10960</v>
      </c>
      <c r="W43" s="47">
        <f t="shared" si="15"/>
        <v>0</v>
      </c>
      <c r="X43" s="226"/>
    </row>
    <row r="44" spans="1:24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130">
        <f>SUM(EASTERNFL:VALENCIA!J44)</f>
        <v>-7401077.2999999998</v>
      </c>
      <c r="K44" s="130"/>
      <c r="L44" s="130">
        <f>SUM(EASTERNFL:VALENCIA!K44)</f>
        <v>0</v>
      </c>
      <c r="M44" s="130">
        <f>SUM(EASTERNFL:VALENCIA!L44)</f>
        <v>-7401077.2999999998</v>
      </c>
      <c r="N44" s="130"/>
      <c r="O44" s="130">
        <f>SUM(EASTERNFL:VALENCIA!N44)</f>
        <v>-773537</v>
      </c>
      <c r="P44" s="80">
        <f t="shared" si="11"/>
        <v>-8174614</v>
      </c>
      <c r="Q44" s="81"/>
      <c r="R44" s="31"/>
      <c r="S44" s="38"/>
      <c r="T44" s="47">
        <f t="shared" si="12"/>
        <v>-7401077.2999999998</v>
      </c>
      <c r="U44" s="47">
        <f t="shared" si="13"/>
        <v>0.29999999981373549</v>
      </c>
      <c r="V44" s="47">
        <f t="shared" si="14"/>
        <v>-773537</v>
      </c>
      <c r="W44" s="47">
        <f t="shared" si="15"/>
        <v>0</v>
      </c>
      <c r="X44" s="226"/>
    </row>
    <row r="45" spans="1:24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131">
        <f>SUM(EASTERNFL:VALENCIA!J45)</f>
        <v>0</v>
      </c>
      <c r="K45" s="131"/>
      <c r="L45" s="131">
        <f>SUM(EASTERNFL:VALENCIA!K45)</f>
        <v>-3473874.9299999997</v>
      </c>
      <c r="M45" s="131">
        <f>SUM(EASTERNFL:VALENCIA!L45)</f>
        <v>-3473874.9299999997</v>
      </c>
      <c r="N45" s="131"/>
      <c r="O45" s="131">
        <f>SUM(EASTERNFL:VALENCIA!N45)</f>
        <v>-52655</v>
      </c>
      <c r="P45" s="82">
        <f t="shared" si="11"/>
        <v>-3526530</v>
      </c>
      <c r="Q45" s="81"/>
      <c r="R45" s="31"/>
      <c r="S45" s="38"/>
      <c r="T45" s="47">
        <f t="shared" si="12"/>
        <v>-3473874.9299999997</v>
      </c>
      <c r="U45" s="47">
        <f t="shared" si="13"/>
        <v>-7.0000000298023224E-2</v>
      </c>
      <c r="V45" s="47">
        <f t="shared" si="14"/>
        <v>-52655</v>
      </c>
      <c r="W45" s="47">
        <f t="shared" si="15"/>
        <v>0</v>
      </c>
      <c r="X45" s="226"/>
    </row>
    <row r="46" spans="1:24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4"/>
      <c r="O46" s="83"/>
      <c r="P46" s="83"/>
      <c r="Q46" s="85"/>
      <c r="R46" s="31"/>
      <c r="S46" s="38"/>
      <c r="T46" s="63"/>
      <c r="U46" s="63"/>
      <c r="V46" s="63"/>
      <c r="W46" s="63"/>
      <c r="X46" s="226"/>
    </row>
    <row r="47" spans="1:24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66">
        <f t="array" ref="J47">SUM(ROUND(J37:J45,0))</f>
        <v>2161583815</v>
      </c>
      <c r="K47" s="59"/>
      <c r="L47" s="66">
        <f t="array" ref="L47">SUM(ROUND(L37:L45,0))</f>
        <v>-197613</v>
      </c>
      <c r="M47" s="66">
        <f t="array" ref="M47">SUM(ROUND(M37:M45,0))</f>
        <v>2161386201</v>
      </c>
      <c r="N47" s="59"/>
      <c r="O47" s="66">
        <f t="array" ref="O47">SUM(ROUND(O37:O45,0))</f>
        <v>103898989</v>
      </c>
      <c r="P47" s="66">
        <f t="array" ref="P47">SUM(ROUND(P37:P45,0))</f>
        <v>2265285190</v>
      </c>
      <c r="Q47" s="68"/>
      <c r="R47" s="31"/>
      <c r="S47" s="38"/>
      <c r="T47" s="69">
        <f>SUM(T37:T45)</f>
        <v>2161386200.73</v>
      </c>
      <c r="U47" s="69">
        <f>M47-T47</f>
        <v>0.26999998092651367</v>
      </c>
      <c r="V47" s="69">
        <f>SUM(V37:V45)</f>
        <v>103898989.40000001</v>
      </c>
      <c r="W47" s="69">
        <f>O47-V47</f>
        <v>-0.40000000596046448</v>
      </c>
      <c r="X47" s="226"/>
    </row>
    <row r="48" spans="1:24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59"/>
      <c r="O48" s="59"/>
      <c r="P48" s="59"/>
      <c r="Q48" s="77"/>
      <c r="R48" s="31"/>
      <c r="S48" s="88"/>
      <c r="T48" s="47"/>
      <c r="U48" s="47"/>
      <c r="V48" s="47"/>
      <c r="W48" s="47"/>
      <c r="X48" s="226"/>
    </row>
    <row r="49" spans="1:24" s="43" customFormat="1">
      <c r="A49" s="52"/>
      <c r="B49" s="53"/>
      <c r="C49" s="65" t="str">
        <f>IF(M50&lt;0,IF(O50&gt;0,"Income (Loss) Before Other Revenues,","Loss Before Other Revenues,"),IF(M50&gt;0,IF(O50&gt;=0,"Income Before Other Revenues,","Income (Loss) Before Other Revenues,"),IF(O59&lt;0,"Loss Before Other Revenues,",IF(O59&gt;0,"Income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5"/>
      <c r="O49" s="35"/>
      <c r="P49" s="35"/>
      <c r="Q49" s="37"/>
      <c r="R49" s="31"/>
      <c r="S49" s="38"/>
      <c r="T49" s="75"/>
      <c r="U49" s="47"/>
      <c r="V49" s="47"/>
      <c r="W49" s="47"/>
      <c r="X49" s="226"/>
    </row>
    <row r="50" spans="1:24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66">
        <f>J34+J47</f>
        <v>-204437713</v>
      </c>
      <c r="K50" s="59"/>
      <c r="L50" s="66">
        <f>L34+L47</f>
        <v>6954266</v>
      </c>
      <c r="M50" s="66">
        <f>M34+M47</f>
        <v>-197483449</v>
      </c>
      <c r="N50" s="59"/>
      <c r="O50" s="66">
        <f>O34+O47</f>
        <v>80436298</v>
      </c>
      <c r="P50" s="66">
        <f>P34+P47</f>
        <v>-117047151</v>
      </c>
      <c r="Q50" s="68"/>
      <c r="R50" s="31"/>
      <c r="S50" s="38"/>
      <c r="T50" s="69">
        <f>T34+T47</f>
        <v>-51227830.069999695</v>
      </c>
      <c r="U50" s="69">
        <f>M50-T50</f>
        <v>-146255618.93000031</v>
      </c>
      <c r="V50" s="69">
        <f>V34+V47</f>
        <v>80436298.469999999</v>
      </c>
      <c r="W50" s="69">
        <f>O50-V50</f>
        <v>-0.4699999988079071</v>
      </c>
      <c r="X50" s="226"/>
    </row>
    <row r="51" spans="1:24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7"/>
      <c r="O51" s="17"/>
      <c r="P51" s="17"/>
      <c r="Q51" s="18"/>
      <c r="R51" s="31"/>
      <c r="S51" s="38"/>
      <c r="T51" s="47"/>
      <c r="U51" s="47"/>
      <c r="V51" s="47"/>
      <c r="W51" s="47"/>
      <c r="X51" s="226"/>
    </row>
    <row r="52" spans="1:24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129">
        <f>SUM(EASTERNFL:VALENCIA!J52)</f>
        <v>196802520.62</v>
      </c>
      <c r="K52" s="129"/>
      <c r="L52" s="129">
        <f>SUM(EASTERNFL:VALENCIA!K52)</f>
        <v>202603.77</v>
      </c>
      <c r="M52" s="129">
        <f>SUM(EASTERNFL:VALENCIA!L52)</f>
        <v>197005124.38999999</v>
      </c>
      <c r="N52" s="129"/>
      <c r="O52" s="129">
        <f>SUM(EASTERNFL:VALENCIA!N52)</f>
        <v>5255</v>
      </c>
      <c r="P52" s="80">
        <f t="shared" ref="P52:P55" si="16">ROUND(O52,0)+ROUND(M52,0)</f>
        <v>197010379</v>
      </c>
      <c r="Q52" s="81"/>
      <c r="R52" s="31"/>
      <c r="S52" s="38"/>
      <c r="T52" s="47">
        <f t="shared" ref="T52:T55" si="17">M52</f>
        <v>197005124.38999999</v>
      </c>
      <c r="U52" s="47">
        <f t="shared" ref="U52:U55" si="18">ROUND(T52,0)-T52</f>
        <v>-0.38999998569488525</v>
      </c>
      <c r="V52" s="47">
        <f t="shared" ref="V52:V55" si="19">O52</f>
        <v>5255</v>
      </c>
      <c r="W52" s="47">
        <f t="shared" ref="W52:W55" si="20">ROUND(V52,0)-V52</f>
        <v>0</v>
      </c>
      <c r="X52" s="226"/>
    </row>
    <row r="53" spans="1:24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130">
        <f>SUM(EASTERNFL:VALENCIA!J53)</f>
        <v>121040969.52</v>
      </c>
      <c r="K53" s="130"/>
      <c r="L53" s="130">
        <f>SUM(EASTERNFL:VALENCIA!K53)</f>
        <v>217824.2900000001</v>
      </c>
      <c r="M53" s="130">
        <f>SUM(EASTERNFL:VALENCIA!L53)</f>
        <v>121258793.81</v>
      </c>
      <c r="N53" s="130"/>
      <c r="O53" s="130">
        <f>SUM(EASTERNFL:VALENCIA!N53)</f>
        <v>230329</v>
      </c>
      <c r="P53" s="50">
        <f t="shared" si="16"/>
        <v>121489123</v>
      </c>
      <c r="Q53" s="51"/>
      <c r="R53" s="31"/>
      <c r="S53" s="38"/>
      <c r="T53" s="75">
        <f t="shared" si="17"/>
        <v>121258793.81</v>
      </c>
      <c r="U53" s="75">
        <f t="shared" si="18"/>
        <v>0.18999999761581421</v>
      </c>
      <c r="V53" s="75">
        <f t="shared" si="19"/>
        <v>230329</v>
      </c>
      <c r="W53" s="75">
        <f t="shared" si="20"/>
        <v>0</v>
      </c>
      <c r="X53" s="226"/>
    </row>
    <row r="54" spans="1:24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130">
        <f>SUM(EASTERNFL:VALENCIA!J54)</f>
        <v>1640016.94</v>
      </c>
      <c r="K54" s="130"/>
      <c r="L54" s="130">
        <f>SUM(EASTERNFL:VALENCIA!K54)</f>
        <v>0</v>
      </c>
      <c r="M54" s="130">
        <f>SUM(EASTERNFL:VALENCIA!L54)</f>
        <v>1640016.94</v>
      </c>
      <c r="N54" s="130"/>
      <c r="O54" s="130">
        <f>SUM(EASTERNFL:VALENCIA!N54)</f>
        <v>5723249.0499999998</v>
      </c>
      <c r="P54" s="89">
        <f t="shared" si="16"/>
        <v>7363266</v>
      </c>
      <c r="Q54" s="51"/>
      <c r="R54" s="31"/>
      <c r="T54" s="75">
        <f t="shared" si="17"/>
        <v>1640016.94</v>
      </c>
      <c r="U54" s="75">
        <f t="shared" si="18"/>
        <v>6.0000000055879354E-2</v>
      </c>
      <c r="V54" s="75">
        <f t="shared" si="19"/>
        <v>5723249.0499999998</v>
      </c>
      <c r="W54" s="75">
        <f t="shared" si="20"/>
        <v>-4.9999999813735485E-2</v>
      </c>
      <c r="X54" s="226"/>
    </row>
    <row r="55" spans="1:24">
      <c r="A55" s="52" t="s">
        <v>86</v>
      </c>
      <c r="B55" s="53" t="s">
        <v>84</v>
      </c>
      <c r="C55" s="76" t="str">
        <f>IF(M55&lt;0,IF(O55&gt;0,"Other Revenues (Expenses)","Other Expenses"),IF(M55&gt;0,IF(O55&gt;=0,"Other Revenues","Other Revenues (Expenses)"),IF(O55&lt;0,"Other Expenses",IF(O55&gt;0,"Other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131">
        <f>SUM(EASTERNFL:VALENCIA!J55)</f>
        <v>0</v>
      </c>
      <c r="K55" s="131"/>
      <c r="L55" s="131">
        <f>SUM(EASTERNFL:VALENCIA!K55)</f>
        <v>-1236002</v>
      </c>
      <c r="M55" s="131">
        <f>SUM(EASTERNFL:VALENCIA!L55)</f>
        <v>-1236002</v>
      </c>
      <c r="N55" s="131"/>
      <c r="O55" s="131">
        <f>SUM(EASTERNFL:VALENCIA!N55)</f>
        <v>454502</v>
      </c>
      <c r="P55" s="58">
        <f t="shared" si="16"/>
        <v>-781500</v>
      </c>
      <c r="Q55" s="51"/>
      <c r="R55" s="31"/>
      <c r="T55" s="69">
        <f t="shared" si="17"/>
        <v>-1236002</v>
      </c>
      <c r="U55" s="69">
        <f t="shared" si="18"/>
        <v>0</v>
      </c>
      <c r="V55" s="75">
        <f t="shared" si="19"/>
        <v>454502</v>
      </c>
      <c r="W55" s="69">
        <f t="shared" si="20"/>
        <v>0</v>
      </c>
      <c r="X55" s="226"/>
    </row>
    <row r="56" spans="1:2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4"/>
      <c r="O56" s="83"/>
      <c r="P56" s="83"/>
      <c r="Q56" s="85"/>
      <c r="R56" s="31"/>
      <c r="T56" s="47"/>
      <c r="U56" s="47"/>
      <c r="V56" s="63"/>
      <c r="W56" s="47"/>
      <c r="X56" s="226"/>
    </row>
    <row r="57" spans="1:24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90">
        <f t="array" ref="J57">SUM(ROUND(J52:J55,0))</f>
        <v>319483508</v>
      </c>
      <c r="K57" s="59"/>
      <c r="L57" s="90">
        <f t="array" ref="L57">SUM(ROUND(L52:L55,0))</f>
        <v>-815574</v>
      </c>
      <c r="M57" s="90">
        <f t="array" ref="M57">SUM(ROUND(M52:M55,0))</f>
        <v>318667933</v>
      </c>
      <c r="N57" s="59"/>
      <c r="O57" s="90">
        <f t="array" ref="O57">SUM(ROUND(O52:O55,0))</f>
        <v>6413335</v>
      </c>
      <c r="P57" s="90">
        <f t="array" ref="P57">SUM(ROUND(P52:P55,0))</f>
        <v>325081268</v>
      </c>
      <c r="Q57" s="91"/>
      <c r="R57" s="31"/>
      <c r="T57" s="69">
        <f>SUM(T52:T55)</f>
        <v>318667933.13999999</v>
      </c>
      <c r="U57" s="69">
        <f>M57-T57</f>
        <v>-0.13999998569488525</v>
      </c>
      <c r="V57" s="69">
        <f>SUM(V52:V55)</f>
        <v>6413335.0499999998</v>
      </c>
      <c r="W57" s="69">
        <f>O57-V57</f>
        <v>-4.9999999813735485E-2</v>
      </c>
      <c r="X57" s="226"/>
    </row>
    <row r="58" spans="1:2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59"/>
      <c r="O58" s="59"/>
      <c r="P58" s="59"/>
      <c r="Q58" s="77"/>
      <c r="R58" s="31"/>
      <c r="T58" s="47"/>
      <c r="U58" s="47"/>
      <c r="V58" s="47"/>
      <c r="W58" s="47"/>
      <c r="X58" s="226"/>
    </row>
    <row r="59" spans="1:24">
      <c r="A59" s="70"/>
      <c r="B59" s="53"/>
      <c r="C59" s="65" t="str">
        <f>IF(M59&lt;0,IF(O59&gt;0,"Increase (Decrease) in Net Position","Decrease in Net Position"),IF(M59&gt;0,IF(O59&gt;=0,"Increase in Net Position","Increase (Decrease) in Net Position"),IF(O59&lt;0,"Decrease in Net Position",IF(O59&gt;0,"Increase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90">
        <f>J50+J57</f>
        <v>115045795</v>
      </c>
      <c r="K59" s="92"/>
      <c r="L59" s="90">
        <f>L50+L57</f>
        <v>6138692</v>
      </c>
      <c r="M59" s="90">
        <f>M50+M57</f>
        <v>121184484</v>
      </c>
      <c r="N59" s="92"/>
      <c r="O59" s="90">
        <f>O50+O57</f>
        <v>86849633</v>
      </c>
      <c r="P59" s="90">
        <f>P50+P57</f>
        <v>208034117</v>
      </c>
      <c r="Q59" s="91"/>
      <c r="R59" s="31"/>
      <c r="T59" s="69">
        <f>T50+T57</f>
        <v>267440103.07000029</v>
      </c>
      <c r="U59" s="69">
        <f>T59-M59</f>
        <v>146255619.07000029</v>
      </c>
      <c r="V59" s="69">
        <f>V50+V57</f>
        <v>86849633.519999996</v>
      </c>
      <c r="W59" s="69">
        <f>O59-V59</f>
        <v>-0.51999999582767487</v>
      </c>
      <c r="X59" s="226"/>
    </row>
    <row r="60" spans="1:2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4"/>
      <c r="O60" s="94"/>
      <c r="P60" s="94"/>
      <c r="Q60" s="95"/>
      <c r="R60" s="31"/>
      <c r="T60" s="47"/>
      <c r="U60" s="47"/>
      <c r="V60" s="47"/>
      <c r="W60" s="47"/>
      <c r="X60" s="226"/>
    </row>
    <row r="61" spans="1:24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>
        <f>SUM(EASTERNFL:VALENCIA!I61)</f>
        <v>0</v>
      </c>
      <c r="K61" s="96"/>
      <c r="L61" s="96">
        <f>SUM(EASTERNFL:VALENCIA!K61)</f>
        <v>0</v>
      </c>
      <c r="M61" s="96">
        <f>SUM(EASTERNFL:VALENCIA!L61)</f>
        <v>4878440468.0300007</v>
      </c>
      <c r="N61" s="96"/>
      <c r="O61" s="96">
        <f>SUM(EASTERNFL:VALENCIA!N61)</f>
        <v>1057453210</v>
      </c>
      <c r="P61" s="89">
        <f t="shared" ref="P61" si="21">ROUND(O61,0)+ROUND(M61,0)</f>
        <v>5935893678</v>
      </c>
      <c r="Q61" s="97"/>
      <c r="R61" s="31"/>
      <c r="T61" s="47">
        <f t="shared" ref="T61:T62" si="22">M61</f>
        <v>4878440468.0300007</v>
      </c>
      <c r="U61" s="47">
        <f t="shared" ref="U61:U62" si="23">ROUND(T61,0)-T61</f>
        <v>-3.0000686645507813E-2</v>
      </c>
      <c r="V61" s="47">
        <f t="shared" ref="V61:V62" si="24">O61</f>
        <v>1057453210</v>
      </c>
      <c r="W61" s="47">
        <f t="shared" ref="W61:W62" si="25">ROUND(V61,0)-V61</f>
        <v>0</v>
      </c>
      <c r="X61" s="226"/>
    </row>
    <row r="62" spans="1:24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96">
        <f>SUM(EASTERNFL:VALENCIA!I62)</f>
        <v>0</v>
      </c>
      <c r="K62" s="96"/>
      <c r="L62" s="96">
        <f>SUM(EASTERNFL:VALENCIA!K62)</f>
        <v>0</v>
      </c>
      <c r="M62" s="96">
        <f>SUM(EASTERNFL:VALENCIA!L62)</f>
        <v>1982837.08</v>
      </c>
      <c r="N62" s="96"/>
      <c r="O62" s="96">
        <f>SUM(EASTERNFL:VALENCIA!N62)</f>
        <v>-1369668</v>
      </c>
      <c r="P62" s="82">
        <f>ROUND(O62,0)+ROUND(M62,0)</f>
        <v>613169</v>
      </c>
      <c r="Q62" s="81"/>
      <c r="R62" s="31"/>
      <c r="T62" s="69">
        <f t="shared" si="22"/>
        <v>1982837.08</v>
      </c>
      <c r="U62" s="69">
        <f t="shared" si="23"/>
        <v>-8.0000000074505806E-2</v>
      </c>
      <c r="V62" s="69">
        <f t="shared" si="24"/>
        <v>-1369668</v>
      </c>
      <c r="W62" s="69">
        <f t="shared" si="25"/>
        <v>0</v>
      </c>
      <c r="X62" s="226"/>
    </row>
    <row r="63" spans="1:24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2"/>
      <c r="N63" s="99"/>
      <c r="O63" s="99"/>
      <c r="P63" s="99"/>
      <c r="Q63" s="100"/>
      <c r="R63" s="31"/>
      <c r="S63" s="62"/>
      <c r="T63" s="47"/>
      <c r="U63" s="47"/>
      <c r="V63" s="47"/>
      <c r="W63" s="47"/>
      <c r="X63" s="226"/>
    </row>
    <row r="64" spans="1:24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71"/>
      <c r="K64" s="184"/>
      <c r="L64" s="271"/>
      <c r="M64" s="90">
        <f t="array" ref="M64">SUM(ROUND(M61:M62,0))</f>
        <v>4880423305</v>
      </c>
      <c r="N64" s="92"/>
      <c r="O64" s="90">
        <f t="array" ref="O64">SUM(ROUND(O61:O62,0))</f>
        <v>1056083542</v>
      </c>
      <c r="P64" s="90">
        <f t="array" ref="P64">SUM(ROUND(P61:P62,0))</f>
        <v>5936506847</v>
      </c>
      <c r="Q64" s="91"/>
      <c r="R64" s="31"/>
      <c r="S64" s="62"/>
      <c r="T64" s="75">
        <f>SUM(T61:T62)</f>
        <v>4880423305.1100006</v>
      </c>
      <c r="U64" s="47">
        <f>M64-T64</f>
        <v>-0.1100006103515625</v>
      </c>
      <c r="V64" s="75">
        <f>SUM(V61:V62)</f>
        <v>1056083542</v>
      </c>
      <c r="W64" s="47">
        <f>O64-V64</f>
        <v>0</v>
      </c>
      <c r="X64" s="226"/>
    </row>
    <row r="65" spans="1:24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102"/>
      <c r="N65" s="60"/>
      <c r="O65" s="60"/>
      <c r="P65" s="60"/>
      <c r="Q65" s="61"/>
      <c r="R65" s="31"/>
      <c r="S65" s="62"/>
      <c r="T65" s="47"/>
      <c r="U65" s="47"/>
      <c r="V65" s="47"/>
      <c r="W65" s="47"/>
      <c r="X65" s="226"/>
    </row>
    <row r="66" spans="1:24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2"/>
      <c r="K66" s="105"/>
      <c r="L66" s="272"/>
      <c r="M66" s="104">
        <f>M59+M64</f>
        <v>5001607789</v>
      </c>
      <c r="N66" s="105"/>
      <c r="O66" s="104">
        <f>O59+O64</f>
        <v>1142933175</v>
      </c>
      <c r="P66" s="104">
        <f>P59+P64</f>
        <v>6144540964</v>
      </c>
      <c r="Q66" s="46"/>
      <c r="R66" s="31"/>
      <c r="T66" s="106">
        <f>T64+T59</f>
        <v>5147863408.1800013</v>
      </c>
      <c r="U66" s="106">
        <f>M66-T66</f>
        <v>-146255619.18000126</v>
      </c>
      <c r="V66" s="106">
        <f>V64+V59</f>
        <v>1142933175.52</v>
      </c>
      <c r="W66" s="106">
        <f>O66-V66</f>
        <v>-0.51999998092651367</v>
      </c>
      <c r="X66" s="226"/>
    </row>
    <row r="67" spans="1:2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5"/>
      <c r="O67" s="107"/>
      <c r="P67" s="107"/>
      <c r="Q67" s="108"/>
      <c r="X67" s="226"/>
    </row>
    <row r="68" spans="1:24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87"/>
      <c r="O68" s="35"/>
      <c r="P68" s="35"/>
      <c r="Q68" s="37"/>
      <c r="X68" s="226"/>
    </row>
    <row r="69" spans="1:24">
      <c r="B69" s="72"/>
      <c r="I69" s="6"/>
      <c r="M69" s="109">
        <f>M66-'FCS SNP'!M121</f>
        <v>6</v>
      </c>
      <c r="N69" s="110"/>
      <c r="O69" s="111">
        <f>O66-'FCS SNP'!O121</f>
        <v>-6</v>
      </c>
      <c r="P69" s="111">
        <f>P66-'FCS SNP'!P121</f>
        <v>0</v>
      </c>
      <c r="Q69" s="112"/>
      <c r="X69" s="226"/>
    </row>
    <row r="70" spans="1:24" ht="12.75" hidden="1" customHeight="1">
      <c r="B70" s="72"/>
      <c r="I70" s="113" t="s">
        <v>97</v>
      </c>
      <c r="J70" s="114"/>
      <c r="K70" s="115"/>
      <c r="L70" s="114"/>
      <c r="M70" s="114"/>
      <c r="N70" s="115"/>
      <c r="O70" s="114"/>
      <c r="P70" s="114"/>
      <c r="Q70" s="114"/>
      <c r="R70" s="31"/>
    </row>
    <row r="71" spans="1:24" ht="12.75" hidden="1" customHeight="1">
      <c r="B71" s="72"/>
      <c r="J71" s="114"/>
      <c r="K71" s="115"/>
      <c r="L71" s="114"/>
      <c r="M71" s="114"/>
      <c r="N71" s="115"/>
      <c r="O71" s="114"/>
      <c r="P71" s="114"/>
      <c r="Q71" s="114"/>
      <c r="R71" s="31"/>
    </row>
    <row r="72" spans="1:24" ht="12.75" hidden="1" customHeight="1">
      <c r="B72" s="72"/>
      <c r="J72" s="114"/>
      <c r="K72" s="115"/>
      <c r="L72" s="116"/>
      <c r="M72" s="114"/>
      <c r="N72" s="115"/>
      <c r="O72" s="116"/>
      <c r="P72" s="116"/>
      <c r="Q72" s="116"/>
      <c r="R72" s="31"/>
    </row>
    <row r="73" spans="1:24" ht="12.75" hidden="1" customHeight="1">
      <c r="B73" s="72"/>
      <c r="J73" s="114"/>
      <c r="K73" s="115"/>
      <c r="L73" s="114"/>
      <c r="M73" s="114"/>
      <c r="N73" s="115"/>
      <c r="O73" s="114"/>
      <c r="P73" s="114"/>
      <c r="Q73" s="114"/>
      <c r="R73" s="31"/>
    </row>
    <row r="74" spans="1:24" ht="12.75" hidden="1" customHeight="1">
      <c r="B74" s="72"/>
      <c r="J74" s="114"/>
      <c r="K74" s="115"/>
      <c r="L74" s="114"/>
      <c r="M74" s="114"/>
      <c r="N74" s="115"/>
      <c r="O74" s="114"/>
      <c r="P74" s="114"/>
      <c r="Q74" s="114"/>
      <c r="R74" s="31"/>
    </row>
    <row r="75" spans="1:24" ht="12.75" hidden="1" customHeight="1">
      <c r="B75" s="72"/>
      <c r="J75" s="114"/>
      <c r="K75" s="115"/>
      <c r="L75" s="114"/>
      <c r="M75" s="114"/>
      <c r="N75" s="115"/>
      <c r="O75" s="114"/>
      <c r="P75" s="114"/>
      <c r="Q75" s="114"/>
      <c r="R75" s="31"/>
    </row>
    <row r="76" spans="1:24" ht="12.75" hidden="1" customHeight="1">
      <c r="A76" s="12"/>
      <c r="B76" s="117"/>
      <c r="J76" s="114"/>
      <c r="K76" s="115"/>
      <c r="L76" s="114"/>
      <c r="M76" s="114"/>
      <c r="N76" s="115"/>
      <c r="O76" s="114"/>
      <c r="P76" s="114"/>
      <c r="Q76" s="114"/>
      <c r="R76" s="31"/>
    </row>
    <row r="77" spans="1:24" ht="12.75" hidden="1" customHeight="1">
      <c r="B77" s="72"/>
      <c r="J77" s="114"/>
      <c r="K77" s="115"/>
      <c r="L77" s="114"/>
      <c r="M77" s="114"/>
      <c r="N77" s="115"/>
      <c r="O77" s="114"/>
      <c r="P77" s="114"/>
      <c r="Q77" s="114"/>
      <c r="R77" s="31"/>
    </row>
    <row r="78" spans="1:24" ht="12.75" hidden="1" customHeight="1">
      <c r="A78" s="12"/>
      <c r="B78" s="117"/>
      <c r="J78" s="114"/>
      <c r="K78" s="115"/>
      <c r="L78" s="114"/>
      <c r="M78" s="114"/>
      <c r="N78" s="115"/>
      <c r="O78" s="114"/>
      <c r="P78" s="114"/>
      <c r="Q78" s="114"/>
      <c r="R78" s="31"/>
    </row>
    <row r="79" spans="1:24" ht="12.75" hidden="1" customHeight="1">
      <c r="B79" s="72"/>
      <c r="J79" s="114"/>
      <c r="K79" s="115"/>
      <c r="L79" s="114"/>
      <c r="M79" s="114"/>
      <c r="N79" s="115"/>
      <c r="O79" s="114"/>
      <c r="P79" s="114"/>
      <c r="Q79" s="114"/>
      <c r="R79" s="31"/>
    </row>
    <row r="80" spans="1:24" ht="12.75" hidden="1" customHeight="1">
      <c r="A80" s="12"/>
      <c r="B80" s="117"/>
      <c r="J80" s="114"/>
      <c r="K80" s="115"/>
      <c r="L80" s="114"/>
      <c r="M80" s="114"/>
      <c r="N80" s="115"/>
      <c r="O80" s="114"/>
      <c r="P80" s="114"/>
      <c r="Q80" s="114"/>
      <c r="R80" s="31"/>
    </row>
    <row r="81" spans="1:18" ht="12.75" hidden="1" customHeight="1">
      <c r="B81" s="72"/>
      <c r="J81" s="114"/>
      <c r="K81" s="115"/>
      <c r="L81" s="114"/>
      <c r="M81" s="114"/>
      <c r="N81" s="115"/>
      <c r="O81" s="114"/>
      <c r="P81" s="114"/>
      <c r="Q81" s="114"/>
      <c r="R81" s="31"/>
    </row>
    <row r="82" spans="1:18" ht="12.75" hidden="1" customHeight="1">
      <c r="B82" s="72"/>
      <c r="J82" s="114"/>
      <c r="K82" s="115"/>
      <c r="L82" s="114"/>
      <c r="M82" s="114"/>
      <c r="N82" s="115"/>
      <c r="O82" s="114"/>
      <c r="P82" s="114"/>
      <c r="Q82" s="114"/>
      <c r="R82" s="31"/>
    </row>
    <row r="83" spans="1:18" ht="12.75" hidden="1" customHeight="1">
      <c r="B83" s="72"/>
      <c r="J83" s="114"/>
      <c r="K83" s="115"/>
      <c r="L83" s="114"/>
      <c r="M83" s="114"/>
      <c r="N83" s="115"/>
      <c r="O83" s="114"/>
      <c r="P83" s="114"/>
      <c r="Q83" s="114"/>
      <c r="R83" s="31"/>
    </row>
    <row r="84" spans="1:18" ht="12.75" hidden="1" customHeight="1">
      <c r="B84" s="72"/>
      <c r="J84" s="114"/>
      <c r="K84" s="115"/>
      <c r="L84" s="114"/>
      <c r="M84" s="114"/>
      <c r="N84" s="115"/>
      <c r="O84" s="114"/>
      <c r="P84" s="114"/>
      <c r="Q84" s="114"/>
      <c r="R84" s="31"/>
    </row>
    <row r="85" spans="1:18" ht="12.75" hidden="1" customHeight="1">
      <c r="B85" s="72"/>
      <c r="J85" s="114"/>
      <c r="K85" s="115"/>
      <c r="L85" s="114"/>
      <c r="M85" s="114"/>
      <c r="N85" s="115"/>
      <c r="O85" s="114"/>
      <c r="P85" s="114"/>
      <c r="Q85" s="114"/>
      <c r="R85" s="31"/>
    </row>
    <row r="86" spans="1:18" ht="12.75" hidden="1" customHeight="1">
      <c r="B86" s="72"/>
      <c r="J86" s="114"/>
      <c r="K86" s="115"/>
      <c r="L86" s="114"/>
      <c r="M86" s="114"/>
      <c r="N86" s="115"/>
      <c r="O86" s="114"/>
      <c r="P86" s="114"/>
      <c r="Q86" s="114"/>
      <c r="R86" s="31"/>
    </row>
    <row r="87" spans="1:18" ht="12.75" hidden="1" customHeight="1">
      <c r="B87" s="72"/>
      <c r="J87" s="114"/>
      <c r="K87" s="115"/>
      <c r="L87" s="114"/>
      <c r="M87" s="114"/>
      <c r="N87" s="115"/>
      <c r="O87" s="114"/>
      <c r="P87" s="114"/>
      <c r="Q87" s="114"/>
      <c r="R87" s="31"/>
    </row>
    <row r="88" spans="1:18" ht="12.75" hidden="1" customHeight="1">
      <c r="B88" s="72"/>
      <c r="J88" s="114"/>
      <c r="K88" s="115"/>
      <c r="L88" s="114"/>
      <c r="M88" s="114"/>
      <c r="N88" s="115"/>
      <c r="O88" s="114"/>
      <c r="P88" s="114"/>
      <c r="Q88" s="114"/>
      <c r="R88" s="31"/>
    </row>
    <row r="89" spans="1:18" ht="12.75" hidden="1" customHeight="1">
      <c r="B89" s="72"/>
      <c r="J89" s="114"/>
      <c r="K89" s="115"/>
      <c r="L89" s="114"/>
      <c r="M89" s="114"/>
      <c r="N89" s="115"/>
      <c r="O89" s="114"/>
      <c r="P89" s="114"/>
      <c r="Q89" s="114"/>
      <c r="R89" s="31"/>
    </row>
    <row r="90" spans="1:18" ht="12.75" hidden="1" customHeight="1">
      <c r="B90" s="72"/>
      <c r="J90" s="114"/>
      <c r="K90" s="115"/>
      <c r="L90" s="114"/>
      <c r="M90" s="114"/>
      <c r="N90" s="115"/>
      <c r="O90" s="114"/>
      <c r="P90" s="114"/>
      <c r="Q90" s="114"/>
      <c r="R90" s="31"/>
    </row>
    <row r="91" spans="1:18" ht="12.75" hidden="1" customHeight="1">
      <c r="B91" s="72"/>
      <c r="J91" s="114"/>
      <c r="K91" s="115"/>
      <c r="L91" s="114"/>
      <c r="M91" s="114"/>
      <c r="N91" s="115"/>
      <c r="O91" s="114"/>
      <c r="P91" s="114"/>
      <c r="Q91" s="114"/>
      <c r="R91" s="31"/>
    </row>
    <row r="92" spans="1:18" ht="12.75" hidden="1" customHeight="1">
      <c r="B92" s="72"/>
      <c r="J92" s="114"/>
      <c r="K92" s="115"/>
      <c r="L92" s="114"/>
      <c r="M92" s="114"/>
      <c r="N92" s="115"/>
      <c r="O92" s="114"/>
      <c r="P92" s="114"/>
      <c r="Q92" s="114"/>
      <c r="R92" s="31"/>
    </row>
    <row r="93" spans="1:18" ht="12.75" hidden="1" customHeight="1">
      <c r="B93" s="72"/>
      <c r="J93" s="114"/>
      <c r="K93" s="115"/>
      <c r="L93" s="114"/>
      <c r="M93" s="114"/>
      <c r="N93" s="115"/>
      <c r="O93" s="114"/>
      <c r="P93" s="114"/>
      <c r="Q93" s="114"/>
      <c r="R93" s="31"/>
    </row>
    <row r="94" spans="1:18" ht="12.75" hidden="1" customHeight="1">
      <c r="A94" s="12"/>
      <c r="B94" s="117"/>
      <c r="J94" s="114"/>
      <c r="K94" s="115"/>
      <c r="L94" s="114"/>
      <c r="M94" s="114"/>
      <c r="N94" s="115"/>
      <c r="O94" s="114"/>
      <c r="P94" s="114"/>
      <c r="Q94" s="114"/>
      <c r="R94" s="31"/>
    </row>
    <row r="95" spans="1:18" ht="12.75" hidden="1" customHeight="1">
      <c r="B95" s="72"/>
    </row>
    <row r="96" spans="1:18" ht="12.75" hidden="1" customHeight="1">
      <c r="A96" s="12"/>
      <c r="B96" s="117"/>
      <c r="L96" s="222">
        <v>5230094526</v>
      </c>
      <c r="O96" s="222">
        <v>5230094526</v>
      </c>
      <c r="P96" s="222">
        <v>936981570</v>
      </c>
    </row>
    <row r="97" spans="1:24" ht="12.75" hidden="1" customHeight="1">
      <c r="B97" s="72"/>
      <c r="E97" s="6" t="s">
        <v>98</v>
      </c>
    </row>
    <row r="98" spans="1:24" ht="15" hidden="1" customHeight="1">
      <c r="A98" s="12"/>
      <c r="B98" s="117"/>
      <c r="E98" s="118" t="s">
        <v>4</v>
      </c>
      <c r="F98" s="118" t="s">
        <v>99</v>
      </c>
      <c r="G98" s="118" t="s">
        <v>100</v>
      </c>
    </row>
    <row r="99" spans="1:24" s="119" customFormat="1" ht="23.25" hidden="1" customHeight="1">
      <c r="B99" s="120"/>
      <c r="E99" s="121" t="s">
        <v>101</v>
      </c>
      <c r="F99" s="122">
        <v>271263829</v>
      </c>
      <c r="G99" s="122">
        <v>67702476</v>
      </c>
      <c r="I99" s="123"/>
      <c r="J99" s="124"/>
      <c r="K99" s="125"/>
      <c r="L99" s="124"/>
      <c r="M99" s="124"/>
      <c r="N99" s="125"/>
      <c r="O99" s="124"/>
      <c r="P99" s="124"/>
      <c r="R99" s="123"/>
      <c r="X99" s="228"/>
    </row>
    <row r="100" spans="1:24" s="119" customFormat="1" ht="28.5" hidden="1" customHeight="1">
      <c r="A100" s="126"/>
      <c r="B100" s="127"/>
      <c r="E100" s="121" t="s">
        <v>102</v>
      </c>
      <c r="F100" s="122">
        <v>57164516</v>
      </c>
      <c r="G100" s="122">
        <v>16159940</v>
      </c>
      <c r="I100" s="123"/>
      <c r="K100" s="123"/>
      <c r="N100" s="123"/>
      <c r="R100" s="123"/>
      <c r="X100" s="228"/>
    </row>
    <row r="101" spans="1:24" s="119" customFormat="1" ht="36.75" hidden="1" customHeight="1">
      <c r="B101" s="128"/>
      <c r="E101" s="121" t="s">
        <v>103</v>
      </c>
      <c r="F101" s="122">
        <v>84636022</v>
      </c>
      <c r="G101" s="122">
        <v>77689489</v>
      </c>
      <c r="I101" s="123"/>
      <c r="K101" s="123"/>
      <c r="N101" s="123"/>
      <c r="R101" s="123"/>
      <c r="X101" s="228"/>
    </row>
    <row r="102" spans="1:24" s="119" customFormat="1" ht="22.5" hidden="1" customHeight="1">
      <c r="B102" s="128"/>
      <c r="E102" s="121" t="s">
        <v>104</v>
      </c>
      <c r="F102" s="122">
        <v>178313250</v>
      </c>
      <c r="G102" s="122">
        <v>18229963</v>
      </c>
      <c r="I102" s="123"/>
      <c r="K102" s="123"/>
      <c r="N102" s="123"/>
      <c r="R102" s="123"/>
      <c r="X102" s="228"/>
    </row>
    <row r="103" spans="1:24" s="119" customFormat="1" ht="37.5" hidden="1" customHeight="1">
      <c r="B103" s="128"/>
      <c r="E103" s="121" t="s">
        <v>105</v>
      </c>
      <c r="F103" s="122">
        <v>138549912</v>
      </c>
      <c r="G103" s="122">
        <v>16886342</v>
      </c>
      <c r="I103" s="123"/>
      <c r="K103" s="123"/>
      <c r="N103" s="123"/>
      <c r="R103" s="123"/>
      <c r="X103" s="228"/>
    </row>
    <row r="104" spans="1:24" s="119" customFormat="1" ht="22.5" hidden="1" customHeight="1">
      <c r="B104" s="128"/>
      <c r="E104" s="121" t="s">
        <v>106</v>
      </c>
      <c r="F104" s="122">
        <v>155349975</v>
      </c>
      <c r="G104" s="122">
        <v>42422129</v>
      </c>
      <c r="I104" s="123"/>
      <c r="K104" s="123"/>
      <c r="N104" s="123"/>
      <c r="R104" s="123"/>
      <c r="X104" s="228"/>
    </row>
    <row r="105" spans="1:24" s="119" customFormat="1" ht="22.5" hidden="1" customHeight="1">
      <c r="B105" s="128"/>
      <c r="E105" s="121" t="s">
        <v>107</v>
      </c>
      <c r="F105" s="122">
        <v>47023434</v>
      </c>
      <c r="G105" s="122">
        <v>12776164</v>
      </c>
      <c r="I105" s="123"/>
      <c r="K105" s="123"/>
      <c r="N105" s="123"/>
      <c r="R105" s="123"/>
      <c r="X105" s="228"/>
    </row>
    <row r="106" spans="1:24" s="119" customFormat="1" ht="33.75" hidden="1" customHeight="1">
      <c r="B106" s="128"/>
      <c r="E106" s="121" t="s">
        <v>108</v>
      </c>
      <c r="F106" s="122">
        <v>27715534</v>
      </c>
      <c r="G106" s="122">
        <v>3209017</v>
      </c>
      <c r="I106" s="123"/>
      <c r="K106" s="123"/>
      <c r="N106" s="123"/>
      <c r="R106" s="123"/>
      <c r="X106" s="228"/>
    </row>
    <row r="107" spans="1:24" s="119" customFormat="1" ht="33.75" hidden="1" customHeight="1">
      <c r="B107" s="128"/>
      <c r="E107" s="121" t="s">
        <v>109</v>
      </c>
      <c r="F107" s="122">
        <v>268313866</v>
      </c>
      <c r="G107" s="122">
        <v>42085117</v>
      </c>
      <c r="I107" s="123"/>
      <c r="K107" s="123"/>
      <c r="N107" s="123"/>
      <c r="R107" s="123"/>
      <c r="X107" s="228"/>
    </row>
    <row r="108" spans="1:24" s="119" customFormat="1" ht="31.5" hidden="1" customHeight="1">
      <c r="B108" s="128"/>
      <c r="E108" s="121" t="s">
        <v>110</v>
      </c>
      <c r="F108" s="122">
        <v>108200702</v>
      </c>
      <c r="G108" s="122">
        <v>26638060</v>
      </c>
      <c r="I108" s="123"/>
      <c r="K108" s="123"/>
      <c r="N108" s="123"/>
      <c r="R108" s="123"/>
      <c r="X108" s="228"/>
    </row>
    <row r="109" spans="1:24" s="119" customFormat="1" ht="33.75" hidden="1" customHeight="1">
      <c r="B109" s="128"/>
      <c r="E109" s="121" t="s">
        <v>111</v>
      </c>
      <c r="F109" s="122">
        <v>226239781</v>
      </c>
      <c r="G109" s="122">
        <v>4548319</v>
      </c>
      <c r="I109" s="123"/>
      <c r="K109" s="123"/>
      <c r="N109" s="123"/>
      <c r="R109" s="123"/>
      <c r="X109" s="228"/>
    </row>
    <row r="110" spans="1:24" s="119" customFormat="1" ht="28.5" hidden="1" customHeight="1">
      <c r="B110" s="128"/>
      <c r="E110" s="121" t="s">
        <v>112</v>
      </c>
      <c r="F110" s="122">
        <v>264633925</v>
      </c>
      <c r="G110" s="122">
        <v>63678246</v>
      </c>
      <c r="I110" s="123"/>
      <c r="K110" s="123"/>
      <c r="N110" s="123"/>
      <c r="R110" s="123"/>
      <c r="X110" s="228"/>
    </row>
    <row r="111" spans="1:24" s="119" customFormat="1" ht="22.5" hidden="1" customHeight="1">
      <c r="B111" s="128"/>
      <c r="E111" s="121" t="s">
        <v>113</v>
      </c>
      <c r="F111" s="122">
        <v>65618556</v>
      </c>
      <c r="G111" s="122">
        <v>12918923</v>
      </c>
      <c r="I111" s="123"/>
      <c r="K111" s="123"/>
      <c r="N111" s="123"/>
      <c r="R111" s="123"/>
      <c r="X111" s="228"/>
    </row>
    <row r="112" spans="1:24" s="119" customFormat="1" ht="22.5" hidden="1" customHeight="1">
      <c r="B112" s="128"/>
      <c r="E112" s="121" t="s">
        <v>114</v>
      </c>
      <c r="F112" s="122">
        <v>1269721671</v>
      </c>
      <c r="G112" s="122">
        <v>120257059</v>
      </c>
      <c r="I112" s="123"/>
      <c r="K112" s="123"/>
      <c r="N112" s="123"/>
      <c r="R112" s="123"/>
      <c r="X112" s="228"/>
    </row>
    <row r="113" spans="1:24" s="119" customFormat="1" ht="33.75" hidden="1" customHeight="1">
      <c r="B113" s="128"/>
      <c r="E113" s="121" t="s">
        <v>115</v>
      </c>
      <c r="F113" s="122">
        <v>29342688.870000001</v>
      </c>
      <c r="G113" s="122">
        <v>3323254</v>
      </c>
      <c r="I113" s="123"/>
      <c r="K113" s="123"/>
      <c r="N113" s="123"/>
      <c r="R113" s="123"/>
      <c r="X113" s="228"/>
    </row>
    <row r="114" spans="1:24" s="119" customFormat="1" ht="33.75" hidden="1" customHeight="1">
      <c r="B114" s="128"/>
      <c r="E114" s="121" t="s">
        <v>116</v>
      </c>
      <c r="F114" s="122">
        <v>135222307</v>
      </c>
      <c r="G114" s="122">
        <v>39072622</v>
      </c>
      <c r="I114" s="123"/>
      <c r="K114" s="123"/>
      <c r="N114" s="123"/>
      <c r="R114" s="123"/>
      <c r="X114" s="228"/>
    </row>
    <row r="115" spans="1:24" s="119" customFormat="1" ht="22.5" hidden="1" customHeight="1">
      <c r="B115" s="128"/>
      <c r="E115" s="121" t="s">
        <v>117</v>
      </c>
      <c r="F115" s="122">
        <v>255277834</v>
      </c>
      <c r="G115" s="122">
        <v>27754013</v>
      </c>
      <c r="I115" s="123"/>
      <c r="K115" s="123"/>
      <c r="N115" s="123"/>
      <c r="R115" s="123"/>
      <c r="X115" s="228"/>
    </row>
    <row r="116" spans="1:24" s="119" customFormat="1" ht="33.75" hidden="1" customHeight="1">
      <c r="B116" s="128"/>
      <c r="E116" s="121" t="s">
        <v>118</v>
      </c>
      <c r="F116" s="122">
        <v>179735294</v>
      </c>
      <c r="G116" s="122">
        <v>37452461</v>
      </c>
      <c r="I116" s="123"/>
      <c r="K116" s="123"/>
      <c r="N116" s="123"/>
      <c r="R116" s="123"/>
      <c r="X116" s="228"/>
    </row>
    <row r="117" spans="1:24" s="119" customFormat="1" ht="22.5" hidden="1" customHeight="1">
      <c r="B117" s="128"/>
      <c r="E117" s="121" t="s">
        <v>119</v>
      </c>
      <c r="F117" s="122">
        <v>66529838</v>
      </c>
      <c r="G117" s="122">
        <v>20302624</v>
      </c>
      <c r="I117" s="123"/>
      <c r="K117" s="123"/>
      <c r="N117" s="123"/>
      <c r="R117" s="123"/>
      <c r="X117" s="228"/>
    </row>
    <row r="118" spans="1:24" s="119" customFormat="1" ht="24.75" hidden="1" customHeight="1">
      <c r="B118" s="128"/>
      <c r="E118" s="121" t="s">
        <v>120</v>
      </c>
      <c r="F118" s="122">
        <v>84007505</v>
      </c>
      <c r="G118" s="122">
        <v>31015320</v>
      </c>
      <c r="I118" s="123"/>
      <c r="K118" s="123"/>
      <c r="N118" s="123"/>
      <c r="R118" s="123"/>
      <c r="X118" s="228"/>
    </row>
    <row r="119" spans="1:24" s="119" customFormat="1" ht="30" hidden="1" customHeight="1">
      <c r="B119" s="128"/>
      <c r="E119" s="121" t="s">
        <v>121</v>
      </c>
      <c r="F119" s="122">
        <v>129042623</v>
      </c>
      <c r="G119" s="122">
        <v>41653530</v>
      </c>
      <c r="I119" s="123"/>
      <c r="K119" s="123"/>
      <c r="N119" s="123"/>
      <c r="R119" s="123"/>
      <c r="X119" s="228"/>
    </row>
    <row r="120" spans="1:24" s="119" customFormat="1" ht="33.75" hidden="1" customHeight="1">
      <c r="B120" s="128"/>
      <c r="E120" s="121" t="s">
        <v>122</v>
      </c>
      <c r="F120" s="122">
        <v>202172039</v>
      </c>
      <c r="G120" s="122">
        <v>17149490</v>
      </c>
      <c r="I120" s="123"/>
      <c r="K120" s="123"/>
      <c r="N120" s="123"/>
      <c r="R120" s="123"/>
      <c r="X120" s="228"/>
    </row>
    <row r="121" spans="1:24" s="119" customFormat="1" ht="29.25" hidden="1" customHeight="1">
      <c r="B121" s="128"/>
      <c r="E121" s="121" t="s">
        <v>123</v>
      </c>
      <c r="F121" s="122">
        <v>71887178</v>
      </c>
      <c r="G121" s="122">
        <v>10634447</v>
      </c>
      <c r="I121" s="123"/>
      <c r="K121" s="123"/>
      <c r="N121" s="123"/>
      <c r="R121" s="123"/>
      <c r="X121" s="228"/>
    </row>
    <row r="122" spans="1:24" s="119" customFormat="1" ht="36" hidden="1" customHeight="1">
      <c r="B122" s="128"/>
      <c r="E122" s="121" t="s">
        <v>124</v>
      </c>
      <c r="F122" s="122">
        <v>62958436</v>
      </c>
      <c r="G122" s="122">
        <v>3900646</v>
      </c>
      <c r="I122" s="123"/>
      <c r="K122" s="123"/>
      <c r="N122" s="123"/>
      <c r="R122" s="123"/>
      <c r="X122" s="228"/>
    </row>
    <row r="123" spans="1:24" s="119" customFormat="1" ht="34.5" hidden="1" customHeight="1">
      <c r="B123" s="128"/>
      <c r="E123" s="121" t="s">
        <v>125</v>
      </c>
      <c r="F123" s="122">
        <v>301288329</v>
      </c>
      <c r="G123" s="122">
        <v>53055689</v>
      </c>
      <c r="I123" s="123"/>
      <c r="K123" s="123"/>
      <c r="N123" s="123"/>
      <c r="R123" s="123"/>
      <c r="X123" s="228"/>
    </row>
    <row r="124" spans="1:24" s="119" customFormat="1" ht="33.75" hidden="1" customHeight="1">
      <c r="B124" s="128"/>
      <c r="E124" s="121" t="s">
        <v>126</v>
      </c>
      <c r="F124" s="122">
        <v>103913799</v>
      </c>
      <c r="G124" s="122">
        <v>42926247</v>
      </c>
      <c r="I124" s="123"/>
      <c r="K124" s="123"/>
      <c r="N124" s="123"/>
      <c r="R124" s="123"/>
      <c r="X124" s="228"/>
    </row>
    <row r="125" spans="1:24" s="119" customFormat="1" ht="33.75" hidden="1" customHeight="1">
      <c r="B125" s="128"/>
      <c r="E125" s="121" t="s">
        <v>127</v>
      </c>
      <c r="F125" s="122">
        <v>137981256</v>
      </c>
      <c r="G125" s="122">
        <v>15579598</v>
      </c>
      <c r="I125" s="123"/>
      <c r="K125" s="123"/>
      <c r="N125" s="123"/>
      <c r="R125" s="123"/>
      <c r="X125" s="228"/>
    </row>
    <row r="126" spans="1:24" s="119" customFormat="1" ht="27.75" hidden="1" customHeight="1">
      <c r="B126" s="128"/>
      <c r="E126" s="121" t="s">
        <v>128</v>
      </c>
      <c r="F126" s="122">
        <v>307990426</v>
      </c>
      <c r="G126" s="122">
        <v>67960385</v>
      </c>
      <c r="I126" s="123"/>
      <c r="K126" s="123"/>
      <c r="N126" s="123"/>
      <c r="R126" s="123"/>
      <c r="X126" s="228"/>
    </row>
    <row r="127" spans="1:24" ht="12.75" hidden="1" customHeight="1">
      <c r="F127" s="132">
        <f>SUM(F99:F126)</f>
        <v>5230094525.8699999</v>
      </c>
      <c r="G127" s="132">
        <f>SUM(G99:G126)</f>
        <v>936981570</v>
      </c>
    </row>
  </sheetData>
  <sheetProtection formatColumns="0" formatRows="0"/>
  <conditionalFormatting sqref="M69 O69">
    <cfRule type="cellIs" dxfId="624" priority="43" operator="notEqual">
      <formula>0</formula>
    </cfRule>
    <cfRule type="cellIs" dxfId="623" priority="44" operator="equal">
      <formula>0</formula>
    </cfRule>
  </conditionalFormatting>
  <conditionalFormatting sqref="F11:G11 F17:G17 M11:O18">
    <cfRule type="containsBlanks" dxfId="622" priority="39">
      <formula>LEN(TRIM(F11))=0</formula>
    </cfRule>
    <cfRule type="cellIs" dxfId="621" priority="40" operator="notEqual">
      <formula>0</formula>
    </cfRule>
  </conditionalFormatting>
  <conditionalFormatting sqref="M11:O18">
    <cfRule type="cellIs" dxfId="620" priority="38" operator="notEqual">
      <formula>M20</formula>
    </cfRule>
  </conditionalFormatting>
  <conditionalFormatting sqref="W20 U20 U32 W32 W34 U34 U47 W47 W50 U50 U59 W59 W57 U57 U64 W64 W66 U66">
    <cfRule type="cellIs" dxfId="619" priority="41" operator="notBetween">
      <formula>-0.5</formula>
      <formula>0.5</formula>
    </cfRule>
    <cfRule type="cellIs" dxfId="618" priority="42" operator="between">
      <formula>-0.5</formula>
      <formula>0.5</formula>
    </cfRule>
  </conditionalFormatting>
  <conditionalFormatting sqref="V20 V32 V34 V47 V50 V57 V59 V64 V66">
    <cfRule type="expression" dxfId="617" priority="45">
      <formula>ROUND($V20,0)&lt;&gt;$O20</formula>
    </cfRule>
    <cfRule type="expression" dxfId="616" priority="46">
      <formula>ROUND($V20,0)=$O20</formula>
    </cfRule>
  </conditionalFormatting>
  <conditionalFormatting sqref="T20 T32 T34 T47 T50 T59 T57 T64 T66">
    <cfRule type="expression" dxfId="615" priority="47">
      <formula>ROUND($T20,0)&lt;&gt;$M20</formula>
    </cfRule>
  </conditionalFormatting>
  <conditionalFormatting sqref="T20 T32 T34 T47 T50 T57 T59 T64 T66">
    <cfRule type="expression" dxfId="614" priority="48">
      <formula>ROUND($T20,0)=$M20</formula>
    </cfRule>
  </conditionalFormatting>
  <conditionalFormatting sqref="V57">
    <cfRule type="expression" dxfId="613" priority="36">
      <formula>ROUND($T57,0)&lt;&gt;$M57</formula>
    </cfRule>
  </conditionalFormatting>
  <conditionalFormatting sqref="V57">
    <cfRule type="expression" dxfId="612" priority="35">
      <formula>ROUND($T57,0)=$M57</formula>
    </cfRule>
  </conditionalFormatting>
  <conditionalFormatting sqref="P69">
    <cfRule type="cellIs" dxfId="611" priority="33" operator="notEqual">
      <formula>0</formula>
    </cfRule>
    <cfRule type="cellIs" dxfId="610" priority="34" operator="equal">
      <formula>0</formula>
    </cfRule>
  </conditionalFormatting>
  <conditionalFormatting sqref="P24:P30 P37:P45 P62 P52:P55 P11:P18">
    <cfRule type="containsBlanks" dxfId="609" priority="31">
      <formula>LEN(TRIM(P11))=0</formula>
    </cfRule>
    <cfRule type="cellIs" dxfId="608" priority="32" operator="notEqual">
      <formula>0</formula>
    </cfRule>
  </conditionalFormatting>
  <conditionalFormatting sqref="P11">
    <cfRule type="cellIs" dxfId="607" priority="30" operator="notEqual">
      <formula>P20</formula>
    </cfRule>
  </conditionalFormatting>
  <conditionalFormatting sqref="P61">
    <cfRule type="containsBlanks" dxfId="606" priority="26">
      <formula>LEN(TRIM(P61))=0</formula>
    </cfRule>
    <cfRule type="cellIs" dxfId="605" priority="27" operator="notEqual">
      <formula>0</formula>
    </cfRule>
  </conditionalFormatting>
  <conditionalFormatting sqref="J11:L18">
    <cfRule type="containsBlanks" dxfId="604" priority="22">
      <formula>LEN(TRIM(J11))=0</formula>
    </cfRule>
    <cfRule type="cellIs" dxfId="603" priority="23" operator="notEqual">
      <formula>0</formula>
    </cfRule>
  </conditionalFormatting>
  <conditionalFormatting sqref="J11:L18">
    <cfRule type="cellIs" dxfId="602" priority="21" operator="notEqual">
      <formula>J20</formula>
    </cfRule>
  </conditionalFormatting>
  <conditionalFormatting sqref="M24:O30">
    <cfRule type="containsBlanks" dxfId="601" priority="17">
      <formula>LEN(TRIM(M24))=0</formula>
    </cfRule>
    <cfRule type="cellIs" dxfId="600" priority="18" operator="notEqual">
      <formula>0</formula>
    </cfRule>
  </conditionalFormatting>
  <conditionalFormatting sqref="M24:O30">
    <cfRule type="cellIs" dxfId="599" priority="16" operator="notEqual">
      <formula>M33</formula>
    </cfRule>
  </conditionalFormatting>
  <conditionalFormatting sqref="J24:L30">
    <cfRule type="containsBlanks" dxfId="598" priority="14">
      <formula>LEN(TRIM(J24))=0</formula>
    </cfRule>
    <cfRule type="cellIs" dxfId="597" priority="15" operator="notEqual">
      <formula>0</formula>
    </cfRule>
  </conditionalFormatting>
  <conditionalFormatting sqref="J24:L30">
    <cfRule type="cellIs" dxfId="596" priority="13" operator="notEqual">
      <formula>J33</formula>
    </cfRule>
  </conditionalFormatting>
  <conditionalFormatting sqref="M37:O45">
    <cfRule type="containsBlanks" dxfId="595" priority="11">
      <formula>LEN(TRIM(M37))=0</formula>
    </cfRule>
    <cfRule type="cellIs" dxfId="594" priority="12" operator="notEqual">
      <formula>0</formula>
    </cfRule>
  </conditionalFormatting>
  <conditionalFormatting sqref="M37:O45">
    <cfRule type="cellIs" dxfId="593" priority="10" operator="notEqual">
      <formula>M46</formula>
    </cfRule>
  </conditionalFormatting>
  <conditionalFormatting sqref="J37:L45">
    <cfRule type="containsBlanks" dxfId="592" priority="8">
      <formula>LEN(TRIM(J37))=0</formula>
    </cfRule>
    <cfRule type="cellIs" dxfId="591" priority="9" operator="notEqual">
      <formula>0</formula>
    </cfRule>
  </conditionalFormatting>
  <conditionalFormatting sqref="J37:L45">
    <cfRule type="cellIs" dxfId="590" priority="7" operator="notEqual">
      <formula>J46</formula>
    </cfRule>
  </conditionalFormatting>
  <conditionalFormatting sqref="M52:O55">
    <cfRule type="containsBlanks" dxfId="589" priority="5">
      <formula>LEN(TRIM(M52))=0</formula>
    </cfRule>
    <cfRule type="cellIs" dxfId="588" priority="6" operator="notEqual">
      <formula>0</formula>
    </cfRule>
  </conditionalFormatting>
  <conditionalFormatting sqref="M52:O55">
    <cfRule type="cellIs" dxfId="587" priority="4" operator="notEqual">
      <formula>M61</formula>
    </cfRule>
  </conditionalFormatting>
  <conditionalFormatting sqref="J52:L55">
    <cfRule type="containsBlanks" dxfId="586" priority="2">
      <formula>LEN(TRIM(J52))=0</formula>
    </cfRule>
    <cfRule type="cellIs" dxfId="585" priority="3" operator="notEqual">
      <formula>0</formula>
    </cfRule>
  </conditionalFormatting>
  <conditionalFormatting sqref="J52:L55">
    <cfRule type="cellIs" dxfId="584" priority="1" operator="notEqual">
      <formula>J61</formula>
    </cfRule>
  </conditionalFormatting>
  <printOptions horizontalCentered="1"/>
  <pageMargins left="0.7" right="0.7" top="0.75" bottom="0.75" header="0.5" footer="0.5"/>
  <pageSetup scale="65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140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85546875" style="11" bestFit="1" customWidth="1"/>
    <col min="11" max="11" width="12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117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57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57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[21]SNP!$O$9</f>
        <v>Unit</v>
      </c>
      <c r="O7" s="26"/>
      <c r="P7" s="27"/>
    </row>
    <row r="8" spans="1:16">
      <c r="C8" s="65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57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49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49"/>
      <c r="D11" s="44" t="s">
        <v>18</v>
      </c>
      <c r="E11" s="35"/>
      <c r="F11" s="339">
        <v>28053905.140000001</v>
      </c>
      <c r="G11" s="339"/>
      <c r="H11" s="45"/>
      <c r="I11" s="36"/>
      <c r="J11" s="237">
        <v>39290929.609999992</v>
      </c>
      <c r="K11" s="223">
        <v>0</v>
      </c>
      <c r="L11" s="238">
        <v>39290929.609999992</v>
      </c>
      <c r="M11" s="224"/>
      <c r="N11" s="223">
        <v>0</v>
      </c>
      <c r="O11" s="239">
        <v>39290930</v>
      </c>
      <c r="P11" s="46"/>
    </row>
    <row r="12" spans="1:16" s="43" customFormat="1">
      <c r="A12" s="1" t="s">
        <v>19</v>
      </c>
      <c r="B12" s="34" t="s">
        <v>20</v>
      </c>
      <c r="C12" s="349"/>
      <c r="D12" s="36" t="s">
        <v>21</v>
      </c>
      <c r="E12" s="14"/>
      <c r="F12" s="48"/>
      <c r="G12" s="49"/>
      <c r="H12" s="15"/>
      <c r="I12" s="35"/>
      <c r="J12" s="240">
        <v>4959371.5600000005</v>
      </c>
      <c r="K12" s="241">
        <v>0</v>
      </c>
      <c r="L12" s="242">
        <v>4959371.5600000005</v>
      </c>
      <c r="M12" s="225"/>
      <c r="N12" s="50">
        <v>0</v>
      </c>
      <c r="O12" s="243">
        <v>4959372</v>
      </c>
      <c r="P12" s="51"/>
    </row>
    <row r="13" spans="1:16" s="43" customFormat="1">
      <c r="A13" s="1" t="s">
        <v>22</v>
      </c>
      <c r="B13" s="34" t="s">
        <v>20</v>
      </c>
      <c r="C13" s="349"/>
      <c r="D13" s="36" t="s">
        <v>23</v>
      </c>
      <c r="E13" s="14"/>
      <c r="F13" s="48"/>
      <c r="G13" s="48"/>
      <c r="H13" s="14"/>
      <c r="I13" s="35"/>
      <c r="J13" s="240">
        <v>1267558.71</v>
      </c>
      <c r="K13" s="241">
        <v>0</v>
      </c>
      <c r="L13" s="242">
        <v>1267558.71</v>
      </c>
      <c r="M13" s="225"/>
      <c r="N13" s="50">
        <v>0</v>
      </c>
      <c r="O13" s="243">
        <v>1267559</v>
      </c>
      <c r="P13" s="51"/>
    </row>
    <row r="14" spans="1:16" s="43" customFormat="1">
      <c r="A14" s="1" t="s">
        <v>24</v>
      </c>
      <c r="B14" s="34" t="s">
        <v>20</v>
      </c>
      <c r="C14" s="349"/>
      <c r="D14" s="36" t="s">
        <v>25</v>
      </c>
      <c r="E14" s="14"/>
      <c r="F14" s="48"/>
      <c r="G14" s="48"/>
      <c r="H14" s="14"/>
      <c r="I14" s="35"/>
      <c r="J14" s="240">
        <v>5694513.0499999998</v>
      </c>
      <c r="K14" s="241">
        <v>0</v>
      </c>
      <c r="L14" s="242">
        <v>5694513.0499999998</v>
      </c>
      <c r="M14" s="225"/>
      <c r="N14" s="50">
        <v>1531250</v>
      </c>
      <c r="O14" s="243">
        <v>7225763</v>
      </c>
      <c r="P14" s="51"/>
    </row>
    <row r="15" spans="1:16" s="43" customFormat="1">
      <c r="A15" s="1" t="s">
        <v>26</v>
      </c>
      <c r="B15" s="34" t="s">
        <v>17</v>
      </c>
      <c r="C15" s="349"/>
      <c r="D15" s="36" t="s">
        <v>27</v>
      </c>
      <c r="E15" s="14"/>
      <c r="F15" s="48"/>
      <c r="G15" s="48"/>
      <c r="H15" s="35"/>
      <c r="I15" s="35"/>
      <c r="J15" s="240">
        <v>1490192.55</v>
      </c>
      <c r="K15" s="241">
        <v>0</v>
      </c>
      <c r="L15" s="242">
        <v>1490192.55</v>
      </c>
      <c r="M15" s="225"/>
      <c r="N15" s="50">
        <v>0</v>
      </c>
      <c r="O15" s="243">
        <v>1490193</v>
      </c>
      <c r="P15" s="51"/>
    </row>
    <row r="16" spans="1:16" s="43" customFormat="1">
      <c r="A16" s="52"/>
      <c r="B16" s="53"/>
      <c r="C16" s="349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49"/>
      <c r="D17" s="44" t="s">
        <v>18</v>
      </c>
      <c r="E17" s="35"/>
      <c r="F17" s="339">
        <v>0</v>
      </c>
      <c r="G17" s="339"/>
      <c r="H17" s="55"/>
      <c r="I17" s="35"/>
      <c r="J17" s="240">
        <v>1693584.9100000001</v>
      </c>
      <c r="K17" s="241">
        <v>0</v>
      </c>
      <c r="L17" s="242">
        <v>1693584.9100000001</v>
      </c>
      <c r="M17" s="225"/>
      <c r="N17" s="50">
        <v>0</v>
      </c>
      <c r="O17" s="243">
        <v>1693585</v>
      </c>
      <c r="P17" s="51"/>
    </row>
    <row r="18" spans="1:16" s="43" customFormat="1">
      <c r="A18" s="52" t="s">
        <v>30</v>
      </c>
      <c r="B18" s="56" t="s">
        <v>31</v>
      </c>
      <c r="C18" s="349"/>
      <c r="D18" s="57" t="s">
        <v>32</v>
      </c>
      <c r="E18" s="14"/>
      <c r="F18" s="14"/>
      <c r="G18" s="14"/>
      <c r="H18" s="14"/>
      <c r="I18" s="36"/>
      <c r="J18" s="246">
        <v>1134711.0899999999</v>
      </c>
      <c r="K18" s="247">
        <v>0</v>
      </c>
      <c r="L18" s="248">
        <v>1134711.0899999999</v>
      </c>
      <c r="M18" s="225"/>
      <c r="N18" s="58">
        <v>877844</v>
      </c>
      <c r="O18" s="249">
        <v>2012555</v>
      </c>
      <c r="P18" s="51"/>
    </row>
    <row r="19" spans="1:16" s="64" customFormat="1">
      <c r="A19" s="52"/>
      <c r="B19" s="56"/>
      <c r="C19" s="7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49"/>
      <c r="D20" s="65" t="s">
        <v>34</v>
      </c>
      <c r="E20" s="35"/>
      <c r="F20" s="14"/>
      <c r="G20" s="14"/>
      <c r="H20" s="14"/>
      <c r="I20" s="15"/>
      <c r="J20" s="251">
        <v>55530861.479999989</v>
      </c>
      <c r="K20" s="251">
        <v>0</v>
      </c>
      <c r="L20" s="252">
        <v>55530863</v>
      </c>
      <c r="M20" s="67"/>
      <c r="N20" s="251">
        <v>2409094</v>
      </c>
      <c r="O20" s="253">
        <v>57939957</v>
      </c>
      <c r="P20" s="68"/>
    </row>
    <row r="21" spans="1:16" s="43" customFormat="1" ht="13.5" thickTop="1">
      <c r="A21" s="52"/>
      <c r="B21" s="56"/>
      <c r="C21" s="57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65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57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108102881.35000002</v>
      </c>
      <c r="K24" s="223">
        <v>0</v>
      </c>
      <c r="L24" s="258">
        <v>108102881.35000002</v>
      </c>
      <c r="M24" s="225"/>
      <c r="N24" s="223">
        <v>0</v>
      </c>
      <c r="O24" s="239">
        <v>108102881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28343421.920000002</v>
      </c>
      <c r="K25" s="241">
        <v>0</v>
      </c>
      <c r="L25" s="242">
        <v>28343421.920000002</v>
      </c>
      <c r="M25" s="225"/>
      <c r="N25" s="50">
        <v>1666588</v>
      </c>
      <c r="O25" s="243">
        <v>30010010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2942558.15</v>
      </c>
      <c r="K26" s="241">
        <v>0</v>
      </c>
      <c r="L26" s="242">
        <v>2942558.15</v>
      </c>
      <c r="M26" s="225"/>
      <c r="N26" s="50">
        <v>0</v>
      </c>
      <c r="O26" s="243">
        <v>2942558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10259759.920000002</v>
      </c>
      <c r="K27" s="241">
        <v>0</v>
      </c>
      <c r="L27" s="242">
        <v>10259759.920000002</v>
      </c>
      <c r="M27" s="225"/>
      <c r="N27" s="50">
        <v>0</v>
      </c>
      <c r="O27" s="243">
        <v>10259760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6743286.1000000015</v>
      </c>
      <c r="K28" s="241">
        <v>0</v>
      </c>
      <c r="L28" s="242">
        <v>6743286.1000000015</v>
      </c>
      <c r="M28" s="225"/>
      <c r="N28" s="50">
        <v>2076413</v>
      </c>
      <c r="O28" s="243">
        <v>8819699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10819502.220000003</v>
      </c>
      <c r="K29" s="241">
        <v>0</v>
      </c>
      <c r="L29" s="242">
        <v>10819502.220000003</v>
      </c>
      <c r="M29" s="225"/>
      <c r="N29" s="50">
        <v>0</v>
      </c>
      <c r="O29" s="243">
        <v>10819502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13158199.59</v>
      </c>
      <c r="K30" s="247">
        <v>0</v>
      </c>
      <c r="L30" s="248">
        <v>13158199.59</v>
      </c>
      <c r="M30" s="225"/>
      <c r="N30" s="58">
        <v>0</v>
      </c>
      <c r="O30" s="249">
        <v>13158200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57"/>
      <c r="D32" s="65" t="s">
        <v>54</v>
      </c>
      <c r="E32" s="35"/>
      <c r="F32" s="14"/>
      <c r="G32" s="14"/>
      <c r="H32" s="14"/>
      <c r="I32" s="15"/>
      <c r="J32" s="251">
        <v>180369609.25000003</v>
      </c>
      <c r="K32" s="251">
        <v>0</v>
      </c>
      <c r="L32" s="252">
        <v>180369609</v>
      </c>
      <c r="M32" s="261"/>
      <c r="N32" s="251">
        <v>3743001</v>
      </c>
      <c r="O32" s="253">
        <v>184112610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57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-124838747.77000004</v>
      </c>
      <c r="K34" s="263">
        <v>0</v>
      </c>
      <c r="L34" s="264">
        <v>-124838746</v>
      </c>
      <c r="M34" s="67"/>
      <c r="N34" s="263">
        <v>-1333907</v>
      </c>
      <c r="O34" s="265">
        <v>-126172653</v>
      </c>
      <c r="P34" s="68"/>
    </row>
    <row r="35" spans="1:16" s="43" customFormat="1">
      <c r="A35" s="12"/>
      <c r="B35" s="72"/>
      <c r="C35" s="57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65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76" t="s">
        <v>58</v>
      </c>
      <c r="D37" s="35"/>
      <c r="E37" s="14"/>
      <c r="F37" s="14"/>
      <c r="G37" s="35"/>
      <c r="H37" s="14"/>
      <c r="I37" s="15"/>
      <c r="J37" s="257">
        <v>63133845.590000004</v>
      </c>
      <c r="K37" s="223">
        <v>0</v>
      </c>
      <c r="L37" s="238">
        <v>63133845.590000004</v>
      </c>
      <c r="M37" s="49"/>
      <c r="N37" s="223">
        <v>0</v>
      </c>
      <c r="O37" s="239">
        <v>63133846</v>
      </c>
      <c r="P37" s="81"/>
    </row>
    <row r="38" spans="1:16" s="43" customFormat="1">
      <c r="A38" s="1" t="s">
        <v>59</v>
      </c>
      <c r="B38" s="72" t="s">
        <v>20</v>
      </c>
      <c r="C38" s="76" t="s">
        <v>60</v>
      </c>
      <c r="D38" s="35"/>
      <c r="E38" s="14"/>
      <c r="F38" s="14"/>
      <c r="G38" s="35"/>
      <c r="H38" s="14"/>
      <c r="I38" s="15"/>
      <c r="J38" s="259">
        <v>43430084.390000001</v>
      </c>
      <c r="K38" s="241">
        <v>0</v>
      </c>
      <c r="L38" s="242">
        <v>43430084.390000001</v>
      </c>
      <c r="M38" s="49"/>
      <c r="N38" s="80">
        <v>0</v>
      </c>
      <c r="O38" s="243">
        <v>43430084</v>
      </c>
      <c r="P38" s="81"/>
    </row>
    <row r="39" spans="1:16" s="43" customFormat="1">
      <c r="A39" s="12" t="s">
        <v>61</v>
      </c>
      <c r="B39" s="72" t="s">
        <v>20</v>
      </c>
      <c r="C39" s="76" t="s">
        <v>62</v>
      </c>
      <c r="D39" s="35"/>
      <c r="E39" s="14"/>
      <c r="F39" s="14"/>
      <c r="G39" s="35"/>
      <c r="H39" s="14"/>
      <c r="I39" s="15"/>
      <c r="J39" s="259">
        <v>5848512.6400000006</v>
      </c>
      <c r="K39" s="241">
        <v>0</v>
      </c>
      <c r="L39" s="242">
        <v>5848512.6400000006</v>
      </c>
      <c r="M39" s="49"/>
      <c r="N39" s="80">
        <v>355824</v>
      </c>
      <c r="O39" s="243">
        <v>6204337</v>
      </c>
      <c r="P39" s="81"/>
    </row>
    <row r="40" spans="1:16" s="43" customFormat="1">
      <c r="A40" s="1" t="s">
        <v>63</v>
      </c>
      <c r="B40" s="72" t="s">
        <v>64</v>
      </c>
      <c r="C40" s="76" t="s">
        <v>65</v>
      </c>
      <c r="D40" s="35"/>
      <c r="E40" s="14"/>
      <c r="F40" s="14"/>
      <c r="G40" s="35"/>
      <c r="H40" s="14"/>
      <c r="I40" s="15"/>
      <c r="J40" s="259">
        <v>657123.31000000006</v>
      </c>
      <c r="K40" s="241">
        <v>0</v>
      </c>
      <c r="L40" s="242">
        <v>657123.31000000006</v>
      </c>
      <c r="M40" s="49"/>
      <c r="N40" s="80">
        <v>1742247</v>
      </c>
      <c r="O40" s="243">
        <v>2399370</v>
      </c>
      <c r="P40" s="81"/>
    </row>
    <row r="41" spans="1:16" s="43" customFormat="1">
      <c r="A41" s="12" t="s">
        <v>66</v>
      </c>
      <c r="B41" s="72" t="s">
        <v>64</v>
      </c>
      <c r="C41" s="350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Loss on Investments</v>
      </c>
      <c r="D41" s="267"/>
      <c r="E41" s="268"/>
      <c r="F41" s="268"/>
      <c r="G41" s="35"/>
      <c r="H41" s="14"/>
      <c r="I41" s="15"/>
      <c r="J41" s="259">
        <v>-989144.37999999989</v>
      </c>
      <c r="K41" s="241">
        <v>0</v>
      </c>
      <c r="L41" s="242">
        <v>-989144.37999999989</v>
      </c>
      <c r="M41" s="49"/>
      <c r="N41" s="80">
        <v>0</v>
      </c>
      <c r="O41" s="243">
        <v>-989144</v>
      </c>
      <c r="P41" s="81"/>
    </row>
    <row r="42" spans="1:16" s="43" customFormat="1">
      <c r="A42" s="1" t="s">
        <v>67</v>
      </c>
      <c r="B42" s="72" t="s">
        <v>31</v>
      </c>
      <c r="C42" s="76" t="s">
        <v>68</v>
      </c>
      <c r="D42" s="35"/>
      <c r="E42" s="14"/>
      <c r="F42" s="14"/>
      <c r="G42" s="35"/>
      <c r="H42" s="14"/>
      <c r="I42" s="15"/>
      <c r="J42" s="259">
        <v>76755.12</v>
      </c>
      <c r="K42" s="241">
        <v>0</v>
      </c>
      <c r="L42" s="242">
        <v>76755.12</v>
      </c>
      <c r="M42" s="49"/>
      <c r="N42" s="80">
        <v>0</v>
      </c>
      <c r="O42" s="243">
        <v>76755</v>
      </c>
      <c r="P42" s="81"/>
    </row>
    <row r="43" spans="1:16" s="43" customFormat="1">
      <c r="A43" s="12" t="s">
        <v>69</v>
      </c>
      <c r="B43" s="72" t="s">
        <v>70</v>
      </c>
      <c r="C43" s="7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76" t="s">
        <v>72</v>
      </c>
      <c r="D44" s="35"/>
      <c r="E44" s="35"/>
      <c r="F44" s="35"/>
      <c r="G44" s="35"/>
      <c r="H44" s="35"/>
      <c r="I44" s="35"/>
      <c r="J44" s="240">
        <v>-625723.46</v>
      </c>
      <c r="K44" s="241">
        <v>0</v>
      </c>
      <c r="L44" s="242">
        <v>-625723.46</v>
      </c>
      <c r="M44" s="49"/>
      <c r="N44" s="80">
        <v>0</v>
      </c>
      <c r="O44" s="243">
        <v>-625723</v>
      </c>
      <c r="P44" s="81"/>
    </row>
    <row r="45" spans="1:16" s="43" customFormat="1">
      <c r="A45" s="12" t="s">
        <v>73</v>
      </c>
      <c r="B45" s="72" t="s">
        <v>38</v>
      </c>
      <c r="C45" s="7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49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65" t="s">
        <v>76</v>
      </c>
      <c r="D47" s="35"/>
      <c r="E47" s="14"/>
      <c r="F47" s="14"/>
      <c r="G47" s="14"/>
      <c r="H47" s="14"/>
      <c r="I47" s="15"/>
      <c r="J47" s="263">
        <v>111531453.21000002</v>
      </c>
      <c r="K47" s="263">
        <v>0</v>
      </c>
      <c r="L47" s="264">
        <v>111531454</v>
      </c>
      <c r="M47" s="59"/>
      <c r="N47" s="263">
        <v>2098071</v>
      </c>
      <c r="O47" s="265">
        <v>113629525</v>
      </c>
      <c r="P47" s="68"/>
    </row>
    <row r="48" spans="1:16" s="37" customFormat="1">
      <c r="A48" s="52"/>
      <c r="B48" s="53"/>
      <c r="C48" s="344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57"/>
      <c r="D50" s="29" t="s">
        <v>77</v>
      </c>
      <c r="E50" s="14"/>
      <c r="F50" s="14"/>
      <c r="G50" s="14"/>
      <c r="H50" s="14"/>
      <c r="I50" s="15"/>
      <c r="J50" s="263">
        <v>-13307294.560000017</v>
      </c>
      <c r="K50" s="263">
        <v>0</v>
      </c>
      <c r="L50" s="264">
        <v>-13307292</v>
      </c>
      <c r="M50" s="59"/>
      <c r="N50" s="263">
        <v>764164</v>
      </c>
      <c r="O50" s="265">
        <v>-12543128</v>
      </c>
      <c r="P50" s="68"/>
    </row>
    <row r="51" spans="1:16" s="43" customFormat="1">
      <c r="A51" s="52"/>
      <c r="B51" s="53"/>
      <c r="C51" s="57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76" t="s">
        <v>79</v>
      </c>
      <c r="D52" s="35"/>
      <c r="E52" s="14"/>
      <c r="F52" s="14"/>
      <c r="G52" s="14"/>
      <c r="H52" s="35"/>
      <c r="I52" s="15"/>
      <c r="J52" s="257">
        <v>11528655.4</v>
      </c>
      <c r="K52" s="223">
        <v>0</v>
      </c>
      <c r="L52" s="238">
        <v>11528655.4</v>
      </c>
      <c r="M52" s="49"/>
      <c r="N52" s="223">
        <v>0</v>
      </c>
      <c r="O52" s="239">
        <v>11528655</v>
      </c>
      <c r="P52" s="81"/>
    </row>
    <row r="53" spans="1:16" s="43" customFormat="1">
      <c r="A53" s="52" t="s">
        <v>80</v>
      </c>
      <c r="B53" s="53" t="s">
        <v>81</v>
      </c>
      <c r="C53" s="76" t="s">
        <v>82</v>
      </c>
      <c r="D53" s="35"/>
      <c r="E53" s="14"/>
      <c r="F53" s="14"/>
      <c r="G53" s="14"/>
      <c r="H53" s="35"/>
      <c r="I53" s="15"/>
      <c r="J53" s="259">
        <v>6395418.9900000002</v>
      </c>
      <c r="K53" s="241">
        <v>0</v>
      </c>
      <c r="L53" s="242">
        <v>6395418.9900000002</v>
      </c>
      <c r="M53" s="225"/>
      <c r="N53" s="50">
        <v>0</v>
      </c>
      <c r="O53" s="243">
        <v>6395419</v>
      </c>
      <c r="P53" s="51"/>
    </row>
    <row r="54" spans="1:16">
      <c r="A54" s="52" t="s">
        <v>83</v>
      </c>
      <c r="B54" s="53" t="s">
        <v>84</v>
      </c>
      <c r="C54" s="57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49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65" t="s">
        <v>88</v>
      </c>
      <c r="D57" s="35"/>
      <c r="E57" s="35"/>
      <c r="F57" s="14"/>
      <c r="G57" s="14"/>
      <c r="H57" s="14"/>
      <c r="I57" s="15"/>
      <c r="J57" s="251">
        <v>17924074.390000001</v>
      </c>
      <c r="K57" s="251">
        <v>0</v>
      </c>
      <c r="L57" s="253">
        <v>17924074</v>
      </c>
      <c r="M57" s="261"/>
      <c r="N57" s="251">
        <v>0</v>
      </c>
      <c r="O57" s="253">
        <v>17924074</v>
      </c>
      <c r="P57" s="91"/>
    </row>
    <row r="58" spans="1:16" ht="13.5" thickTop="1">
      <c r="A58" s="52"/>
      <c r="B58" s="53"/>
      <c r="C58" s="65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4616779.8299999833</v>
      </c>
      <c r="K59" s="263">
        <v>0</v>
      </c>
      <c r="L59" s="265">
        <v>4616782</v>
      </c>
      <c r="M59" s="92"/>
      <c r="N59" s="263">
        <v>764164</v>
      </c>
      <c r="O59" s="265">
        <v>5380946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57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236045296</v>
      </c>
      <c r="M61" s="49"/>
      <c r="N61" s="96">
        <v>32720136</v>
      </c>
      <c r="O61" s="240">
        <v>268765432</v>
      </c>
      <c r="P61" s="97"/>
    </row>
    <row r="62" spans="1:16">
      <c r="A62" s="52" t="s">
        <v>91</v>
      </c>
      <c r="B62" s="53" t="s">
        <v>92</v>
      </c>
      <c r="C62" s="57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7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35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236045296</v>
      </c>
      <c r="M64" s="92"/>
      <c r="N64" s="90">
        <v>32720136</v>
      </c>
      <c r="O64" s="90">
        <v>268765432</v>
      </c>
      <c r="P64" s="91"/>
    </row>
    <row r="65" spans="1:16" s="64" customFormat="1">
      <c r="A65" s="52"/>
      <c r="B65" s="53"/>
      <c r="C65" s="7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65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240662078</v>
      </c>
      <c r="M66" s="105"/>
      <c r="N66" s="251">
        <v>33484300</v>
      </c>
      <c r="O66" s="251">
        <v>274146378</v>
      </c>
      <c r="P66" s="46"/>
    </row>
    <row r="67" spans="1:16" ht="13.5" thickTop="1">
      <c r="A67" s="70"/>
      <c r="B67" s="53"/>
      <c r="C67" s="57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49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L66-[21]SNP!M120</f>
        <v>2</v>
      </c>
      <c r="M69" s="110"/>
      <c r="N69" s="111">
        <f>N66-[21]SNP!O120</f>
        <v>0</v>
      </c>
      <c r="O69" s="111">
        <f>O66-[21]SNP!P120</f>
        <v>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230" priority="24" operator="notEqual">
      <formula>0</formula>
    </cfRule>
    <cfRule type="cellIs" dxfId="229" priority="25" operator="equal">
      <formula>0</formula>
    </cfRule>
  </conditionalFormatting>
  <conditionalFormatting sqref="F11:G11 N62 L62 N17:N18 N11:N15 L16 F17:G17 N24:N30 N37:N45 N52:N55">
    <cfRule type="containsBlanks" dxfId="228" priority="20">
      <formula>LEN(TRIM(F11))=0</formula>
    </cfRule>
    <cfRule type="cellIs" dxfId="227" priority="21" operator="notEqual">
      <formula>0</formula>
    </cfRule>
  </conditionalFormatting>
  <conditionalFormatting sqref="N11">
    <cfRule type="cellIs" dxfId="226" priority="19" operator="notEqual">
      <formula>N20</formula>
    </cfRule>
  </conditionalFormatting>
  <conditionalFormatting sqref="O69">
    <cfRule type="cellIs" dxfId="225" priority="15" operator="notEqual">
      <formula>0</formula>
    </cfRule>
    <cfRule type="cellIs" dxfId="224" priority="16" operator="equal">
      <formula>0</formula>
    </cfRule>
  </conditionalFormatting>
  <conditionalFormatting sqref="K11:K15 K17:K18">
    <cfRule type="containsBlanks" dxfId="223" priority="13">
      <formula>LEN(TRIM(K11))=0</formula>
    </cfRule>
    <cfRule type="cellIs" dxfId="222" priority="14" operator="notEqual">
      <formula>0</formula>
    </cfRule>
  </conditionalFormatting>
  <conditionalFormatting sqref="K11:K15 K17:K18">
    <cfRule type="cellIs" dxfId="221" priority="12" operator="notEqual">
      <formula>K20</formula>
    </cfRule>
  </conditionalFormatting>
  <conditionalFormatting sqref="K16">
    <cfRule type="containsBlanks" dxfId="220" priority="10">
      <formula>LEN(TRIM(K16))=0</formula>
    </cfRule>
    <cfRule type="cellIs" dxfId="219" priority="11" operator="notEqual">
      <formula>0</formula>
    </cfRule>
  </conditionalFormatting>
  <conditionalFormatting sqref="K52 K37 K24">
    <cfRule type="containsBlanks" dxfId="218" priority="8">
      <formula>LEN(TRIM(K24))=0</formula>
    </cfRule>
    <cfRule type="cellIs" dxfId="217" priority="9" operator="notEqual">
      <formula>0</formula>
    </cfRule>
  </conditionalFormatting>
  <conditionalFormatting sqref="K52 K37 K24">
    <cfRule type="cellIs" dxfId="216" priority="7" operator="notEqual">
      <formula>K33</formula>
    </cfRule>
  </conditionalFormatting>
  <conditionalFormatting sqref="K53:K55 K38:K45 K25:K30">
    <cfRule type="containsBlanks" dxfId="215" priority="5">
      <formula>LEN(TRIM(K25))=0</formula>
    </cfRule>
    <cfRule type="cellIs" dxfId="214" priority="6" operator="notEqual">
      <formula>0</formula>
    </cfRule>
  </conditionalFormatting>
  <conditionalFormatting sqref="K53:K55 K38:K45 K25:K30">
    <cfRule type="cellIs" dxfId="213" priority="4" operator="notEqual">
      <formula>K34</formula>
    </cfRule>
  </conditionalFormatting>
  <conditionalFormatting sqref="N24">
    <cfRule type="cellIs" dxfId="212" priority="3" operator="notEqual">
      <formula>N33</formula>
    </cfRule>
  </conditionalFormatting>
  <conditionalFormatting sqref="N37">
    <cfRule type="cellIs" dxfId="211" priority="2" operator="notEqual">
      <formula>N46</formula>
    </cfRule>
  </conditionalFormatting>
  <conditionalFormatting sqref="N52">
    <cfRule type="cellIs" dxfId="210" priority="1" operator="notEqual">
      <formula>N61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312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[22]SNP!$O$9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9851111.3300000001</v>
      </c>
      <c r="G11" s="339"/>
      <c r="H11" s="45"/>
      <c r="I11" s="36"/>
      <c r="J11" s="237">
        <v>12289634.509999998</v>
      </c>
      <c r="K11" s="223">
        <v>0.49</v>
      </c>
      <c r="L11" s="238">
        <v>12289634.999999998</v>
      </c>
      <c r="M11" s="224"/>
      <c r="N11" s="223">
        <v>0</v>
      </c>
      <c r="O11" s="239">
        <v>12289635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676919.32</v>
      </c>
      <c r="K12" s="241">
        <v>0</v>
      </c>
      <c r="L12" s="242">
        <v>676919.32</v>
      </c>
      <c r="M12" s="225"/>
      <c r="N12" s="50">
        <v>0</v>
      </c>
      <c r="O12" s="243">
        <v>676919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70860.5</v>
      </c>
      <c r="K13" s="241">
        <v>0</v>
      </c>
      <c r="L13" s="242">
        <v>70860.5</v>
      </c>
      <c r="M13" s="225"/>
      <c r="N13" s="50">
        <v>31755</v>
      </c>
      <c r="O13" s="243">
        <v>102616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0</v>
      </c>
      <c r="K14" s="241">
        <v>0</v>
      </c>
      <c r="L14" s="242">
        <v>0</v>
      </c>
      <c r="M14" s="225"/>
      <c r="N14" s="50">
        <v>506244</v>
      </c>
      <c r="O14" s="243">
        <v>506244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12845</v>
      </c>
      <c r="K15" s="241">
        <v>-0.5</v>
      </c>
      <c r="L15" s="242">
        <v>12844.5</v>
      </c>
      <c r="M15" s="225"/>
      <c r="N15" s="50">
        <v>0</v>
      </c>
      <c r="O15" s="243">
        <v>12845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2086450.68</v>
      </c>
      <c r="G17" s="339"/>
      <c r="H17" s="55"/>
      <c r="I17" s="35"/>
      <c r="J17" s="240">
        <v>3378706.0600000005</v>
      </c>
      <c r="K17" s="241">
        <v>0</v>
      </c>
      <c r="L17" s="242">
        <v>3378706.0600000005</v>
      </c>
      <c r="M17" s="225"/>
      <c r="N17" s="50">
        <v>0</v>
      </c>
      <c r="O17" s="243">
        <v>3378706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289921.37</v>
      </c>
      <c r="K18" s="247">
        <v>0</v>
      </c>
      <c r="L18" s="248">
        <v>289921.37</v>
      </c>
      <c r="M18" s="225"/>
      <c r="N18" s="58">
        <v>475930</v>
      </c>
      <c r="O18" s="249">
        <v>765851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16718886.759999998</v>
      </c>
      <c r="K20" s="251">
        <v>-1</v>
      </c>
      <c r="L20" s="252">
        <v>16718887</v>
      </c>
      <c r="M20" s="67"/>
      <c r="N20" s="251">
        <v>1013929</v>
      </c>
      <c r="O20" s="253">
        <v>17732816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39712967.670000002</v>
      </c>
      <c r="K24" s="223">
        <v>0</v>
      </c>
      <c r="L24" s="258">
        <v>39712967.670000002</v>
      </c>
      <c r="M24" s="225"/>
      <c r="N24" s="223">
        <v>402509.3</v>
      </c>
      <c r="O24" s="239">
        <v>40115477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10311326.689999999</v>
      </c>
      <c r="K25" s="241">
        <v>0</v>
      </c>
      <c r="L25" s="242">
        <v>10311326.689999999</v>
      </c>
      <c r="M25" s="225"/>
      <c r="N25" s="50">
        <v>1409330.08</v>
      </c>
      <c r="O25" s="243">
        <v>11720657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1719304.74</v>
      </c>
      <c r="K26" s="241">
        <v>-1</v>
      </c>
      <c r="L26" s="242">
        <v>1719303.74</v>
      </c>
      <c r="M26" s="225"/>
      <c r="N26" s="50">
        <v>0</v>
      </c>
      <c r="O26" s="243">
        <v>1719304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5385656.7299999995</v>
      </c>
      <c r="K27" s="241">
        <v>-1</v>
      </c>
      <c r="L27" s="242">
        <v>5385655.7299999995</v>
      </c>
      <c r="M27" s="225"/>
      <c r="N27" s="50">
        <v>153620.75</v>
      </c>
      <c r="O27" s="243">
        <v>5539277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2993961.64</v>
      </c>
      <c r="K28" s="241">
        <v>0</v>
      </c>
      <c r="L28" s="242">
        <v>2993961.64</v>
      </c>
      <c r="M28" s="225"/>
      <c r="N28" s="50">
        <v>39263.870000000003</v>
      </c>
      <c r="O28" s="243">
        <v>3033226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7271658.6600000001</v>
      </c>
      <c r="K29" s="241">
        <v>0</v>
      </c>
      <c r="L29" s="242">
        <v>7271658.6600000001</v>
      </c>
      <c r="M29" s="225"/>
      <c r="N29" s="50">
        <v>32846.43</v>
      </c>
      <c r="O29" s="243">
        <v>7304505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8311244.2199999997</v>
      </c>
      <c r="K30" s="247">
        <v>0</v>
      </c>
      <c r="L30" s="248">
        <v>8311244.2199999997</v>
      </c>
      <c r="M30" s="225"/>
      <c r="N30" s="58">
        <v>501</v>
      </c>
      <c r="O30" s="249">
        <v>8311745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75706120.349999994</v>
      </c>
      <c r="K32" s="251">
        <v>-2</v>
      </c>
      <c r="L32" s="252">
        <v>75706120</v>
      </c>
      <c r="M32" s="261"/>
      <c r="N32" s="251">
        <v>2038071</v>
      </c>
      <c r="O32" s="253">
        <v>77744191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-58987233.589999996</v>
      </c>
      <c r="K34" s="263">
        <v>1</v>
      </c>
      <c r="L34" s="264">
        <v>-58987233</v>
      </c>
      <c r="M34" s="67"/>
      <c r="N34" s="263">
        <v>-1024142</v>
      </c>
      <c r="O34" s="265">
        <v>-60011375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32468087.199999999</v>
      </c>
      <c r="K37" s="223">
        <v>-0.2</v>
      </c>
      <c r="L37" s="238">
        <v>32468087</v>
      </c>
      <c r="M37" s="49"/>
      <c r="N37" s="223">
        <v>0</v>
      </c>
      <c r="O37" s="239">
        <v>32468087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20029641.210000001</v>
      </c>
      <c r="K38" s="241">
        <v>0</v>
      </c>
      <c r="L38" s="242">
        <v>20029641.210000001</v>
      </c>
      <c r="M38" s="49"/>
      <c r="N38" s="80">
        <v>0</v>
      </c>
      <c r="O38" s="243">
        <v>20029641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2625131.37</v>
      </c>
      <c r="K39" s="241">
        <v>4875</v>
      </c>
      <c r="L39" s="242">
        <v>2630006.37</v>
      </c>
      <c r="M39" s="49"/>
      <c r="N39" s="80">
        <v>0</v>
      </c>
      <c r="O39" s="243">
        <v>2630006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234988.43999999997</v>
      </c>
      <c r="K40" s="241">
        <v>0</v>
      </c>
      <c r="L40" s="242">
        <v>234988.43999999997</v>
      </c>
      <c r="M40" s="49"/>
      <c r="N40" s="80">
        <v>693603</v>
      </c>
      <c r="O40" s="243">
        <v>928591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2159215</v>
      </c>
      <c r="O41" s="243">
        <v>2159215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4697.66</v>
      </c>
      <c r="K42" s="241">
        <v>0.5</v>
      </c>
      <c r="L42" s="242">
        <v>4698.16</v>
      </c>
      <c r="M42" s="49"/>
      <c r="N42" s="80">
        <v>0</v>
      </c>
      <c r="O42" s="243">
        <v>4698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-153360.91999999998</v>
      </c>
      <c r="K44" s="241">
        <v>0</v>
      </c>
      <c r="L44" s="242">
        <v>-153360.91999999998</v>
      </c>
      <c r="M44" s="49"/>
      <c r="N44" s="80">
        <v>0</v>
      </c>
      <c r="O44" s="243">
        <v>-153361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55209184.959999986</v>
      </c>
      <c r="K47" s="263">
        <v>4875.3</v>
      </c>
      <c r="L47" s="264">
        <v>55214059</v>
      </c>
      <c r="M47" s="59"/>
      <c r="N47" s="263">
        <v>2852818</v>
      </c>
      <c r="O47" s="265">
        <v>58066877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-3778048.6300000101</v>
      </c>
      <c r="K50" s="263">
        <v>4876.3</v>
      </c>
      <c r="L50" s="264">
        <v>-3773174</v>
      </c>
      <c r="M50" s="59"/>
      <c r="N50" s="263">
        <v>1828676</v>
      </c>
      <c r="O50" s="265">
        <v>-1944498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966817</v>
      </c>
      <c r="K52" s="223">
        <v>0</v>
      </c>
      <c r="L52" s="238">
        <v>966817</v>
      </c>
      <c r="M52" s="49"/>
      <c r="N52" s="223">
        <v>0</v>
      </c>
      <c r="O52" s="239">
        <v>966817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2742001.49</v>
      </c>
      <c r="K53" s="241">
        <v>0</v>
      </c>
      <c r="L53" s="242">
        <v>2742001.49</v>
      </c>
      <c r="M53" s="225"/>
      <c r="N53" s="50">
        <v>0</v>
      </c>
      <c r="O53" s="243">
        <v>2742001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94643</v>
      </c>
      <c r="O54" s="243">
        <v>94643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3708818.49</v>
      </c>
      <c r="K57" s="251">
        <v>0</v>
      </c>
      <c r="L57" s="253">
        <v>3708818</v>
      </c>
      <c r="M57" s="261"/>
      <c r="N57" s="251">
        <v>94643</v>
      </c>
      <c r="O57" s="253">
        <v>3803461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3">
        <v>-69230.140000009909</v>
      </c>
      <c r="K59" s="263">
        <v>4876.3</v>
      </c>
      <c r="L59" s="265">
        <v>-64356</v>
      </c>
      <c r="M59" s="92"/>
      <c r="N59" s="263">
        <v>1923319</v>
      </c>
      <c r="O59" s="265">
        <v>1858963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185782674</v>
      </c>
      <c r="M61" s="49"/>
      <c r="N61" s="96">
        <v>46018499</v>
      </c>
      <c r="O61" s="240">
        <v>231801173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185782674</v>
      </c>
      <c r="M64" s="92"/>
      <c r="N64" s="90">
        <v>46018499</v>
      </c>
      <c r="O64" s="90">
        <v>231801173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185718318</v>
      </c>
      <c r="M66" s="105"/>
      <c r="N66" s="251">
        <v>47941818</v>
      </c>
      <c r="O66" s="251">
        <v>233660136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L66-[22]SNP!M120</f>
        <v>0</v>
      </c>
      <c r="M69" s="110"/>
      <c r="N69" s="111">
        <f>N66-[22]SNP!O120</f>
        <v>0</v>
      </c>
      <c r="O69" s="111">
        <f>O66-[22]SNP!P120</f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209" priority="24" operator="notEqual">
      <formula>0</formula>
    </cfRule>
    <cfRule type="cellIs" dxfId="208" priority="25" operator="equal">
      <formula>0</formula>
    </cfRule>
  </conditionalFormatting>
  <conditionalFormatting sqref="F11:G11 N62 L62 N17:N18 N11:N15 L16 F17:G17 N24:N30 N37:N45 N52:N55">
    <cfRule type="containsBlanks" dxfId="207" priority="20">
      <formula>LEN(TRIM(F11))=0</formula>
    </cfRule>
    <cfRule type="cellIs" dxfId="206" priority="21" operator="notEqual">
      <formula>0</formula>
    </cfRule>
  </conditionalFormatting>
  <conditionalFormatting sqref="N11">
    <cfRule type="cellIs" dxfId="205" priority="19" operator="notEqual">
      <formula>N20</formula>
    </cfRule>
  </conditionalFormatting>
  <conditionalFormatting sqref="O69">
    <cfRule type="cellIs" dxfId="204" priority="15" operator="notEqual">
      <formula>0</formula>
    </cfRule>
    <cfRule type="cellIs" dxfId="203" priority="16" operator="equal">
      <formula>0</formula>
    </cfRule>
  </conditionalFormatting>
  <conditionalFormatting sqref="K11:K15 K17:K18">
    <cfRule type="containsBlanks" dxfId="202" priority="13">
      <formula>LEN(TRIM(K11))=0</formula>
    </cfRule>
    <cfRule type="cellIs" dxfId="201" priority="14" operator="notEqual">
      <formula>0</formula>
    </cfRule>
  </conditionalFormatting>
  <conditionalFormatting sqref="K11:K15 K17:K18">
    <cfRule type="cellIs" dxfId="200" priority="12" operator="notEqual">
      <formula>K20</formula>
    </cfRule>
  </conditionalFormatting>
  <conditionalFormatting sqref="K16">
    <cfRule type="containsBlanks" dxfId="199" priority="10">
      <formula>LEN(TRIM(K16))=0</formula>
    </cfRule>
    <cfRule type="cellIs" dxfId="198" priority="11" operator="notEqual">
      <formula>0</formula>
    </cfRule>
  </conditionalFormatting>
  <conditionalFormatting sqref="K52 K37 K24">
    <cfRule type="containsBlanks" dxfId="197" priority="8">
      <formula>LEN(TRIM(K24))=0</formula>
    </cfRule>
    <cfRule type="cellIs" dxfId="196" priority="9" operator="notEqual">
      <formula>0</formula>
    </cfRule>
  </conditionalFormatting>
  <conditionalFormatting sqref="K52 K37 K24">
    <cfRule type="cellIs" dxfId="195" priority="7" operator="notEqual">
      <formula>K33</formula>
    </cfRule>
  </conditionalFormatting>
  <conditionalFormatting sqref="K53:K55 K38:K45 K25:K30">
    <cfRule type="containsBlanks" dxfId="194" priority="5">
      <formula>LEN(TRIM(K25))=0</formula>
    </cfRule>
    <cfRule type="cellIs" dxfId="193" priority="6" operator="notEqual">
      <formula>0</formula>
    </cfRule>
  </conditionalFormatting>
  <conditionalFormatting sqref="K53:K55 K38:K45 K25:K30">
    <cfRule type="cellIs" dxfId="192" priority="4" operator="notEqual">
      <formula>K34</formula>
    </cfRule>
  </conditionalFormatting>
  <conditionalFormatting sqref="N24">
    <cfRule type="cellIs" dxfId="191" priority="3" operator="notEqual">
      <formula>N33</formula>
    </cfRule>
  </conditionalFormatting>
  <conditionalFormatting sqref="N37">
    <cfRule type="cellIs" dxfId="190" priority="2" operator="notEqual">
      <formula>N46</formula>
    </cfRule>
  </conditionalFormatting>
  <conditionalFormatting sqref="N52">
    <cfRule type="cellIs" dxfId="189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4" style="11" bestFit="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342" t="s">
        <v>119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[23]SNP!$O$9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7541746.8399999999</v>
      </c>
      <c r="G11" s="339"/>
      <c r="H11" s="45"/>
      <c r="I11" s="36"/>
      <c r="J11" s="321">
        <v>13762513.859999999</v>
      </c>
      <c r="K11" s="223">
        <v>0</v>
      </c>
      <c r="L11" s="238">
        <v>13762513.859999999</v>
      </c>
      <c r="M11" s="224"/>
      <c r="N11" s="223">
        <v>0</v>
      </c>
      <c r="O11" s="239">
        <v>13762513.859999999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322">
        <v>882065.71</v>
      </c>
      <c r="K12" s="241">
        <v>0</v>
      </c>
      <c r="L12" s="242">
        <v>882065.71</v>
      </c>
      <c r="M12" s="225"/>
      <c r="N12" s="50">
        <v>0</v>
      </c>
      <c r="O12" s="239">
        <v>882065.71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322">
        <v>753126.74</v>
      </c>
      <c r="K13" s="241">
        <v>0</v>
      </c>
      <c r="L13" s="242">
        <v>753126.74</v>
      </c>
      <c r="M13" s="225"/>
      <c r="N13" s="50">
        <v>0</v>
      </c>
      <c r="O13" s="239">
        <v>753126.74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322">
        <v>24422.26</v>
      </c>
      <c r="K14" s="241">
        <v>0</v>
      </c>
      <c r="L14" s="242">
        <v>24422.26</v>
      </c>
      <c r="M14" s="225"/>
      <c r="N14" s="50">
        <v>0</v>
      </c>
      <c r="O14" s="239">
        <v>24422.26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322">
        <v>846867.25</v>
      </c>
      <c r="K15" s="241">
        <v>0</v>
      </c>
      <c r="L15" s="242">
        <v>846867.25</v>
      </c>
      <c r="M15" s="225"/>
      <c r="N15" s="50">
        <v>0</v>
      </c>
      <c r="O15" s="239">
        <v>846867.25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22"/>
      <c r="K16" s="244"/>
      <c r="L16" s="245"/>
      <c r="M16" s="225"/>
      <c r="N16" s="35"/>
      <c r="O16" s="239">
        <v>0</v>
      </c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322">
        <v>523183.73</v>
      </c>
      <c r="K17" s="241">
        <v>0</v>
      </c>
      <c r="L17" s="242">
        <v>523183.73</v>
      </c>
      <c r="M17" s="225"/>
      <c r="N17" s="50">
        <v>0</v>
      </c>
      <c r="O17" s="239">
        <v>523183.73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323">
        <v>-1317932.4099999999</v>
      </c>
      <c r="K18" s="247">
        <v>0</v>
      </c>
      <c r="L18" s="248">
        <v>-1317932.4099999999</v>
      </c>
      <c r="M18" s="225"/>
      <c r="N18" s="58">
        <v>2762350</v>
      </c>
      <c r="O18" s="239">
        <v>1444417.59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324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325">
        <v>15474247.140000001</v>
      </c>
      <c r="K20" s="251">
        <v>0</v>
      </c>
      <c r="L20" s="253">
        <v>15474247.140000001</v>
      </c>
      <c r="M20" s="251">
        <v>0</v>
      </c>
      <c r="N20" s="251">
        <v>2762350</v>
      </c>
      <c r="O20" s="253">
        <v>18236597.140000001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326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326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326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327">
        <v>39756246.68</v>
      </c>
      <c r="K24" s="223">
        <v>0</v>
      </c>
      <c r="L24" s="258">
        <v>39756246.68</v>
      </c>
      <c r="M24" s="225"/>
      <c r="N24" s="223">
        <v>0</v>
      </c>
      <c r="O24" s="239">
        <v>39756247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326">
        <v>12821507.350000001</v>
      </c>
      <c r="K25" s="241">
        <v>0</v>
      </c>
      <c r="L25" s="242">
        <v>12821507.350000001</v>
      </c>
      <c r="M25" s="225"/>
      <c r="N25" s="50">
        <v>587125</v>
      </c>
      <c r="O25" s="243">
        <v>13408632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326">
        <v>3440222.1400000006</v>
      </c>
      <c r="K26" s="241">
        <v>0</v>
      </c>
      <c r="L26" s="242">
        <v>3440222.1400000006</v>
      </c>
      <c r="M26" s="225"/>
      <c r="N26" s="50">
        <v>15795</v>
      </c>
      <c r="O26" s="243">
        <v>3456017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326">
        <v>7740619.120000001</v>
      </c>
      <c r="K27" s="241">
        <v>0</v>
      </c>
      <c r="L27" s="242">
        <v>7740619.120000001</v>
      </c>
      <c r="M27" s="225"/>
      <c r="N27" s="50">
        <v>670427</v>
      </c>
      <c r="O27" s="243">
        <v>8411046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326">
        <v>3154895.85</v>
      </c>
      <c r="K28" s="241">
        <v>0</v>
      </c>
      <c r="L28" s="242">
        <v>3154895.85</v>
      </c>
      <c r="M28" s="225"/>
      <c r="N28" s="50">
        <v>1693841</v>
      </c>
      <c r="O28" s="243">
        <v>4848737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326">
        <v>5703393.7000000002</v>
      </c>
      <c r="K29" s="241">
        <v>0</v>
      </c>
      <c r="L29" s="242">
        <v>5703393.7000000002</v>
      </c>
      <c r="M29" s="225"/>
      <c r="N29" s="50">
        <v>263646</v>
      </c>
      <c r="O29" s="243">
        <v>5967040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328">
        <v>2852095.38</v>
      </c>
      <c r="K30" s="247">
        <v>0</v>
      </c>
      <c r="L30" s="248">
        <v>2852095.38</v>
      </c>
      <c r="M30" s="225"/>
      <c r="N30" s="58">
        <v>6014</v>
      </c>
      <c r="O30" s="249">
        <v>2858109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326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325">
        <v>75468980.219999999</v>
      </c>
      <c r="K32" s="251">
        <v>0</v>
      </c>
      <c r="L32" s="253">
        <v>75468980.219999999</v>
      </c>
      <c r="M32" s="251">
        <v>0</v>
      </c>
      <c r="N32" s="251">
        <v>3236848</v>
      </c>
      <c r="O32" s="253">
        <v>78705828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324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329">
        <v>-59994733.079999998</v>
      </c>
      <c r="K34" s="263">
        <v>0</v>
      </c>
      <c r="L34" s="264">
        <v>-59994733.079999998</v>
      </c>
      <c r="M34" s="67"/>
      <c r="N34" s="263">
        <v>-474498</v>
      </c>
      <c r="O34" s="265">
        <v>-60469230.859999999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326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326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327">
        <v>35389199.399999999</v>
      </c>
      <c r="K37" s="223">
        <v>0</v>
      </c>
      <c r="L37" s="238">
        <v>35389199.399999999</v>
      </c>
      <c r="M37" s="49"/>
      <c r="N37" s="223">
        <v>0</v>
      </c>
      <c r="O37" s="239">
        <v>35389199.399999999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326">
        <v>17729259.740000002</v>
      </c>
      <c r="K38" s="241">
        <v>-574325.76000000001</v>
      </c>
      <c r="L38" s="242">
        <v>17154933.98</v>
      </c>
      <c r="M38" s="49"/>
      <c r="N38" s="80">
        <v>0</v>
      </c>
      <c r="O38" s="239">
        <v>17154933.98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326">
        <v>3347581.0999999996</v>
      </c>
      <c r="K39" s="241">
        <v>574325.76000000001</v>
      </c>
      <c r="L39" s="242">
        <v>3921906.8599999994</v>
      </c>
      <c r="M39" s="49"/>
      <c r="N39" s="80">
        <v>0</v>
      </c>
      <c r="O39" s="239">
        <v>3921906.8599999994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326">
        <v>64974.14</v>
      </c>
      <c r="K40" s="241">
        <v>0</v>
      </c>
      <c r="L40" s="242">
        <v>64974.14</v>
      </c>
      <c r="M40" s="49"/>
      <c r="N40" s="80">
        <v>1718989</v>
      </c>
      <c r="O40" s="239">
        <v>1783963.14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326">
        <v>0</v>
      </c>
      <c r="K41" s="241">
        <v>0</v>
      </c>
      <c r="L41" s="242">
        <v>0</v>
      </c>
      <c r="M41" s="49"/>
      <c r="N41" s="80">
        <v>0</v>
      </c>
      <c r="O41" s="239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326">
        <v>23923.23</v>
      </c>
      <c r="K42" s="241">
        <v>0</v>
      </c>
      <c r="L42" s="242">
        <v>23923.23</v>
      </c>
      <c r="M42" s="49"/>
      <c r="N42" s="80">
        <v>0</v>
      </c>
      <c r="O42" s="239">
        <v>23923.23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326">
        <v>-2926.7999999999997</v>
      </c>
      <c r="K43" s="241">
        <v>0</v>
      </c>
      <c r="L43" s="242">
        <v>-2926.7999999999997</v>
      </c>
      <c r="M43" s="49"/>
      <c r="N43" s="80">
        <v>0</v>
      </c>
      <c r="O43" s="239">
        <v>-2926.7999999999997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322">
        <v>-33370</v>
      </c>
      <c r="K44" s="241">
        <v>0</v>
      </c>
      <c r="L44" s="242">
        <v>-33370</v>
      </c>
      <c r="M44" s="49"/>
      <c r="N44" s="80">
        <v>0</v>
      </c>
      <c r="O44" s="239">
        <v>-33370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330">
        <v>0</v>
      </c>
      <c r="K45" s="247">
        <v>0</v>
      </c>
      <c r="L45" s="248">
        <v>0</v>
      </c>
      <c r="M45" s="49"/>
      <c r="N45" s="82">
        <v>0</v>
      </c>
      <c r="O45" s="23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22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329">
        <v>56518640.810000002</v>
      </c>
      <c r="K47" s="263">
        <v>0</v>
      </c>
      <c r="L47" s="265">
        <v>56518640.809999995</v>
      </c>
      <c r="M47" s="263">
        <v>0</v>
      </c>
      <c r="N47" s="263">
        <v>1718989</v>
      </c>
      <c r="O47" s="265">
        <v>58237629.809999995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324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22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329">
        <v>-3476092.2699999958</v>
      </c>
      <c r="K50" s="263">
        <v>0</v>
      </c>
      <c r="L50" s="264">
        <v>-3476092.2700000033</v>
      </c>
      <c r="M50" s="59"/>
      <c r="N50" s="263">
        <v>1244491</v>
      </c>
      <c r="O50" s="265">
        <v>-2231601.0500000045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326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327">
        <v>9816412</v>
      </c>
      <c r="K52" s="223">
        <v>0</v>
      </c>
      <c r="L52" s="238">
        <v>9816412</v>
      </c>
      <c r="M52" s="49"/>
      <c r="N52" s="223">
        <v>0</v>
      </c>
      <c r="O52" s="239">
        <v>9816412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326">
        <v>3120310.7600000002</v>
      </c>
      <c r="K53" s="241">
        <v>-279181.58</v>
      </c>
      <c r="L53" s="242">
        <v>2841129.18</v>
      </c>
      <c r="M53" s="225"/>
      <c r="N53" s="50">
        <v>0</v>
      </c>
      <c r="O53" s="243">
        <v>2841129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326">
        <v>0</v>
      </c>
      <c r="K54" s="241"/>
      <c r="L54" s="242">
        <v>0</v>
      </c>
      <c r="M54" s="225"/>
      <c r="N54" s="89">
        <v>421728</v>
      </c>
      <c r="O54" s="243">
        <v>421728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328">
        <v>0</v>
      </c>
      <c r="K55" s="247"/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322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325">
        <v>12936722.76</v>
      </c>
      <c r="K57" s="251">
        <v>-279181.58</v>
      </c>
      <c r="L57" s="253">
        <v>12657541.18</v>
      </c>
      <c r="M57" s="251">
        <v>0</v>
      </c>
      <c r="N57" s="251">
        <v>421728</v>
      </c>
      <c r="O57" s="253">
        <v>13079269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324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329">
        <v>9460630.4900000039</v>
      </c>
      <c r="K59" s="263">
        <v>-279181.58</v>
      </c>
      <c r="L59" s="265">
        <v>9181448.9099999964</v>
      </c>
      <c r="M59" s="92"/>
      <c r="N59" s="263">
        <v>1666219</v>
      </c>
      <c r="O59" s="265">
        <v>10847667.949999996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51698099</v>
      </c>
      <c r="M61" s="49"/>
      <c r="N61" s="96">
        <v>24598213</v>
      </c>
      <c r="O61" s="242">
        <v>76296312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51698099</v>
      </c>
      <c r="M64" s="92"/>
      <c r="N64" s="90">
        <v>24598213</v>
      </c>
      <c r="O64" s="90">
        <v>76296312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3">
        <v>60879547.909999996</v>
      </c>
      <c r="M66" s="292"/>
      <c r="N66" s="253">
        <v>26264432</v>
      </c>
      <c r="O66" s="253">
        <v>87143979.949999988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331">
        <f>L66-[23]SNP!M120</f>
        <v>2.000001072883606E-2</v>
      </c>
      <c r="M69" s="110"/>
      <c r="N69" s="111">
        <f>N66-[23]SNP!O120</f>
        <v>0</v>
      </c>
      <c r="O69" s="111">
        <f>O66-[23]SNP!P120</f>
        <v>0.94999998807907104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188" priority="24" operator="notEqual">
      <formula>0</formula>
    </cfRule>
    <cfRule type="cellIs" dxfId="187" priority="25" operator="equal">
      <formula>0</formula>
    </cfRule>
  </conditionalFormatting>
  <conditionalFormatting sqref="F11:G11 N62 L62 N17:N18 N11:N15 L16 F17:G17 N24:N30 N37:N45 N52:N55">
    <cfRule type="containsBlanks" dxfId="186" priority="20">
      <formula>LEN(TRIM(F11))=0</formula>
    </cfRule>
    <cfRule type="cellIs" dxfId="185" priority="21" operator="notEqual">
      <formula>0</formula>
    </cfRule>
  </conditionalFormatting>
  <conditionalFormatting sqref="N11">
    <cfRule type="cellIs" dxfId="184" priority="19" operator="notEqual">
      <formula>N20</formula>
    </cfRule>
  </conditionalFormatting>
  <conditionalFormatting sqref="O69">
    <cfRule type="cellIs" dxfId="183" priority="15" operator="notEqual">
      <formula>0</formula>
    </cfRule>
    <cfRule type="cellIs" dxfId="182" priority="16" operator="equal">
      <formula>0</formula>
    </cfRule>
  </conditionalFormatting>
  <conditionalFormatting sqref="K11:K15 K17:K18">
    <cfRule type="containsBlanks" dxfId="181" priority="13">
      <formula>LEN(TRIM(K11))=0</formula>
    </cfRule>
    <cfRule type="cellIs" dxfId="180" priority="14" operator="notEqual">
      <formula>0</formula>
    </cfRule>
  </conditionalFormatting>
  <conditionalFormatting sqref="K11:K15 K17:K18">
    <cfRule type="cellIs" dxfId="179" priority="12" operator="notEqual">
      <formula>K20</formula>
    </cfRule>
  </conditionalFormatting>
  <conditionalFormatting sqref="K16">
    <cfRule type="containsBlanks" dxfId="178" priority="10">
      <formula>LEN(TRIM(K16))=0</formula>
    </cfRule>
    <cfRule type="cellIs" dxfId="177" priority="11" operator="notEqual">
      <formula>0</formula>
    </cfRule>
  </conditionalFormatting>
  <conditionalFormatting sqref="K52 K37 K24">
    <cfRule type="containsBlanks" dxfId="176" priority="8">
      <formula>LEN(TRIM(K24))=0</formula>
    </cfRule>
    <cfRule type="cellIs" dxfId="175" priority="9" operator="notEqual">
      <formula>0</formula>
    </cfRule>
  </conditionalFormatting>
  <conditionalFormatting sqref="K52 K37 K24">
    <cfRule type="cellIs" dxfId="174" priority="7" operator="notEqual">
      <formula>K33</formula>
    </cfRule>
  </conditionalFormatting>
  <conditionalFormatting sqref="K53:K55 K38:K45 K25:K30">
    <cfRule type="containsBlanks" dxfId="173" priority="5">
      <formula>LEN(TRIM(K25))=0</formula>
    </cfRule>
    <cfRule type="cellIs" dxfId="172" priority="6" operator="notEqual">
      <formula>0</formula>
    </cfRule>
  </conditionalFormatting>
  <conditionalFormatting sqref="K53:K55 K38:K45 K25:K30">
    <cfRule type="cellIs" dxfId="171" priority="4" operator="notEqual">
      <formula>K34</formula>
    </cfRule>
  </conditionalFormatting>
  <conditionalFormatting sqref="N24">
    <cfRule type="cellIs" dxfId="170" priority="3" operator="notEqual">
      <formula>N33</formula>
    </cfRule>
  </conditionalFormatting>
  <conditionalFormatting sqref="N37">
    <cfRule type="cellIs" dxfId="169" priority="2" operator="notEqual">
      <formula>N46</formula>
    </cfRule>
  </conditionalFormatting>
  <conditionalFormatting sqref="N52">
    <cfRule type="cellIs" dxfId="168" priority="1" operator="notEqual">
      <formula>N61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120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[24]SNP!$O$9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9338666.4499999993</v>
      </c>
      <c r="G11" s="339"/>
      <c r="H11" s="45"/>
      <c r="I11" s="36"/>
      <c r="J11" s="237">
        <v>12916977.600000003</v>
      </c>
      <c r="K11" s="223">
        <v>0</v>
      </c>
      <c r="L11" s="238">
        <v>12916977.600000003</v>
      </c>
      <c r="M11" s="224"/>
      <c r="N11" s="223">
        <v>0</v>
      </c>
      <c r="O11" s="239">
        <v>12916978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1263534.72</v>
      </c>
      <c r="K12" s="241">
        <v>0</v>
      </c>
      <c r="L12" s="242">
        <v>1263534.72</v>
      </c>
      <c r="M12" s="225"/>
      <c r="N12" s="50">
        <v>0</v>
      </c>
      <c r="O12" s="243">
        <v>1263535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5731912.1399999997</v>
      </c>
      <c r="K13" s="241">
        <v>0</v>
      </c>
      <c r="L13" s="242">
        <v>5731912.1399999997</v>
      </c>
      <c r="M13" s="225"/>
      <c r="N13" s="50">
        <v>0</v>
      </c>
      <c r="O13" s="243">
        <v>5731912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330249.21999999997</v>
      </c>
      <c r="K14" s="241">
        <v>0</v>
      </c>
      <c r="L14" s="242">
        <v>330249.21999999997</v>
      </c>
      <c r="M14" s="225"/>
      <c r="N14" s="50">
        <v>0</v>
      </c>
      <c r="O14" s="243">
        <v>330249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92409.06</v>
      </c>
      <c r="K15" s="241">
        <v>0</v>
      </c>
      <c r="L15" s="242">
        <v>92409.06</v>
      </c>
      <c r="M15" s="225"/>
      <c r="N15" s="50">
        <v>0</v>
      </c>
      <c r="O15" s="243">
        <v>92409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0">
        <v>748074.88</v>
      </c>
      <c r="K17" s="241">
        <v>0</v>
      </c>
      <c r="L17" s="242">
        <v>748074.88</v>
      </c>
      <c r="M17" s="225"/>
      <c r="N17" s="50">
        <v>0</v>
      </c>
      <c r="O17" s="243">
        <v>748075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251248.11</v>
      </c>
      <c r="K18" s="247"/>
      <c r="L18" s="248">
        <v>251248.11</v>
      </c>
      <c r="M18" s="225"/>
      <c r="N18" s="58">
        <v>243677</v>
      </c>
      <c r="O18" s="249">
        <v>494925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21334405.73</v>
      </c>
      <c r="K20" s="251">
        <v>0</v>
      </c>
      <c r="L20" s="252">
        <v>21334406</v>
      </c>
      <c r="M20" s="67"/>
      <c r="N20" s="251">
        <v>243677</v>
      </c>
      <c r="O20" s="253">
        <v>21578083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44375248.75</v>
      </c>
      <c r="K24" s="223"/>
      <c r="L24" s="258">
        <v>44375248.75</v>
      </c>
      <c r="M24" s="225"/>
      <c r="N24" s="223">
        <v>794478</v>
      </c>
      <c r="O24" s="239">
        <v>45169727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10241135.130000003</v>
      </c>
      <c r="K25" s="241">
        <v>0</v>
      </c>
      <c r="L25" s="242">
        <v>10241135.130000003</v>
      </c>
      <c r="M25" s="225"/>
      <c r="N25" s="50">
        <v>1145441</v>
      </c>
      <c r="O25" s="243">
        <v>11386576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2627779.8199999998</v>
      </c>
      <c r="K26" s="241">
        <v>0</v>
      </c>
      <c r="L26" s="242">
        <v>2627779.8199999998</v>
      </c>
      <c r="M26" s="225"/>
      <c r="N26" s="50">
        <v>129537</v>
      </c>
      <c r="O26" s="243">
        <v>2757317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9007286.0999999996</v>
      </c>
      <c r="K27" s="241">
        <v>0</v>
      </c>
      <c r="L27" s="242">
        <v>9007286.0999999996</v>
      </c>
      <c r="M27" s="225"/>
      <c r="N27" s="50">
        <v>451627</v>
      </c>
      <c r="O27" s="243">
        <v>9458913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5151448.6199999992</v>
      </c>
      <c r="K28" s="241">
        <v>0</v>
      </c>
      <c r="L28" s="242">
        <v>5151448.6199999992</v>
      </c>
      <c r="M28" s="225"/>
      <c r="N28" s="50">
        <v>716977</v>
      </c>
      <c r="O28" s="243">
        <v>5868426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5862140.0700000003</v>
      </c>
      <c r="K29" s="241">
        <v>0</v>
      </c>
      <c r="L29" s="242">
        <v>5862140.0700000003</v>
      </c>
      <c r="M29" s="225"/>
      <c r="N29" s="50">
        <v>49733</v>
      </c>
      <c r="O29" s="243">
        <v>5911873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4125678.56</v>
      </c>
      <c r="K30" s="247"/>
      <c r="L30" s="248">
        <v>4125678.56</v>
      </c>
      <c r="M30" s="225"/>
      <c r="N30" s="58">
        <v>0</v>
      </c>
      <c r="O30" s="249">
        <v>4125679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81390717.050000012</v>
      </c>
      <c r="K32" s="251">
        <v>0</v>
      </c>
      <c r="L32" s="252">
        <v>81390718</v>
      </c>
      <c r="M32" s="261"/>
      <c r="N32" s="251">
        <v>3287793</v>
      </c>
      <c r="O32" s="253">
        <v>84678511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-60056311.320000008</v>
      </c>
      <c r="K34" s="263">
        <v>0</v>
      </c>
      <c r="L34" s="264">
        <v>-60056312</v>
      </c>
      <c r="M34" s="67"/>
      <c r="N34" s="263">
        <v>-3044116</v>
      </c>
      <c r="O34" s="265">
        <v>-63100428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30499643.309999999</v>
      </c>
      <c r="K37" s="223">
        <v>0</v>
      </c>
      <c r="L37" s="238">
        <v>30499643.309999999</v>
      </c>
      <c r="M37" s="49"/>
      <c r="N37" s="223">
        <v>0</v>
      </c>
      <c r="O37" s="239">
        <v>30499643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19056042.559999999</v>
      </c>
      <c r="K38" s="241">
        <v>0</v>
      </c>
      <c r="L38" s="242">
        <v>19056042.559999999</v>
      </c>
      <c r="M38" s="49"/>
      <c r="N38" s="80">
        <v>0</v>
      </c>
      <c r="O38" s="243">
        <v>19056043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1104400</v>
      </c>
      <c r="K39" s="241">
        <v>0</v>
      </c>
      <c r="L39" s="242">
        <v>1104400</v>
      </c>
      <c r="M39" s="49"/>
      <c r="N39" s="80">
        <v>2245930</v>
      </c>
      <c r="O39" s="243">
        <v>3350330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15382.01</v>
      </c>
      <c r="K40" s="241">
        <v>0</v>
      </c>
      <c r="L40" s="242">
        <v>15382.01</v>
      </c>
      <c r="M40" s="49"/>
      <c r="N40" s="80">
        <v>1691869</v>
      </c>
      <c r="O40" s="243">
        <v>1707251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0</v>
      </c>
      <c r="O41" s="243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19912</v>
      </c>
      <c r="O42" s="243">
        <v>19912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-42703.46</v>
      </c>
      <c r="K44" s="241">
        <v>0</v>
      </c>
      <c r="L44" s="242">
        <v>-42703.46</v>
      </c>
      <c r="M44" s="49"/>
      <c r="N44" s="80">
        <v>0</v>
      </c>
      <c r="O44" s="243">
        <v>-42703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50632764.419999994</v>
      </c>
      <c r="K47" s="263">
        <v>0</v>
      </c>
      <c r="L47" s="264">
        <v>50632765</v>
      </c>
      <c r="M47" s="59"/>
      <c r="N47" s="263">
        <v>3957711</v>
      </c>
      <c r="O47" s="265">
        <v>54590476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-9423546.9000000134</v>
      </c>
      <c r="K50" s="263">
        <v>0</v>
      </c>
      <c r="L50" s="264">
        <v>-9423547</v>
      </c>
      <c r="M50" s="59"/>
      <c r="N50" s="263">
        <v>913595</v>
      </c>
      <c r="O50" s="265">
        <v>-8509952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6981881.2300000004</v>
      </c>
      <c r="K52" s="223">
        <v>0</v>
      </c>
      <c r="L52" s="238">
        <v>6981881.2300000004</v>
      </c>
      <c r="M52" s="49"/>
      <c r="N52" s="223">
        <v>0</v>
      </c>
      <c r="O52" s="239">
        <v>6981881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2284469.12</v>
      </c>
      <c r="K53" s="241">
        <v>0</v>
      </c>
      <c r="L53" s="242">
        <v>2284469.12</v>
      </c>
      <c r="M53" s="225"/>
      <c r="N53" s="50">
        <v>0</v>
      </c>
      <c r="O53" s="243">
        <v>2284469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454502</v>
      </c>
      <c r="O55" s="249">
        <v>454502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9266350.3500000015</v>
      </c>
      <c r="K57" s="251">
        <v>0</v>
      </c>
      <c r="L57" s="253">
        <v>9266350</v>
      </c>
      <c r="M57" s="261"/>
      <c r="N57" s="251">
        <v>454502</v>
      </c>
      <c r="O57" s="253">
        <v>9720852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3">
        <v>-157196.55000001192</v>
      </c>
      <c r="K59" s="263">
        <v>0</v>
      </c>
      <c r="L59" s="265">
        <v>-157197</v>
      </c>
      <c r="M59" s="92"/>
      <c r="N59" s="263">
        <v>1368097</v>
      </c>
      <c r="O59" s="265">
        <v>1210900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88453429</v>
      </c>
      <c r="M61" s="49"/>
      <c r="N61" s="96">
        <v>28836565</v>
      </c>
      <c r="O61" s="240">
        <v>117289994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88453429</v>
      </c>
      <c r="M64" s="92"/>
      <c r="N64" s="90">
        <v>28836565</v>
      </c>
      <c r="O64" s="90">
        <v>117289994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88296232</v>
      </c>
      <c r="M66" s="105"/>
      <c r="N66" s="251">
        <v>30204662</v>
      </c>
      <c r="O66" s="251">
        <v>118500894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L66-[24]SNP!M120</f>
        <v>-1</v>
      </c>
      <c r="M69" s="110"/>
      <c r="N69" s="111">
        <f>N66-[24]SNP!O120</f>
        <v>0</v>
      </c>
      <c r="O69" s="111">
        <f>O66-[24]SNP!P120</f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167" priority="24" operator="notEqual">
      <formula>0</formula>
    </cfRule>
    <cfRule type="cellIs" dxfId="166" priority="25" operator="equal">
      <formula>0</formula>
    </cfRule>
  </conditionalFormatting>
  <conditionalFormatting sqref="F11:G11 N62 L62 N17:N18 N11:N15 L16 F17:G17 N24:N30 N37:N45 N52:N55">
    <cfRule type="containsBlanks" dxfId="165" priority="20">
      <formula>LEN(TRIM(F11))=0</formula>
    </cfRule>
    <cfRule type="cellIs" dxfId="164" priority="21" operator="notEqual">
      <formula>0</formula>
    </cfRule>
  </conditionalFormatting>
  <conditionalFormatting sqref="N11">
    <cfRule type="cellIs" dxfId="163" priority="19" operator="notEqual">
      <formula>N20</formula>
    </cfRule>
  </conditionalFormatting>
  <conditionalFormatting sqref="O69">
    <cfRule type="cellIs" dxfId="162" priority="15" operator="notEqual">
      <formula>0</formula>
    </cfRule>
    <cfRule type="cellIs" dxfId="161" priority="16" operator="equal">
      <formula>0</formula>
    </cfRule>
  </conditionalFormatting>
  <conditionalFormatting sqref="K11:K15 K17:K18">
    <cfRule type="containsBlanks" dxfId="160" priority="13">
      <formula>LEN(TRIM(K11))=0</formula>
    </cfRule>
    <cfRule type="cellIs" dxfId="159" priority="14" operator="notEqual">
      <formula>0</formula>
    </cfRule>
  </conditionalFormatting>
  <conditionalFormatting sqref="K11:K15 K17:K18">
    <cfRule type="cellIs" dxfId="158" priority="12" operator="notEqual">
      <formula>K20</formula>
    </cfRule>
  </conditionalFormatting>
  <conditionalFormatting sqref="K16">
    <cfRule type="containsBlanks" dxfId="157" priority="10">
      <formula>LEN(TRIM(K16))=0</formula>
    </cfRule>
    <cfRule type="cellIs" dxfId="156" priority="11" operator="notEqual">
      <formula>0</formula>
    </cfRule>
  </conditionalFormatting>
  <conditionalFormatting sqref="K52 K37 K24">
    <cfRule type="containsBlanks" dxfId="155" priority="8">
      <formula>LEN(TRIM(K24))=0</formula>
    </cfRule>
    <cfRule type="cellIs" dxfId="154" priority="9" operator="notEqual">
      <formula>0</formula>
    </cfRule>
  </conditionalFormatting>
  <conditionalFormatting sqref="K52 K37 K24">
    <cfRule type="cellIs" dxfId="153" priority="7" operator="notEqual">
      <formula>K33</formula>
    </cfRule>
  </conditionalFormatting>
  <conditionalFormatting sqref="K53:K55 K38:K45 K25:K30">
    <cfRule type="containsBlanks" dxfId="152" priority="5">
      <formula>LEN(TRIM(K25))=0</formula>
    </cfRule>
    <cfRule type="cellIs" dxfId="151" priority="6" operator="notEqual">
      <formula>0</formula>
    </cfRule>
  </conditionalFormatting>
  <conditionalFormatting sqref="K53:K55 K38:K45 K25:K30">
    <cfRule type="cellIs" dxfId="150" priority="4" operator="notEqual">
      <formula>K34</formula>
    </cfRule>
  </conditionalFormatting>
  <conditionalFormatting sqref="N24">
    <cfRule type="cellIs" dxfId="149" priority="3" operator="notEqual">
      <formula>N33</formula>
    </cfRule>
  </conditionalFormatting>
  <conditionalFormatting sqref="N37">
    <cfRule type="cellIs" dxfId="148" priority="2" operator="notEqual">
      <formula>N46</formula>
    </cfRule>
  </conditionalFormatting>
  <conditionalFormatting sqref="N52">
    <cfRule type="cellIs" dxfId="147" priority="1" operator="notEqual">
      <formula>N61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.85546875" style="11" bestFit="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A1" s="355"/>
      <c r="B1" s="356"/>
      <c r="C1" s="342" t="s">
        <v>124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A2" s="355"/>
      <c r="B2" s="356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A3" s="355"/>
      <c r="B3" s="356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A4" s="355"/>
      <c r="B4" s="356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[25]SNP!$O$9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3549920</v>
      </c>
      <c r="G11" s="339"/>
      <c r="H11" s="45"/>
      <c r="I11" s="36"/>
      <c r="J11" s="237">
        <v>8940485.4499999993</v>
      </c>
      <c r="K11" s="223">
        <v>0</v>
      </c>
      <c r="L11" s="238">
        <v>8940485.4499999993</v>
      </c>
      <c r="M11" s="224"/>
      <c r="N11" s="223">
        <v>0</v>
      </c>
      <c r="O11" s="239">
        <v>8940485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1211777.3400000001</v>
      </c>
      <c r="K12" s="241">
        <v>0</v>
      </c>
      <c r="L12" s="242">
        <v>1211777.3400000001</v>
      </c>
      <c r="M12" s="225"/>
      <c r="N12" s="50">
        <v>0</v>
      </c>
      <c r="O12" s="243">
        <v>1211777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192012.26</v>
      </c>
      <c r="K13" s="241">
        <v>0</v>
      </c>
      <c r="L13" s="242">
        <v>192012.26</v>
      </c>
      <c r="M13" s="225"/>
      <c r="N13" s="50">
        <v>0</v>
      </c>
      <c r="O13" s="243">
        <v>192012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42556.639999999999</v>
      </c>
      <c r="K14" s="241">
        <v>0</v>
      </c>
      <c r="L14" s="242">
        <v>42556.639999999999</v>
      </c>
      <c r="M14" s="225"/>
      <c r="N14" s="50">
        <v>0</v>
      </c>
      <c r="O14" s="243">
        <v>42557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0</v>
      </c>
      <c r="K15" s="241">
        <v>0</v>
      </c>
      <c r="L15" s="242">
        <v>0</v>
      </c>
      <c r="M15" s="225"/>
      <c r="N15" s="50">
        <v>0</v>
      </c>
      <c r="O15" s="243">
        <v>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804254</v>
      </c>
      <c r="G17" s="339"/>
      <c r="H17" s="55"/>
      <c r="I17" s="35"/>
      <c r="J17" s="240">
        <v>3385311.06</v>
      </c>
      <c r="K17" s="241">
        <v>0</v>
      </c>
      <c r="L17" s="242">
        <v>3385311.06</v>
      </c>
      <c r="M17" s="225"/>
      <c r="N17" s="50">
        <v>0</v>
      </c>
      <c r="O17" s="243">
        <v>3385311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-73104.290000000008</v>
      </c>
      <c r="K18" s="247">
        <v>0</v>
      </c>
      <c r="L18" s="248">
        <v>-73104.290000000008</v>
      </c>
      <c r="M18" s="225"/>
      <c r="N18" s="58">
        <v>602356</v>
      </c>
      <c r="O18" s="249">
        <v>529252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13699038.460000001</v>
      </c>
      <c r="K20" s="251">
        <v>0</v>
      </c>
      <c r="L20" s="252">
        <v>13699038</v>
      </c>
      <c r="M20" s="67"/>
      <c r="N20" s="251">
        <v>602356</v>
      </c>
      <c r="O20" s="253">
        <v>14301394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27148369.190000001</v>
      </c>
      <c r="K24" s="223">
        <v>0</v>
      </c>
      <c r="L24" s="258">
        <v>27148369.190000001</v>
      </c>
      <c r="M24" s="225"/>
      <c r="N24" s="223">
        <v>0</v>
      </c>
      <c r="O24" s="239">
        <v>27148369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6775174.1500000004</v>
      </c>
      <c r="K25" s="241">
        <v>0</v>
      </c>
      <c r="L25" s="242">
        <v>6775174.1500000004</v>
      </c>
      <c r="M25" s="225"/>
      <c r="N25" s="50">
        <v>383192</v>
      </c>
      <c r="O25" s="243">
        <v>7158366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1026838.7000000001</v>
      </c>
      <c r="K26" s="241">
        <v>0</v>
      </c>
      <c r="L26" s="242">
        <v>1026838.7000000001</v>
      </c>
      <c r="M26" s="225"/>
      <c r="N26" s="50">
        <v>0</v>
      </c>
      <c r="O26" s="243">
        <v>1026839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3288832.36</v>
      </c>
      <c r="K27" s="241">
        <v>0</v>
      </c>
      <c r="L27" s="242">
        <v>3288832.36</v>
      </c>
      <c r="M27" s="225"/>
      <c r="N27" s="50">
        <v>21160</v>
      </c>
      <c r="O27" s="243">
        <v>3309992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1949956.8399999999</v>
      </c>
      <c r="K28" s="241">
        <v>0</v>
      </c>
      <c r="L28" s="242">
        <v>1949956.8399999999</v>
      </c>
      <c r="M28" s="225"/>
      <c r="N28" s="50">
        <v>146181</v>
      </c>
      <c r="O28" s="243">
        <v>2096138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5432756.6200000001</v>
      </c>
      <c r="K29" s="241">
        <v>0</v>
      </c>
      <c r="L29" s="242">
        <v>5432756.6200000001</v>
      </c>
      <c r="M29" s="225"/>
      <c r="N29" s="50">
        <v>0</v>
      </c>
      <c r="O29" s="243">
        <v>5432757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2058448.48</v>
      </c>
      <c r="K30" s="247">
        <v>0</v>
      </c>
      <c r="L30" s="248">
        <v>2058448.48</v>
      </c>
      <c r="M30" s="225"/>
      <c r="N30" s="58">
        <v>0</v>
      </c>
      <c r="O30" s="249">
        <v>2058448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47680376.340000004</v>
      </c>
      <c r="K32" s="251">
        <v>0</v>
      </c>
      <c r="L32" s="252">
        <v>47680376</v>
      </c>
      <c r="M32" s="261"/>
      <c r="N32" s="251">
        <v>550533</v>
      </c>
      <c r="O32" s="253">
        <v>48230909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35"/>
      <c r="F34" s="14"/>
      <c r="G34" s="14"/>
      <c r="H34" s="14"/>
      <c r="I34" s="15"/>
      <c r="J34" s="263">
        <v>-33981337.880000003</v>
      </c>
      <c r="K34" s="263">
        <v>0</v>
      </c>
      <c r="L34" s="264">
        <v>-33981338</v>
      </c>
      <c r="M34" s="67"/>
      <c r="N34" s="263">
        <v>51823</v>
      </c>
      <c r="O34" s="265">
        <v>-33929515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20199477.119999997</v>
      </c>
      <c r="K37" s="223">
        <v>0</v>
      </c>
      <c r="L37" s="238">
        <v>20199477.119999997</v>
      </c>
      <c r="M37" s="49"/>
      <c r="N37" s="223">
        <v>0</v>
      </c>
      <c r="O37" s="239">
        <v>20199477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9904012.1400000006</v>
      </c>
      <c r="K38" s="241">
        <v>0</v>
      </c>
      <c r="L38" s="242">
        <v>9904012.1400000006</v>
      </c>
      <c r="M38" s="49"/>
      <c r="N38" s="80">
        <v>0</v>
      </c>
      <c r="O38" s="243">
        <v>9904012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580648.12</v>
      </c>
      <c r="K39" s="241">
        <v>0</v>
      </c>
      <c r="L39" s="242">
        <v>580648.12</v>
      </c>
      <c r="M39" s="49"/>
      <c r="N39" s="80">
        <v>0</v>
      </c>
      <c r="O39" s="243">
        <v>580648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237669.72999999998</v>
      </c>
      <c r="K40" s="241">
        <v>-366166.4</v>
      </c>
      <c r="L40" s="242">
        <v>-128496.67000000004</v>
      </c>
      <c r="M40" s="49"/>
      <c r="N40" s="80">
        <v>383201</v>
      </c>
      <c r="O40" s="243">
        <v>254704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-366166.4</v>
      </c>
      <c r="K41" s="241">
        <v>366166.4</v>
      </c>
      <c r="L41" s="242">
        <v>0</v>
      </c>
      <c r="M41" s="49"/>
      <c r="N41" s="80">
        <v>0</v>
      </c>
      <c r="O41" s="243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15581.64</v>
      </c>
      <c r="K42" s="241">
        <v>0</v>
      </c>
      <c r="L42" s="242">
        <v>15581.64</v>
      </c>
      <c r="M42" s="49"/>
      <c r="N42" s="80">
        <v>0</v>
      </c>
      <c r="O42" s="243">
        <v>15582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259">
        <v>18071.89</v>
      </c>
      <c r="K43" s="241">
        <v>0</v>
      </c>
      <c r="L43" s="242">
        <v>18071.89</v>
      </c>
      <c r="M43" s="49"/>
      <c r="N43" s="80">
        <v>0</v>
      </c>
      <c r="O43" s="243">
        <v>18072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0</v>
      </c>
      <c r="K44" s="241">
        <v>0</v>
      </c>
      <c r="L44" s="242">
        <v>0</v>
      </c>
      <c r="M44" s="49"/>
      <c r="N44" s="80">
        <v>0</v>
      </c>
      <c r="O44" s="243">
        <v>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30589294.240000002</v>
      </c>
      <c r="K47" s="263">
        <v>0</v>
      </c>
      <c r="L47" s="264">
        <v>30589294</v>
      </c>
      <c r="M47" s="59"/>
      <c r="N47" s="263">
        <v>383201</v>
      </c>
      <c r="O47" s="265">
        <v>30972495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-3392043.6400000006</v>
      </c>
      <c r="K50" s="263">
        <v>0</v>
      </c>
      <c r="L50" s="264">
        <v>-3392044</v>
      </c>
      <c r="M50" s="59"/>
      <c r="N50" s="263">
        <v>435024</v>
      </c>
      <c r="O50" s="265">
        <v>-2957020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6725847</v>
      </c>
      <c r="K52" s="223">
        <v>0</v>
      </c>
      <c r="L52" s="238">
        <v>6725847</v>
      </c>
      <c r="M52" s="49"/>
      <c r="N52" s="223">
        <v>0</v>
      </c>
      <c r="O52" s="239">
        <v>6725847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1498818.7000000002</v>
      </c>
      <c r="K53" s="241">
        <v>0</v>
      </c>
      <c r="L53" s="242">
        <v>1498818.7000000002</v>
      </c>
      <c r="M53" s="225"/>
      <c r="N53" s="50">
        <v>0</v>
      </c>
      <c r="O53" s="243">
        <v>1498819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8224665.7000000002</v>
      </c>
      <c r="K57" s="251">
        <v>0</v>
      </c>
      <c r="L57" s="253">
        <v>8224666</v>
      </c>
      <c r="M57" s="261"/>
      <c r="N57" s="251">
        <v>0</v>
      </c>
      <c r="O57" s="253">
        <v>8224666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4832622.0599999996</v>
      </c>
      <c r="K59" s="263">
        <v>0</v>
      </c>
      <c r="L59" s="265">
        <v>4832622</v>
      </c>
      <c r="M59" s="92"/>
      <c r="N59" s="263">
        <v>435024</v>
      </c>
      <c r="O59" s="265">
        <v>5267646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52931721</v>
      </c>
      <c r="M61" s="49"/>
      <c r="N61" s="96">
        <v>4723657</v>
      </c>
      <c r="O61" s="240">
        <v>57655378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>
        <v>-93034</v>
      </c>
      <c r="O62" s="246">
        <v>-93034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52931721</v>
      </c>
      <c r="M64" s="92"/>
      <c r="N64" s="90">
        <v>4630623</v>
      </c>
      <c r="O64" s="90">
        <v>57562344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57764343</v>
      </c>
      <c r="M66" s="105"/>
      <c r="N66" s="251">
        <v>5065647</v>
      </c>
      <c r="O66" s="251">
        <v>62829990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L66-[25]SNP!M121</f>
        <v>0</v>
      </c>
      <c r="M69" s="110"/>
      <c r="N69" s="111">
        <f>N66-[25]SNP!O121</f>
        <v>0</v>
      </c>
      <c r="O69" s="111">
        <f>O66-[25]SNP!P121</f>
        <v>-1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146" priority="24" operator="notEqual">
      <formula>0</formula>
    </cfRule>
    <cfRule type="cellIs" dxfId="145" priority="25" operator="equal">
      <formula>0</formula>
    </cfRule>
  </conditionalFormatting>
  <conditionalFormatting sqref="F11:G11 N62 L62 N17:N18 N11:N15 L16 F17:G17 N24:N30 N37:N45 N52:N55">
    <cfRule type="containsBlanks" dxfId="144" priority="20">
      <formula>LEN(TRIM(F11))=0</formula>
    </cfRule>
    <cfRule type="cellIs" dxfId="143" priority="21" operator="notEqual">
      <formula>0</formula>
    </cfRule>
  </conditionalFormatting>
  <conditionalFormatting sqref="N11">
    <cfRule type="cellIs" dxfId="142" priority="19" operator="notEqual">
      <formula>N20</formula>
    </cfRule>
  </conditionalFormatting>
  <conditionalFormatting sqref="O69">
    <cfRule type="cellIs" dxfId="141" priority="15" operator="notEqual">
      <formula>0</formula>
    </cfRule>
    <cfRule type="cellIs" dxfId="140" priority="16" operator="equal">
      <formula>0</formula>
    </cfRule>
  </conditionalFormatting>
  <conditionalFormatting sqref="K17:K18 K11:K15">
    <cfRule type="containsBlanks" dxfId="139" priority="13">
      <formula>LEN(TRIM(K11))=0</formula>
    </cfRule>
    <cfRule type="cellIs" dxfId="138" priority="14" operator="notEqual">
      <formula>0</formula>
    </cfRule>
  </conditionalFormatting>
  <conditionalFormatting sqref="K17:K18 K11:K15">
    <cfRule type="cellIs" dxfId="137" priority="12" operator="notEqual">
      <formula>K20</formula>
    </cfRule>
  </conditionalFormatting>
  <conditionalFormatting sqref="K16">
    <cfRule type="containsBlanks" dxfId="136" priority="10">
      <formula>LEN(TRIM(K16))=0</formula>
    </cfRule>
    <cfRule type="cellIs" dxfId="135" priority="11" operator="notEqual">
      <formula>0</formula>
    </cfRule>
  </conditionalFormatting>
  <conditionalFormatting sqref="K52 K37 K24">
    <cfRule type="containsBlanks" dxfId="134" priority="8">
      <formula>LEN(TRIM(K24))=0</formula>
    </cfRule>
    <cfRule type="cellIs" dxfId="133" priority="9" operator="notEqual">
      <formula>0</formula>
    </cfRule>
  </conditionalFormatting>
  <conditionalFormatting sqref="K52 K37 K24">
    <cfRule type="cellIs" dxfId="132" priority="7" operator="notEqual">
      <formula>K33</formula>
    </cfRule>
  </conditionalFormatting>
  <conditionalFormatting sqref="K53:K55 K25:K30 K38:K45">
    <cfRule type="containsBlanks" dxfId="131" priority="5">
      <formula>LEN(TRIM(K25))=0</formula>
    </cfRule>
    <cfRule type="cellIs" dxfId="130" priority="6" operator="notEqual">
      <formula>0</formula>
    </cfRule>
  </conditionalFormatting>
  <conditionalFormatting sqref="K53:K55 K25:K30 K38:K45">
    <cfRule type="cellIs" dxfId="129" priority="4" operator="notEqual">
      <formula>K34</formula>
    </cfRule>
  </conditionalFormatting>
  <conditionalFormatting sqref="N24">
    <cfRule type="cellIs" dxfId="128" priority="3" operator="notEqual">
      <formula>N33</formula>
    </cfRule>
  </conditionalFormatting>
  <conditionalFormatting sqref="N37">
    <cfRule type="cellIs" dxfId="127" priority="2" operator="notEqual">
      <formula>N46</formula>
    </cfRule>
  </conditionalFormatting>
  <conditionalFormatting sqref="N52">
    <cfRule type="cellIs" dxfId="126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85546875" style="11" bestFit="1" customWidth="1"/>
    <col min="11" max="11" width="15.71093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125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[26]SNP!$O$9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28399586.77</v>
      </c>
      <c r="G11" s="339"/>
      <c r="H11" s="45"/>
      <c r="I11" s="36"/>
      <c r="J11" s="237">
        <v>41522794.860000007</v>
      </c>
      <c r="K11" s="223">
        <v>0</v>
      </c>
      <c r="L11" s="238">
        <v>41522794.860000007</v>
      </c>
      <c r="M11" s="224"/>
      <c r="N11" s="223">
        <v>0</v>
      </c>
      <c r="O11" s="239">
        <v>41522795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286187.71999999997</v>
      </c>
      <c r="K12" s="241">
        <v>0</v>
      </c>
      <c r="L12" s="242">
        <v>286187.71999999997</v>
      </c>
      <c r="M12" s="225"/>
      <c r="N12" s="50">
        <v>0</v>
      </c>
      <c r="O12" s="243">
        <v>286188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1396197.96</v>
      </c>
      <c r="K13" s="241">
        <v>0</v>
      </c>
      <c r="L13" s="242">
        <v>1396197.96</v>
      </c>
      <c r="M13" s="225"/>
      <c r="N13" s="50">
        <v>0</v>
      </c>
      <c r="O13" s="243">
        <v>1396198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368615.84</v>
      </c>
      <c r="K14" s="241">
        <v>0</v>
      </c>
      <c r="L14" s="242">
        <v>368615.84</v>
      </c>
      <c r="M14" s="225"/>
      <c r="N14" s="50">
        <v>0</v>
      </c>
      <c r="O14" s="243">
        <v>368616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1740494.9699999997</v>
      </c>
      <c r="K15" s="241">
        <v>0</v>
      </c>
      <c r="L15" s="242">
        <v>1740494.9699999997</v>
      </c>
      <c r="M15" s="225"/>
      <c r="N15" s="50">
        <v>0</v>
      </c>
      <c r="O15" s="243">
        <v>1740495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0">
        <v>3051010.89</v>
      </c>
      <c r="K17" s="241">
        <v>0</v>
      </c>
      <c r="L17" s="242">
        <v>3051010.89</v>
      </c>
      <c r="M17" s="225"/>
      <c r="N17" s="50">
        <v>0</v>
      </c>
      <c r="O17" s="243">
        <v>3051011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1600706.3499999999</v>
      </c>
      <c r="K18" s="247">
        <v>207979</v>
      </c>
      <c r="L18" s="248">
        <v>1808685.3499999999</v>
      </c>
      <c r="M18" s="225"/>
      <c r="N18" s="58">
        <v>3480058</v>
      </c>
      <c r="O18" s="249">
        <v>5288743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49966008.590000011</v>
      </c>
      <c r="K20" s="251">
        <v>207979</v>
      </c>
      <c r="L20" s="252">
        <v>50173988</v>
      </c>
      <c r="M20" s="67"/>
      <c r="N20" s="251">
        <v>3480058</v>
      </c>
      <c r="O20" s="253">
        <v>53654046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132958308.37</v>
      </c>
      <c r="K24" s="223">
        <v>0</v>
      </c>
      <c r="L24" s="258">
        <v>132958308.37</v>
      </c>
      <c r="M24" s="225"/>
      <c r="N24" s="223">
        <v>0</v>
      </c>
      <c r="O24" s="239">
        <v>132958308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30354045.699999999</v>
      </c>
      <c r="K25" s="241">
        <v>0</v>
      </c>
      <c r="L25" s="242">
        <v>30354045.699999999</v>
      </c>
      <c r="M25" s="225"/>
      <c r="N25" s="50">
        <v>2994716</v>
      </c>
      <c r="O25" s="243">
        <v>33348762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5773211.8600000003</v>
      </c>
      <c r="K26" s="241">
        <v>0</v>
      </c>
      <c r="L26" s="242">
        <v>5773211.8600000003</v>
      </c>
      <c r="M26" s="225"/>
      <c r="N26" s="50">
        <v>0</v>
      </c>
      <c r="O26" s="243">
        <v>5773212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12998976.460000001</v>
      </c>
      <c r="K27" s="241">
        <v>0</v>
      </c>
      <c r="L27" s="242">
        <v>12998976.460000001</v>
      </c>
      <c r="M27" s="225"/>
      <c r="N27" s="50">
        <v>41322</v>
      </c>
      <c r="O27" s="243">
        <v>13040298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8206269.5299999993</v>
      </c>
      <c r="K28" s="241">
        <v>0</v>
      </c>
      <c r="L28" s="242">
        <v>8206269.5299999993</v>
      </c>
      <c r="M28" s="225"/>
      <c r="N28" s="50">
        <v>1918380</v>
      </c>
      <c r="O28" s="243">
        <v>10124650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11852293.819999998</v>
      </c>
      <c r="K29" s="241">
        <v>0</v>
      </c>
      <c r="L29" s="242">
        <v>11852293.819999998</v>
      </c>
      <c r="M29" s="225"/>
      <c r="N29" s="50">
        <v>27413</v>
      </c>
      <c r="O29" s="243">
        <v>11879707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10848144.789999999</v>
      </c>
      <c r="K30" s="247">
        <v>0</v>
      </c>
      <c r="L30" s="248">
        <v>10848144.789999999</v>
      </c>
      <c r="M30" s="225"/>
      <c r="N30" s="58">
        <v>0</v>
      </c>
      <c r="O30" s="249">
        <v>10848145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212991250.53</v>
      </c>
      <c r="K32" s="251">
        <v>0</v>
      </c>
      <c r="L32" s="252">
        <v>212991251</v>
      </c>
      <c r="M32" s="261"/>
      <c r="N32" s="251">
        <v>4981831</v>
      </c>
      <c r="O32" s="253">
        <v>217973082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-163025241.94</v>
      </c>
      <c r="K34" s="263">
        <v>207979</v>
      </c>
      <c r="L34" s="264">
        <v>-162817263</v>
      </c>
      <c r="M34" s="67"/>
      <c r="N34" s="263">
        <v>-1501773</v>
      </c>
      <c r="O34" s="265">
        <v>-164319036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73295189.949999988</v>
      </c>
      <c r="K37" s="223">
        <v>0</v>
      </c>
      <c r="L37" s="238">
        <v>73295189.949999988</v>
      </c>
      <c r="M37" s="49"/>
      <c r="N37" s="223">
        <v>0</v>
      </c>
      <c r="O37" s="239">
        <v>73295190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0</v>
      </c>
      <c r="K38" s="241">
        <v>50940505.350000001</v>
      </c>
      <c r="L38" s="242">
        <v>50940505.350000001</v>
      </c>
      <c r="M38" s="49"/>
      <c r="N38" s="80">
        <v>0</v>
      </c>
      <c r="O38" s="243">
        <v>50940505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65783149.169999994</v>
      </c>
      <c r="K39" s="241">
        <v>-50940505.350000001</v>
      </c>
      <c r="L39" s="242">
        <v>14842643.819999993</v>
      </c>
      <c r="M39" s="49"/>
      <c r="N39" s="80">
        <v>50425</v>
      </c>
      <c r="O39" s="243">
        <v>14893069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371143.03</v>
      </c>
      <c r="K40" s="241">
        <v>0</v>
      </c>
      <c r="L40" s="242">
        <v>371143.03</v>
      </c>
      <c r="M40" s="49"/>
      <c r="N40" s="80">
        <v>464173</v>
      </c>
      <c r="O40" s="243">
        <v>835316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-235853.5</v>
      </c>
      <c r="K41" s="241">
        <v>0</v>
      </c>
      <c r="L41" s="242">
        <v>-235853.5</v>
      </c>
      <c r="M41" s="49"/>
      <c r="N41" s="80">
        <v>8480788</v>
      </c>
      <c r="O41" s="243">
        <v>8244934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619096</v>
      </c>
      <c r="O42" s="243">
        <v>619096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259">
        <v>90650.28</v>
      </c>
      <c r="K43" s="241">
        <v>0</v>
      </c>
      <c r="L43" s="242">
        <v>90650.28</v>
      </c>
      <c r="M43" s="49"/>
      <c r="N43" s="80">
        <v>0</v>
      </c>
      <c r="O43" s="243">
        <v>90650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-1196353.3799999999</v>
      </c>
      <c r="K44" s="241">
        <v>0</v>
      </c>
      <c r="L44" s="242">
        <v>-1196353.3799999999</v>
      </c>
      <c r="M44" s="49"/>
      <c r="N44" s="80">
        <v>0</v>
      </c>
      <c r="O44" s="243">
        <v>-1196353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138107925.54999998</v>
      </c>
      <c r="K47" s="263">
        <v>0</v>
      </c>
      <c r="L47" s="264">
        <v>138107925</v>
      </c>
      <c r="M47" s="59"/>
      <c r="N47" s="263">
        <v>9614482</v>
      </c>
      <c r="O47" s="265">
        <v>147722407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-24917316.390000015</v>
      </c>
      <c r="K50" s="263">
        <v>207979</v>
      </c>
      <c r="L50" s="264">
        <v>-24709338</v>
      </c>
      <c r="M50" s="59"/>
      <c r="N50" s="263">
        <v>8112709</v>
      </c>
      <c r="O50" s="265">
        <v>-16596629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13793817</v>
      </c>
      <c r="K52" s="223">
        <v>0</v>
      </c>
      <c r="L52" s="238">
        <v>13793817</v>
      </c>
      <c r="M52" s="49"/>
      <c r="N52" s="223">
        <v>0</v>
      </c>
      <c r="O52" s="239">
        <v>13793817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13037824.329999998</v>
      </c>
      <c r="K53" s="241">
        <v>0</v>
      </c>
      <c r="L53" s="242">
        <v>13037824.329999998</v>
      </c>
      <c r="M53" s="225"/>
      <c r="N53" s="50">
        <v>0</v>
      </c>
      <c r="O53" s="243">
        <v>13037824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274628</v>
      </c>
      <c r="O54" s="243">
        <v>274628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26831641.329999998</v>
      </c>
      <c r="K57" s="251">
        <v>0</v>
      </c>
      <c r="L57" s="253">
        <v>26831641</v>
      </c>
      <c r="M57" s="261"/>
      <c r="N57" s="251">
        <v>274628</v>
      </c>
      <c r="O57" s="253">
        <v>27106269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1914324.9399999827</v>
      </c>
      <c r="K59" s="263">
        <v>207979</v>
      </c>
      <c r="L59" s="265">
        <v>2122303</v>
      </c>
      <c r="M59" s="92"/>
      <c r="N59" s="263">
        <v>8387337</v>
      </c>
      <c r="O59" s="265">
        <v>10509640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234948235</v>
      </c>
      <c r="M61" s="49"/>
      <c r="N61" s="96">
        <v>58106031</v>
      </c>
      <c r="O61" s="240">
        <v>293054266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234948235</v>
      </c>
      <c r="M64" s="92"/>
      <c r="N64" s="90">
        <v>58106031</v>
      </c>
      <c r="O64" s="90">
        <v>293054266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237070538</v>
      </c>
      <c r="M66" s="105"/>
      <c r="N66" s="251">
        <v>66493368</v>
      </c>
      <c r="O66" s="251">
        <v>303563906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L66-[26]SNP!M120</f>
        <v>0</v>
      </c>
      <c r="M69" s="110"/>
      <c r="N69" s="111">
        <f>N66-[26]SNP!O120</f>
        <v>0</v>
      </c>
      <c r="O69" s="111">
        <f>O66-[26]SNP!P120</f>
        <v>-3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125" priority="24" operator="notEqual">
      <formula>0</formula>
    </cfRule>
    <cfRule type="cellIs" dxfId="124" priority="25" operator="equal">
      <formula>0</formula>
    </cfRule>
  </conditionalFormatting>
  <conditionalFormatting sqref="F11:G11 N62 L62 N17:N18 N11:N15 L16 F17:G17 N24:N30 N37:N45 N52:N55">
    <cfRule type="containsBlanks" dxfId="123" priority="20">
      <formula>LEN(TRIM(F11))=0</formula>
    </cfRule>
    <cfRule type="cellIs" dxfId="122" priority="21" operator="notEqual">
      <formula>0</formula>
    </cfRule>
  </conditionalFormatting>
  <conditionalFormatting sqref="N11">
    <cfRule type="cellIs" dxfId="121" priority="19" operator="notEqual">
      <formula>N20</formula>
    </cfRule>
  </conditionalFormatting>
  <conditionalFormatting sqref="O69">
    <cfRule type="cellIs" dxfId="120" priority="15" operator="notEqual">
      <formula>0</formula>
    </cfRule>
    <cfRule type="cellIs" dxfId="119" priority="16" operator="equal">
      <formula>0</formula>
    </cfRule>
  </conditionalFormatting>
  <conditionalFormatting sqref="K11:K15 K17:K18">
    <cfRule type="containsBlanks" dxfId="118" priority="13">
      <formula>LEN(TRIM(K11))=0</formula>
    </cfRule>
    <cfRule type="cellIs" dxfId="117" priority="14" operator="notEqual">
      <formula>0</formula>
    </cfRule>
  </conditionalFormatting>
  <conditionalFormatting sqref="K11:K15 K17:K18">
    <cfRule type="cellIs" dxfId="116" priority="12" operator="notEqual">
      <formula>K20</formula>
    </cfRule>
  </conditionalFormatting>
  <conditionalFormatting sqref="K16">
    <cfRule type="containsBlanks" dxfId="115" priority="10">
      <formula>LEN(TRIM(K16))=0</formula>
    </cfRule>
    <cfRule type="cellIs" dxfId="114" priority="11" operator="notEqual">
      <formula>0</formula>
    </cfRule>
  </conditionalFormatting>
  <conditionalFormatting sqref="K52 K37 K24">
    <cfRule type="containsBlanks" dxfId="113" priority="8">
      <formula>LEN(TRIM(K24))=0</formula>
    </cfRule>
    <cfRule type="cellIs" dxfId="112" priority="9" operator="notEqual">
      <formula>0</formula>
    </cfRule>
  </conditionalFormatting>
  <conditionalFormatting sqref="K52 K37 K24">
    <cfRule type="cellIs" dxfId="111" priority="7" operator="notEqual">
      <formula>K33</formula>
    </cfRule>
  </conditionalFormatting>
  <conditionalFormatting sqref="K53:K55 K38:K45 K25:K30">
    <cfRule type="containsBlanks" dxfId="110" priority="5">
      <formula>LEN(TRIM(K25))=0</formula>
    </cfRule>
    <cfRule type="cellIs" dxfId="109" priority="6" operator="notEqual">
      <formula>0</formula>
    </cfRule>
  </conditionalFormatting>
  <conditionalFormatting sqref="K53:K55 K38:K45 K25:K30">
    <cfRule type="cellIs" dxfId="108" priority="4" operator="notEqual">
      <formula>K34</formula>
    </cfRule>
  </conditionalFormatting>
  <conditionalFormatting sqref="N24">
    <cfRule type="cellIs" dxfId="107" priority="3" operator="notEqual">
      <formula>N33</formula>
    </cfRule>
  </conditionalFormatting>
  <conditionalFormatting sqref="N37">
    <cfRule type="cellIs" dxfId="106" priority="2" operator="notEqual">
      <formula>N46</formula>
    </cfRule>
  </conditionalFormatting>
  <conditionalFormatting sqref="N52">
    <cfRule type="cellIs" dxfId="105" priority="1" operator="notEqual">
      <formula>N61</formula>
    </cfRule>
  </conditionalFormatting>
  <printOptions horizontalCentered="1"/>
  <pageMargins left="0" right="0" top="0.75" bottom="0.5" header="0.5" footer="0.5"/>
  <pageSetup scale="6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28515625" style="11" bestFit="1" customWidth="1"/>
    <col min="11" max="11" width="16.855468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121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[27]SNP!$O$9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9882944.8000000007</v>
      </c>
      <c r="G11" s="339"/>
      <c r="H11" s="45"/>
      <c r="I11" s="36"/>
      <c r="J11" s="237">
        <v>28507449.940000001</v>
      </c>
      <c r="K11" s="223">
        <v>0</v>
      </c>
      <c r="L11" s="238">
        <v>28507449.940000001</v>
      </c>
      <c r="M11" s="224"/>
      <c r="N11" s="223">
        <v>0</v>
      </c>
      <c r="O11" s="239">
        <v>28507450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22009599.199999999</v>
      </c>
      <c r="K12" s="241">
        <v>-18476671.02</v>
      </c>
      <c r="L12" s="242">
        <v>3532928.1799999997</v>
      </c>
      <c r="M12" s="225"/>
      <c r="N12" s="50">
        <v>0</v>
      </c>
      <c r="O12" s="243">
        <v>3532928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747855.74</v>
      </c>
      <c r="K13" s="241">
        <v>0</v>
      </c>
      <c r="L13" s="242">
        <v>747855.74</v>
      </c>
      <c r="M13" s="225"/>
      <c r="N13" s="50">
        <v>0</v>
      </c>
      <c r="O13" s="243">
        <v>747856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312536.61000000004</v>
      </c>
      <c r="K14" s="241">
        <v>0</v>
      </c>
      <c r="L14" s="242">
        <v>312536.61000000004</v>
      </c>
      <c r="M14" s="225"/>
      <c r="N14" s="50">
        <v>477261</v>
      </c>
      <c r="O14" s="243">
        <v>789798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1181194.3099999998</v>
      </c>
      <c r="K15" s="241">
        <v>0</v>
      </c>
      <c r="L15" s="242">
        <v>1181194.3099999998</v>
      </c>
      <c r="M15" s="225"/>
      <c r="N15" s="50">
        <v>0</v>
      </c>
      <c r="O15" s="243">
        <v>1181194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0">
        <v>2196209.5100000002</v>
      </c>
      <c r="K17" s="241">
        <v>0</v>
      </c>
      <c r="L17" s="242">
        <v>2196209.5100000002</v>
      </c>
      <c r="M17" s="225"/>
      <c r="N17" s="50">
        <v>0</v>
      </c>
      <c r="O17" s="243">
        <v>2196210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332062.52999999997</v>
      </c>
      <c r="K18" s="247">
        <v>0</v>
      </c>
      <c r="L18" s="248">
        <v>332062.52999999997</v>
      </c>
      <c r="M18" s="225"/>
      <c r="N18" s="58">
        <v>919177</v>
      </c>
      <c r="O18" s="249">
        <v>1251240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55286907.840000004</v>
      </c>
      <c r="K20" s="251">
        <v>-18476671</v>
      </c>
      <c r="L20" s="252">
        <v>36810238</v>
      </c>
      <c r="M20" s="67"/>
      <c r="N20" s="251">
        <v>1396438</v>
      </c>
      <c r="O20" s="253">
        <v>38206676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64403778.070000008</v>
      </c>
      <c r="K24" s="223">
        <v>0</v>
      </c>
      <c r="L24" s="258">
        <v>64403778.070000008</v>
      </c>
      <c r="M24" s="225"/>
      <c r="N24" s="223">
        <v>0</v>
      </c>
      <c r="O24" s="239">
        <v>64403778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34117053.640000001</v>
      </c>
      <c r="K25" s="241">
        <v>-18476671.02</v>
      </c>
      <c r="L25" s="242">
        <v>15640382.620000001</v>
      </c>
      <c r="M25" s="225"/>
      <c r="N25" s="50">
        <v>729694</v>
      </c>
      <c r="O25" s="243">
        <v>16370077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2266220.6</v>
      </c>
      <c r="K26" s="241">
        <v>0</v>
      </c>
      <c r="L26" s="242">
        <v>2266220.6</v>
      </c>
      <c r="M26" s="225"/>
      <c r="N26" s="50">
        <v>0</v>
      </c>
      <c r="O26" s="243">
        <v>2266221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6781217.8199999994</v>
      </c>
      <c r="K27" s="241">
        <v>0</v>
      </c>
      <c r="L27" s="242">
        <v>6781217.8199999994</v>
      </c>
      <c r="M27" s="225"/>
      <c r="N27" s="50">
        <v>0</v>
      </c>
      <c r="O27" s="243">
        <v>6781218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3939790.7199999993</v>
      </c>
      <c r="K28" s="241">
        <v>0</v>
      </c>
      <c r="L28" s="242">
        <v>3939790.7199999993</v>
      </c>
      <c r="M28" s="225"/>
      <c r="N28" s="50">
        <v>1010733</v>
      </c>
      <c r="O28" s="243">
        <v>4950524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9248885.6600000001</v>
      </c>
      <c r="K29" s="241">
        <v>0</v>
      </c>
      <c r="L29" s="242">
        <v>9248885.6600000001</v>
      </c>
      <c r="M29" s="225"/>
      <c r="N29" s="50">
        <v>0</v>
      </c>
      <c r="O29" s="243">
        <v>9248886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5660258.5700000003</v>
      </c>
      <c r="K30" s="247">
        <v>0</v>
      </c>
      <c r="L30" s="248">
        <v>5660258.5700000003</v>
      </c>
      <c r="M30" s="225"/>
      <c r="N30" s="58">
        <v>383401</v>
      </c>
      <c r="O30" s="249">
        <v>6043660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126417205.07999998</v>
      </c>
      <c r="K32" s="251">
        <v>-18476671.02</v>
      </c>
      <c r="L32" s="252">
        <v>107940536</v>
      </c>
      <c r="M32" s="261"/>
      <c r="N32" s="251">
        <v>2123828</v>
      </c>
      <c r="O32" s="253">
        <v>110064364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-71130297.23999998</v>
      </c>
      <c r="K34" s="263">
        <v>1.9999999552965164E-2</v>
      </c>
      <c r="L34" s="264">
        <v>-71130298</v>
      </c>
      <c r="M34" s="67"/>
      <c r="N34" s="263">
        <v>-727390</v>
      </c>
      <c r="O34" s="265">
        <v>-71857688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42880992.850000001</v>
      </c>
      <c r="K37" s="223">
        <v>0</v>
      </c>
      <c r="L37" s="238">
        <v>42880992.850000001</v>
      </c>
      <c r="M37" s="49"/>
      <c r="N37" s="223">
        <v>0</v>
      </c>
      <c r="O37" s="239">
        <v>42880993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22492359.809999999</v>
      </c>
      <c r="K38" s="241">
        <v>0</v>
      </c>
      <c r="L38" s="242">
        <v>22492359.809999999</v>
      </c>
      <c r="M38" s="49"/>
      <c r="N38" s="80">
        <v>0</v>
      </c>
      <c r="O38" s="243">
        <v>22492360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2106694.75</v>
      </c>
      <c r="K39" s="241">
        <v>0</v>
      </c>
      <c r="L39" s="242">
        <v>2106694.75</v>
      </c>
      <c r="M39" s="49"/>
      <c r="N39" s="80">
        <v>0</v>
      </c>
      <c r="O39" s="243">
        <v>2106695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893486.99</v>
      </c>
      <c r="K40" s="241">
        <v>0</v>
      </c>
      <c r="L40" s="242">
        <v>893486.99</v>
      </c>
      <c r="M40" s="49"/>
      <c r="N40" s="80">
        <v>2787725</v>
      </c>
      <c r="O40" s="243">
        <v>3681212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Loss on Investments</v>
      </c>
      <c r="D41" s="267"/>
      <c r="E41" s="268"/>
      <c r="F41" s="268"/>
      <c r="G41" s="35"/>
      <c r="H41" s="14"/>
      <c r="I41" s="15"/>
      <c r="J41" s="259">
        <v>-1114336.1099999999</v>
      </c>
      <c r="K41" s="241">
        <v>0</v>
      </c>
      <c r="L41" s="242">
        <v>-1114336.1099999999</v>
      </c>
      <c r="M41" s="49"/>
      <c r="N41" s="80">
        <v>0</v>
      </c>
      <c r="O41" s="243">
        <v>-1114336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0</v>
      </c>
      <c r="O42" s="243"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259">
        <v>52036.160000000003</v>
      </c>
      <c r="K43" s="241">
        <v>0</v>
      </c>
      <c r="L43" s="242">
        <v>52036.160000000003</v>
      </c>
      <c r="M43" s="49"/>
      <c r="N43" s="80">
        <v>0</v>
      </c>
      <c r="O43" s="243">
        <v>52036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-451125</v>
      </c>
      <c r="K44" s="241">
        <v>0</v>
      </c>
      <c r="L44" s="242">
        <v>-451125</v>
      </c>
      <c r="M44" s="49"/>
      <c r="N44" s="80">
        <v>0</v>
      </c>
      <c r="O44" s="243">
        <v>-451125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66860109.449999988</v>
      </c>
      <c r="K47" s="263">
        <v>0</v>
      </c>
      <c r="L47" s="264">
        <v>66860110</v>
      </c>
      <c r="M47" s="59"/>
      <c r="N47" s="263">
        <v>2787725</v>
      </c>
      <c r="O47" s="265">
        <v>69647835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-4270187.7899999917</v>
      </c>
      <c r="K50" s="263">
        <v>1.9999999552965164E-2</v>
      </c>
      <c r="L50" s="264">
        <v>-4270188</v>
      </c>
      <c r="M50" s="59"/>
      <c r="N50" s="263">
        <v>2060335</v>
      </c>
      <c r="O50" s="265">
        <v>-2209853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4023591.85</v>
      </c>
      <c r="K52" s="223">
        <v>0</v>
      </c>
      <c r="L52" s="238">
        <v>4023591.85</v>
      </c>
      <c r="M52" s="49"/>
      <c r="N52" s="223">
        <v>0</v>
      </c>
      <c r="O52" s="239">
        <v>4023592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3292678.28</v>
      </c>
      <c r="K53" s="241">
        <v>0</v>
      </c>
      <c r="L53" s="242">
        <v>3292678.28</v>
      </c>
      <c r="M53" s="225"/>
      <c r="N53" s="50">
        <v>27433</v>
      </c>
      <c r="O53" s="243">
        <v>3320111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1569552</v>
      </c>
      <c r="O54" s="243">
        <v>1569552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7316270.1299999999</v>
      </c>
      <c r="K57" s="251">
        <v>0</v>
      </c>
      <c r="L57" s="253">
        <v>7316270</v>
      </c>
      <c r="M57" s="261"/>
      <c r="N57" s="251">
        <v>1596985</v>
      </c>
      <c r="O57" s="253">
        <v>8913255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3046082.3400000082</v>
      </c>
      <c r="K59" s="263">
        <v>1.9999999552965164E-2</v>
      </c>
      <c r="L59" s="265">
        <v>3046082</v>
      </c>
      <c r="M59" s="92"/>
      <c r="N59" s="263">
        <v>3657320</v>
      </c>
      <c r="O59" s="265">
        <v>6703402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111804200</v>
      </c>
      <c r="M61" s="49"/>
      <c r="N61" s="96">
        <v>44559891</v>
      </c>
      <c r="O61" s="240">
        <v>156364091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>
        <v>-1329629</v>
      </c>
      <c r="O62" s="246">
        <v>-1329629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111804200</v>
      </c>
      <c r="M64" s="92"/>
      <c r="N64" s="90">
        <v>43230262</v>
      </c>
      <c r="O64" s="90">
        <v>155034462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114850282</v>
      </c>
      <c r="M66" s="105"/>
      <c r="N66" s="251">
        <v>46887582</v>
      </c>
      <c r="O66" s="251">
        <v>161737864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L66-[27]SNP!M120</f>
        <v>-1</v>
      </c>
      <c r="M69" s="110"/>
      <c r="N69" s="111">
        <f>N66-[27]SNP!O120</f>
        <v>0</v>
      </c>
      <c r="O69" s="111">
        <f>O66-[27]SNP!P120</f>
        <v>-5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104" priority="24" operator="notEqual">
      <formula>0</formula>
    </cfRule>
    <cfRule type="cellIs" dxfId="103" priority="25" operator="equal">
      <formula>0</formula>
    </cfRule>
  </conditionalFormatting>
  <conditionalFormatting sqref="F11:G11 N62 L62 N17:N18 N11:N15 L16 F17:G17 N24:N30 N37:N45 N52:N55">
    <cfRule type="containsBlanks" dxfId="102" priority="20">
      <formula>LEN(TRIM(F11))=0</formula>
    </cfRule>
    <cfRule type="cellIs" dxfId="101" priority="21" operator="notEqual">
      <formula>0</formula>
    </cfRule>
  </conditionalFormatting>
  <conditionalFormatting sqref="N11">
    <cfRule type="cellIs" dxfId="100" priority="19" operator="notEqual">
      <formula>N20</formula>
    </cfRule>
  </conditionalFormatting>
  <conditionalFormatting sqref="O69">
    <cfRule type="cellIs" dxfId="99" priority="15" operator="notEqual">
      <formula>0</formula>
    </cfRule>
    <cfRule type="cellIs" dxfId="98" priority="16" operator="equal">
      <formula>0</formula>
    </cfRule>
  </conditionalFormatting>
  <conditionalFormatting sqref="K11:K15 K17:K18">
    <cfRule type="containsBlanks" dxfId="97" priority="13">
      <formula>LEN(TRIM(K11))=0</formula>
    </cfRule>
    <cfRule type="cellIs" dxfId="96" priority="14" operator="notEqual">
      <formula>0</formula>
    </cfRule>
  </conditionalFormatting>
  <conditionalFormatting sqref="K11:K15 K17:K18">
    <cfRule type="cellIs" dxfId="95" priority="12" operator="notEqual">
      <formula>K20</formula>
    </cfRule>
  </conditionalFormatting>
  <conditionalFormatting sqref="K16">
    <cfRule type="containsBlanks" dxfId="94" priority="10">
      <formula>LEN(TRIM(K16))=0</formula>
    </cfRule>
    <cfRule type="cellIs" dxfId="93" priority="11" operator="notEqual">
      <formula>0</formula>
    </cfRule>
  </conditionalFormatting>
  <conditionalFormatting sqref="K52 K37 K24">
    <cfRule type="containsBlanks" dxfId="92" priority="8">
      <formula>LEN(TRIM(K24))=0</formula>
    </cfRule>
    <cfRule type="cellIs" dxfId="91" priority="9" operator="notEqual">
      <formula>0</formula>
    </cfRule>
  </conditionalFormatting>
  <conditionalFormatting sqref="K52 K37 K24">
    <cfRule type="cellIs" dxfId="90" priority="7" operator="notEqual">
      <formula>K33</formula>
    </cfRule>
  </conditionalFormatting>
  <conditionalFormatting sqref="K53:K55 K38:K45 K25:K30">
    <cfRule type="containsBlanks" dxfId="89" priority="5">
      <formula>LEN(TRIM(K25))=0</formula>
    </cfRule>
    <cfRule type="cellIs" dxfId="88" priority="6" operator="notEqual">
      <formula>0</formula>
    </cfRule>
  </conditionalFormatting>
  <conditionalFormatting sqref="K53:K55 K38:K45 K25:K30">
    <cfRule type="cellIs" dxfId="87" priority="4" operator="notEqual">
      <formula>K34</formula>
    </cfRule>
  </conditionalFormatting>
  <conditionalFormatting sqref="N24">
    <cfRule type="cellIs" dxfId="86" priority="3" operator="notEqual">
      <formula>N33</formula>
    </cfRule>
  </conditionalFormatting>
  <conditionalFormatting sqref="N37">
    <cfRule type="cellIs" dxfId="85" priority="2" operator="notEqual">
      <formula>N46</formula>
    </cfRule>
  </conditionalFormatting>
  <conditionalFormatting sqref="N52">
    <cfRule type="cellIs" dxfId="84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28515625" style="11" bestFit="1" customWidth="1"/>
    <col min="11" max="11" width="12.855468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122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[28]SNP!$O$9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12834605</v>
      </c>
      <c r="G11" s="339"/>
      <c r="H11" s="45"/>
      <c r="I11" s="36"/>
      <c r="J11" s="237">
        <v>24274483.639999997</v>
      </c>
      <c r="K11" s="223">
        <v>0</v>
      </c>
      <c r="L11" s="238">
        <v>24274483.639999997</v>
      </c>
      <c r="M11" s="224"/>
      <c r="N11" s="223">
        <v>0</v>
      </c>
      <c r="O11" s="239">
        <v>24274484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2477066.4900000002</v>
      </c>
      <c r="K12" s="241">
        <v>0</v>
      </c>
      <c r="L12" s="242">
        <v>2477066.4900000002</v>
      </c>
      <c r="M12" s="225"/>
      <c r="N12" s="50">
        <v>0</v>
      </c>
      <c r="O12" s="243">
        <v>2477066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630991.80000000005</v>
      </c>
      <c r="K13" s="241">
        <v>0</v>
      </c>
      <c r="L13" s="242">
        <v>630991.80000000005</v>
      </c>
      <c r="M13" s="225"/>
      <c r="N13" s="50">
        <v>0</v>
      </c>
      <c r="O13" s="243">
        <v>630992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1570046.37</v>
      </c>
      <c r="K14" s="241">
        <v>0</v>
      </c>
      <c r="L14" s="242">
        <v>1570046.37</v>
      </c>
      <c r="M14" s="225"/>
      <c r="N14" s="50">
        <v>0</v>
      </c>
      <c r="O14" s="243">
        <v>1570046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36202.959999999999</v>
      </c>
      <c r="K15" s="241"/>
      <c r="L15" s="242">
        <v>36202.959999999999</v>
      </c>
      <c r="M15" s="225"/>
      <c r="N15" s="50">
        <v>0</v>
      </c>
      <c r="O15" s="243">
        <v>36203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0">
        <v>2348123.7599999998</v>
      </c>
      <c r="K17" s="241"/>
      <c r="L17" s="242">
        <v>2348123.7599999998</v>
      </c>
      <c r="M17" s="225"/>
      <c r="N17" s="50">
        <v>0</v>
      </c>
      <c r="O17" s="243">
        <v>2348124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180962.25</v>
      </c>
      <c r="K18" s="247">
        <v>-29975</v>
      </c>
      <c r="L18" s="248">
        <v>150987.25</v>
      </c>
      <c r="M18" s="225"/>
      <c r="N18" s="58">
        <v>1958893</v>
      </c>
      <c r="O18" s="249">
        <v>2109880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31517877.269999996</v>
      </c>
      <c r="K20" s="251">
        <v>-29975</v>
      </c>
      <c r="L20" s="252">
        <v>31487902</v>
      </c>
      <c r="M20" s="67"/>
      <c r="N20" s="251">
        <v>1958893</v>
      </c>
      <c r="O20" s="253">
        <v>33446795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69882929.469999984</v>
      </c>
      <c r="K24" s="223">
        <v>0</v>
      </c>
      <c r="L24" s="258">
        <v>69882929.469999984</v>
      </c>
      <c r="M24" s="225"/>
      <c r="N24" s="223">
        <v>531433</v>
      </c>
      <c r="O24" s="239">
        <v>70414362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16225683.48</v>
      </c>
      <c r="K25" s="241">
        <v>0</v>
      </c>
      <c r="L25" s="242">
        <v>16225683.48</v>
      </c>
      <c r="M25" s="225"/>
      <c r="N25" s="50">
        <v>1730316</v>
      </c>
      <c r="O25" s="243">
        <v>17955999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2802964.91</v>
      </c>
      <c r="K26" s="241">
        <v>0</v>
      </c>
      <c r="L26" s="242">
        <v>2802964.91</v>
      </c>
      <c r="M26" s="225"/>
      <c r="N26" s="50">
        <v>0</v>
      </c>
      <c r="O26" s="243">
        <v>2802965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5386092.6699999999</v>
      </c>
      <c r="K27" s="241">
        <v>0</v>
      </c>
      <c r="L27" s="242">
        <v>5386092.6699999999</v>
      </c>
      <c r="M27" s="225"/>
      <c r="N27" s="50">
        <v>241883</v>
      </c>
      <c r="O27" s="243">
        <v>5627976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7042574.8499999996</v>
      </c>
      <c r="K28" s="241">
        <v>0</v>
      </c>
      <c r="L28" s="242">
        <v>7042574.8499999996</v>
      </c>
      <c r="M28" s="225"/>
      <c r="N28" s="50">
        <v>204719</v>
      </c>
      <c r="O28" s="243">
        <v>7247294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7324486.9199999999</v>
      </c>
      <c r="K29" s="241">
        <v>0</v>
      </c>
      <c r="L29" s="242">
        <v>7324486.9199999999</v>
      </c>
      <c r="M29" s="225"/>
      <c r="N29" s="50">
        <v>44103</v>
      </c>
      <c r="O29" s="243">
        <v>7368590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6350721.96</v>
      </c>
      <c r="K30" s="247">
        <v>0</v>
      </c>
      <c r="L30" s="248">
        <v>6350721.96</v>
      </c>
      <c r="M30" s="225"/>
      <c r="N30" s="58">
        <v>0</v>
      </c>
      <c r="O30" s="249">
        <v>6350722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115015454.25999998</v>
      </c>
      <c r="K32" s="251">
        <v>0</v>
      </c>
      <c r="L32" s="252">
        <v>115015454</v>
      </c>
      <c r="M32" s="261"/>
      <c r="N32" s="251">
        <v>2752454</v>
      </c>
      <c r="O32" s="253">
        <v>117767908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-83497576.98999998</v>
      </c>
      <c r="K34" s="263">
        <v>-29975</v>
      </c>
      <c r="L34" s="264">
        <v>-83527552</v>
      </c>
      <c r="M34" s="67"/>
      <c r="N34" s="263">
        <v>-793561</v>
      </c>
      <c r="O34" s="265">
        <v>-84321113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45669847.280000001</v>
      </c>
      <c r="K37" s="223">
        <v>0</v>
      </c>
      <c r="L37" s="238">
        <v>45669847.280000001</v>
      </c>
      <c r="M37" s="49"/>
      <c r="N37" s="223">
        <v>54828</v>
      </c>
      <c r="O37" s="239">
        <v>45724675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27774213.120000001</v>
      </c>
      <c r="K38" s="241"/>
      <c r="L38" s="242">
        <v>27774213.120000001</v>
      </c>
      <c r="M38" s="49"/>
      <c r="N38" s="80">
        <v>0</v>
      </c>
      <c r="O38" s="243">
        <v>27774213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414469.36</v>
      </c>
      <c r="K39" s="241">
        <v>0</v>
      </c>
      <c r="L39" s="242">
        <v>414469.36</v>
      </c>
      <c r="M39" s="49"/>
      <c r="N39" s="80">
        <v>1654744</v>
      </c>
      <c r="O39" s="243">
        <v>2069213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150447.9</v>
      </c>
      <c r="K40" s="241">
        <v>0</v>
      </c>
      <c r="L40" s="242">
        <v>150447.9</v>
      </c>
      <c r="M40" s="49"/>
      <c r="N40" s="80">
        <v>403256</v>
      </c>
      <c r="O40" s="243">
        <v>553704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-32154.629999999997</v>
      </c>
      <c r="K41" s="241">
        <v>0</v>
      </c>
      <c r="L41" s="242">
        <v>-32154.629999999997</v>
      </c>
      <c r="M41" s="49"/>
      <c r="N41" s="80">
        <v>1122176</v>
      </c>
      <c r="O41" s="243">
        <v>1090021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7450.44</v>
      </c>
      <c r="K42" s="241">
        <v>29975</v>
      </c>
      <c r="L42" s="242">
        <v>37425.440000000002</v>
      </c>
      <c r="M42" s="49"/>
      <c r="N42" s="80">
        <v>0</v>
      </c>
      <c r="O42" s="243">
        <v>37425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-207311.93</v>
      </c>
      <c r="K44" s="241">
        <v>0</v>
      </c>
      <c r="L44" s="242">
        <v>-207311.93</v>
      </c>
      <c r="M44" s="49"/>
      <c r="N44" s="80">
        <v>0</v>
      </c>
      <c r="O44" s="243">
        <v>-207312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73776961.540000007</v>
      </c>
      <c r="K47" s="263">
        <v>29975</v>
      </c>
      <c r="L47" s="264">
        <v>73806935</v>
      </c>
      <c r="M47" s="59"/>
      <c r="N47" s="263">
        <v>3235004</v>
      </c>
      <c r="O47" s="265">
        <v>77041939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-9720615.4499999732</v>
      </c>
      <c r="K50" s="263">
        <v>0</v>
      </c>
      <c r="L50" s="264">
        <v>-9720617</v>
      </c>
      <c r="M50" s="59"/>
      <c r="N50" s="263">
        <v>2441443</v>
      </c>
      <c r="O50" s="265">
        <v>-7279174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19238049</v>
      </c>
      <c r="K52" s="223">
        <v>0</v>
      </c>
      <c r="L52" s="238">
        <v>19238049</v>
      </c>
      <c r="M52" s="49"/>
      <c r="N52" s="223">
        <v>0</v>
      </c>
      <c r="O52" s="239">
        <v>19238049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3458782.5</v>
      </c>
      <c r="K53" s="241">
        <v>0</v>
      </c>
      <c r="L53" s="242">
        <v>3458782.5</v>
      </c>
      <c r="M53" s="225"/>
      <c r="N53" s="50">
        <v>0</v>
      </c>
      <c r="O53" s="243">
        <v>3458783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22696831.5</v>
      </c>
      <c r="K57" s="251">
        <v>0</v>
      </c>
      <c r="L57" s="253">
        <v>22696832</v>
      </c>
      <c r="M57" s="261"/>
      <c r="N57" s="251">
        <v>0</v>
      </c>
      <c r="O57" s="253">
        <v>22696832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12976216.050000027</v>
      </c>
      <c r="K59" s="263">
        <v>0</v>
      </c>
      <c r="L59" s="265">
        <v>12976215</v>
      </c>
      <c r="M59" s="92"/>
      <c r="N59" s="263">
        <v>2441443</v>
      </c>
      <c r="O59" s="265">
        <v>15417658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190282287</v>
      </c>
      <c r="M61" s="49"/>
      <c r="N61" s="96">
        <v>24644626</v>
      </c>
      <c r="O61" s="240">
        <v>214926913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190282287</v>
      </c>
      <c r="M64" s="92"/>
      <c r="N64" s="90">
        <v>24644626</v>
      </c>
      <c r="O64" s="90">
        <v>214926913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203258502</v>
      </c>
      <c r="M66" s="105"/>
      <c r="N66" s="251">
        <v>27086069</v>
      </c>
      <c r="O66" s="251">
        <v>230344571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L66-[28]SNP!M120</f>
        <v>-1</v>
      </c>
      <c r="M69" s="110"/>
      <c r="N69" s="111">
        <f>N66-[28]SNP!O120</f>
        <v>0</v>
      </c>
      <c r="O69" s="111">
        <f>O66-[28]SNP!P120</f>
        <v>-1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83" priority="24" operator="notEqual">
      <formula>0</formula>
    </cfRule>
    <cfRule type="cellIs" dxfId="82" priority="25" operator="equal">
      <formula>0</formula>
    </cfRule>
  </conditionalFormatting>
  <conditionalFormatting sqref="F11:G11 N62 L62 N17:N18 N11:N15 L16 F17:G17 N24:N30 N37:N45 N52:N55">
    <cfRule type="containsBlanks" dxfId="81" priority="20">
      <formula>LEN(TRIM(F11))=0</formula>
    </cfRule>
    <cfRule type="cellIs" dxfId="80" priority="21" operator="notEqual">
      <formula>0</formula>
    </cfRule>
  </conditionalFormatting>
  <conditionalFormatting sqref="N11">
    <cfRule type="cellIs" dxfId="79" priority="19" operator="notEqual">
      <formula>N20</formula>
    </cfRule>
  </conditionalFormatting>
  <conditionalFormatting sqref="O69">
    <cfRule type="cellIs" dxfId="78" priority="15" operator="notEqual">
      <formula>0</formula>
    </cfRule>
    <cfRule type="cellIs" dxfId="77" priority="16" operator="equal">
      <formula>0</formula>
    </cfRule>
  </conditionalFormatting>
  <conditionalFormatting sqref="K11:K15 K17:K18">
    <cfRule type="containsBlanks" dxfId="76" priority="13">
      <formula>LEN(TRIM(K11))=0</formula>
    </cfRule>
    <cfRule type="cellIs" dxfId="75" priority="14" operator="notEqual">
      <formula>0</formula>
    </cfRule>
  </conditionalFormatting>
  <conditionalFormatting sqref="K11:K15 K17:K18">
    <cfRule type="cellIs" dxfId="74" priority="12" operator="notEqual">
      <formula>K20</formula>
    </cfRule>
  </conditionalFormatting>
  <conditionalFormatting sqref="K16">
    <cfRule type="containsBlanks" dxfId="73" priority="10">
      <formula>LEN(TRIM(K16))=0</formula>
    </cfRule>
    <cfRule type="cellIs" dxfId="72" priority="11" operator="notEqual">
      <formula>0</formula>
    </cfRule>
  </conditionalFormatting>
  <conditionalFormatting sqref="K52 K37 K24">
    <cfRule type="containsBlanks" dxfId="71" priority="8">
      <formula>LEN(TRIM(K24))=0</formula>
    </cfRule>
    <cfRule type="cellIs" dxfId="70" priority="9" operator="notEqual">
      <formula>0</formula>
    </cfRule>
  </conditionalFormatting>
  <conditionalFormatting sqref="K52 K37 K24">
    <cfRule type="cellIs" dxfId="69" priority="7" operator="notEqual">
      <formula>K33</formula>
    </cfRule>
  </conditionalFormatting>
  <conditionalFormatting sqref="K53:K55 K38:K45 K25:K30">
    <cfRule type="containsBlanks" dxfId="68" priority="5">
      <formula>LEN(TRIM(K25))=0</formula>
    </cfRule>
    <cfRule type="cellIs" dxfId="67" priority="6" operator="notEqual">
      <formula>0</formula>
    </cfRule>
  </conditionalFormatting>
  <conditionalFormatting sqref="K53:K55 K38:K45 K25:K30">
    <cfRule type="cellIs" dxfId="66" priority="4" operator="notEqual">
      <formula>K34</formula>
    </cfRule>
  </conditionalFormatting>
  <conditionalFormatting sqref="N24">
    <cfRule type="cellIs" dxfId="65" priority="3" operator="notEqual">
      <formula>N33</formula>
    </cfRule>
  </conditionalFormatting>
  <conditionalFormatting sqref="N37">
    <cfRule type="cellIs" dxfId="64" priority="2" operator="notEqual">
      <formula>N46</formula>
    </cfRule>
  </conditionalFormatting>
  <conditionalFormatting sqref="N52">
    <cfRule type="cellIs" dxfId="63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.85546875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342" t="s">
        <v>123</v>
      </c>
      <c r="D1" s="342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42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44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45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[29]SNP!$O$9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2946917.37</v>
      </c>
      <c r="G11" s="339"/>
      <c r="H11" s="45"/>
      <c r="I11" s="36"/>
      <c r="J11" s="237">
        <v>2468835.12</v>
      </c>
      <c r="K11" s="223">
        <v>0</v>
      </c>
      <c r="L11" s="238">
        <v>2468835.12</v>
      </c>
      <c r="M11" s="224"/>
      <c r="N11" s="223">
        <v>0</v>
      </c>
      <c r="O11" s="239">
        <v>2468835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331581.75</v>
      </c>
      <c r="K12" s="241"/>
      <c r="L12" s="242">
        <v>331581.75</v>
      </c>
      <c r="M12" s="225"/>
      <c r="N12" s="50">
        <v>0</v>
      </c>
      <c r="O12" s="243">
        <v>331582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100000</v>
      </c>
      <c r="K13" s="241">
        <v>0</v>
      </c>
      <c r="L13" s="242">
        <v>100000</v>
      </c>
      <c r="M13" s="225"/>
      <c r="N13" s="50">
        <v>0</v>
      </c>
      <c r="O13" s="243">
        <v>100000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0</v>
      </c>
      <c r="K14" s="241">
        <v>0</v>
      </c>
      <c r="L14" s="242">
        <v>0</v>
      </c>
      <c r="M14" s="225"/>
      <c r="N14" s="50">
        <v>0</v>
      </c>
      <c r="O14" s="243">
        <v>0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394484.62</v>
      </c>
      <c r="K15" s="241"/>
      <c r="L15" s="242">
        <v>394484.62</v>
      </c>
      <c r="M15" s="225"/>
      <c r="N15" s="50">
        <v>0</v>
      </c>
      <c r="O15" s="243">
        <v>394485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0">
        <v>1603011.88</v>
      </c>
      <c r="K17" s="241">
        <v>0</v>
      </c>
      <c r="L17" s="242">
        <v>1603011.88</v>
      </c>
      <c r="M17" s="225"/>
      <c r="N17" s="50">
        <v>0</v>
      </c>
      <c r="O17" s="243">
        <v>1603012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142931.72</v>
      </c>
      <c r="K18" s="247">
        <v>0</v>
      </c>
      <c r="L18" s="248">
        <v>142931.72</v>
      </c>
      <c r="M18" s="225"/>
      <c r="N18" s="58">
        <v>321202</v>
      </c>
      <c r="O18" s="249">
        <v>464134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5040845.09</v>
      </c>
      <c r="K20" s="251">
        <v>0</v>
      </c>
      <c r="L20" s="252">
        <v>5040846</v>
      </c>
      <c r="M20" s="67"/>
      <c r="N20" s="251">
        <v>321202</v>
      </c>
      <c r="O20" s="253">
        <v>5362048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19525840.710000001</v>
      </c>
      <c r="K24" s="223">
        <v>0</v>
      </c>
      <c r="L24" s="258">
        <v>19525840.710000001</v>
      </c>
      <c r="M24" s="225"/>
      <c r="N24" s="223">
        <v>0</v>
      </c>
      <c r="O24" s="239">
        <v>19525841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2957567.59</v>
      </c>
      <c r="K25" s="241">
        <v>0</v>
      </c>
      <c r="L25" s="242">
        <v>2957567.59</v>
      </c>
      <c r="M25" s="225"/>
      <c r="N25" s="50">
        <v>472681</v>
      </c>
      <c r="O25" s="243">
        <v>3430249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1368594.4000000001</v>
      </c>
      <c r="K26" s="241">
        <v>0</v>
      </c>
      <c r="L26" s="242">
        <v>1368594.4000000001</v>
      </c>
      <c r="M26" s="225"/>
      <c r="N26" s="50">
        <v>0</v>
      </c>
      <c r="O26" s="243">
        <v>1368594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1883757.8599999999</v>
      </c>
      <c r="K27" s="241">
        <v>0</v>
      </c>
      <c r="L27" s="242">
        <v>1883757.8599999999</v>
      </c>
      <c r="M27" s="225"/>
      <c r="N27" s="50">
        <v>0</v>
      </c>
      <c r="O27" s="243">
        <v>1883758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2723247.0500000003</v>
      </c>
      <c r="K28" s="241">
        <v>0</v>
      </c>
      <c r="L28" s="242">
        <v>2723247.0500000003</v>
      </c>
      <c r="M28" s="225"/>
      <c r="N28" s="50">
        <v>447098</v>
      </c>
      <c r="O28" s="243">
        <v>3170345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1948586.88</v>
      </c>
      <c r="K29" s="241"/>
      <c r="L29" s="242">
        <v>1948586.88</v>
      </c>
      <c r="M29" s="225"/>
      <c r="N29" s="50">
        <v>348314</v>
      </c>
      <c r="O29" s="243">
        <v>2296901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2368621.2999999998</v>
      </c>
      <c r="K30" s="247"/>
      <c r="L30" s="248">
        <v>2368621.2999999998</v>
      </c>
      <c r="M30" s="225"/>
      <c r="N30" s="58">
        <v>43746</v>
      </c>
      <c r="O30" s="249">
        <v>2412367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32776215.789999999</v>
      </c>
      <c r="K32" s="251">
        <v>0</v>
      </c>
      <c r="L32" s="252">
        <v>32776216</v>
      </c>
      <c r="M32" s="261"/>
      <c r="N32" s="251">
        <v>1311839</v>
      </c>
      <c r="O32" s="253">
        <v>34088055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-27735370.699999999</v>
      </c>
      <c r="K34" s="263">
        <v>0</v>
      </c>
      <c r="L34" s="264">
        <v>-27735370</v>
      </c>
      <c r="M34" s="67"/>
      <c r="N34" s="263">
        <v>-990637</v>
      </c>
      <c r="O34" s="265">
        <v>-28726007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16566132.949999999</v>
      </c>
      <c r="K37" s="223">
        <v>0</v>
      </c>
      <c r="L37" s="238">
        <v>16566132.949999999</v>
      </c>
      <c r="M37" s="49"/>
      <c r="N37" s="223">
        <v>0</v>
      </c>
      <c r="O37" s="239">
        <v>16566133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5576377.04</v>
      </c>
      <c r="K38" s="241">
        <v>0</v>
      </c>
      <c r="L38" s="242">
        <v>5576377.04</v>
      </c>
      <c r="M38" s="49"/>
      <c r="N38" s="80">
        <v>0</v>
      </c>
      <c r="O38" s="243">
        <v>5576377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2664211.6100000003</v>
      </c>
      <c r="K39" s="241"/>
      <c r="L39" s="242">
        <v>2664211.6100000003</v>
      </c>
      <c r="M39" s="49"/>
      <c r="N39" s="80">
        <v>879975</v>
      </c>
      <c r="O39" s="243">
        <v>3544187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59508.959999999999</v>
      </c>
      <c r="K40" s="241">
        <v>0</v>
      </c>
      <c r="L40" s="242">
        <v>59508.959999999999</v>
      </c>
      <c r="M40" s="49"/>
      <c r="N40" s="80">
        <v>477125</v>
      </c>
      <c r="O40" s="243">
        <v>536634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0</v>
      </c>
      <c r="O41" s="243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141</v>
      </c>
      <c r="O42" s="243">
        <v>141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259">
        <v>1750</v>
      </c>
      <c r="K43" s="241">
        <v>0</v>
      </c>
      <c r="L43" s="242">
        <v>1750</v>
      </c>
      <c r="M43" s="49"/>
      <c r="N43" s="80">
        <v>0</v>
      </c>
      <c r="O43" s="243">
        <v>1750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0</v>
      </c>
      <c r="K44" s="241">
        <v>0</v>
      </c>
      <c r="L44" s="242">
        <v>0</v>
      </c>
      <c r="M44" s="49"/>
      <c r="N44" s="80">
        <v>0</v>
      </c>
      <c r="O44" s="243">
        <v>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24867980.559999999</v>
      </c>
      <c r="K47" s="263">
        <v>0</v>
      </c>
      <c r="L47" s="264">
        <v>24867981</v>
      </c>
      <c r="M47" s="59"/>
      <c r="N47" s="263">
        <v>1357241</v>
      </c>
      <c r="O47" s="265">
        <v>26225222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-2867390.1400000006</v>
      </c>
      <c r="K50" s="263">
        <v>0</v>
      </c>
      <c r="L50" s="264">
        <v>-2867389</v>
      </c>
      <c r="M50" s="59"/>
      <c r="N50" s="263">
        <v>366604</v>
      </c>
      <c r="O50" s="265">
        <v>-2500785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920769</v>
      </c>
      <c r="K52" s="223">
        <v>0</v>
      </c>
      <c r="L52" s="238">
        <v>920769</v>
      </c>
      <c r="M52" s="49"/>
      <c r="N52" s="223">
        <v>0</v>
      </c>
      <c r="O52" s="239">
        <v>920769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340684.42</v>
      </c>
      <c r="K53" s="241">
        <v>0</v>
      </c>
      <c r="L53" s="242">
        <v>340684.42</v>
      </c>
      <c r="M53" s="225"/>
      <c r="N53" s="50">
        <v>0</v>
      </c>
      <c r="O53" s="243">
        <v>340684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1261453.42</v>
      </c>
      <c r="K57" s="251">
        <v>0</v>
      </c>
      <c r="L57" s="253">
        <v>1261453</v>
      </c>
      <c r="M57" s="261"/>
      <c r="N57" s="251">
        <v>0</v>
      </c>
      <c r="O57" s="253">
        <v>1261453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3">
        <v>-1605936.7200000007</v>
      </c>
      <c r="K59" s="263">
        <v>0</v>
      </c>
      <c r="L59" s="265">
        <v>-1605936</v>
      </c>
      <c r="M59" s="92"/>
      <c r="N59" s="263">
        <v>366604</v>
      </c>
      <c r="O59" s="265">
        <v>-1239332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57063934</v>
      </c>
      <c r="M61" s="49"/>
      <c r="N61" s="96">
        <v>12063405</v>
      </c>
      <c r="O61" s="240">
        <v>69127339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57063934</v>
      </c>
      <c r="M64" s="92"/>
      <c r="N64" s="90">
        <v>12063405</v>
      </c>
      <c r="O64" s="90">
        <v>69127339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55457998</v>
      </c>
      <c r="M66" s="105"/>
      <c r="N66" s="251">
        <v>12430009</v>
      </c>
      <c r="O66" s="251">
        <v>67888007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L66-[29]SNP!M120</f>
        <v>-1</v>
      </c>
      <c r="M69" s="110"/>
      <c r="N69" s="111">
        <f>N66-[29]SNP!O120</f>
        <v>0</v>
      </c>
      <c r="O69" s="111">
        <f>O66-[29]SNP!P120</f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62" priority="24" operator="notEqual">
      <formula>0</formula>
    </cfRule>
    <cfRule type="cellIs" dxfId="61" priority="25" operator="equal">
      <formula>0</formula>
    </cfRule>
  </conditionalFormatting>
  <conditionalFormatting sqref="F11:G11 N62 L62 N17:N18 N11:N15 L16 F17:G17 N24:N30 N37:N45 N52:N55">
    <cfRule type="containsBlanks" dxfId="60" priority="20">
      <formula>LEN(TRIM(F11))=0</formula>
    </cfRule>
    <cfRule type="cellIs" dxfId="59" priority="21" operator="notEqual">
      <formula>0</formula>
    </cfRule>
  </conditionalFormatting>
  <conditionalFormatting sqref="N11">
    <cfRule type="cellIs" dxfId="58" priority="19" operator="notEqual">
      <formula>N20</formula>
    </cfRule>
  </conditionalFormatting>
  <conditionalFormatting sqref="O69">
    <cfRule type="cellIs" dxfId="57" priority="15" operator="notEqual">
      <formula>0</formula>
    </cfRule>
    <cfRule type="cellIs" dxfId="56" priority="16" operator="equal">
      <formula>0</formula>
    </cfRule>
  </conditionalFormatting>
  <conditionalFormatting sqref="K11:K15 K17:K18">
    <cfRule type="containsBlanks" dxfId="55" priority="13">
      <formula>LEN(TRIM(K11))=0</formula>
    </cfRule>
    <cfRule type="cellIs" dxfId="54" priority="14" operator="notEqual">
      <formula>0</formula>
    </cfRule>
  </conditionalFormatting>
  <conditionalFormatting sqref="K11:K15 K17:K18">
    <cfRule type="cellIs" dxfId="53" priority="12" operator="notEqual">
      <formula>K20</formula>
    </cfRule>
  </conditionalFormatting>
  <conditionalFormatting sqref="K16">
    <cfRule type="containsBlanks" dxfId="52" priority="10">
      <formula>LEN(TRIM(K16))=0</formula>
    </cfRule>
    <cfRule type="cellIs" dxfId="51" priority="11" operator="notEqual">
      <formula>0</formula>
    </cfRule>
  </conditionalFormatting>
  <conditionalFormatting sqref="K52 K37 K24">
    <cfRule type="containsBlanks" dxfId="50" priority="8">
      <formula>LEN(TRIM(K24))=0</formula>
    </cfRule>
    <cfRule type="cellIs" dxfId="49" priority="9" operator="notEqual">
      <formula>0</formula>
    </cfRule>
  </conditionalFormatting>
  <conditionalFormatting sqref="K52 K37 K24">
    <cfRule type="cellIs" dxfId="48" priority="7" operator="notEqual">
      <formula>K33</formula>
    </cfRule>
  </conditionalFormatting>
  <conditionalFormatting sqref="K53:K55 K38:K45 K25:K30">
    <cfRule type="containsBlanks" dxfId="47" priority="5">
      <formula>LEN(TRIM(K25))=0</formula>
    </cfRule>
    <cfRule type="cellIs" dxfId="46" priority="6" operator="notEqual">
      <formula>0</formula>
    </cfRule>
  </conditionalFormatting>
  <conditionalFormatting sqref="K53:K55 K38:K45 K25:K30">
    <cfRule type="cellIs" dxfId="45" priority="4" operator="notEqual">
      <formula>K34</formula>
    </cfRule>
  </conditionalFormatting>
  <conditionalFormatting sqref="N24">
    <cfRule type="cellIs" dxfId="44" priority="3" operator="notEqual">
      <formula>N33</formula>
    </cfRule>
  </conditionalFormatting>
  <conditionalFormatting sqref="N37">
    <cfRule type="cellIs" dxfId="43" priority="2" operator="notEqual">
      <formula>N46</formula>
    </cfRule>
  </conditionalFormatting>
  <conditionalFormatting sqref="N52">
    <cfRule type="cellIs" dxfId="42" priority="1" operator="notEqual">
      <formula>N61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workbookViewId="0">
      <selection activeCell="C1" sqref="C1"/>
    </sheetView>
  </sheetViews>
  <sheetFormatPr defaultColWidth="11.28515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28515625" style="6" customWidth="1"/>
    <col min="5" max="5" width="14.5703125" style="6" customWidth="1"/>
    <col min="6" max="6" width="14" style="6" customWidth="1"/>
    <col min="7" max="7" width="9.42578125" style="6" customWidth="1"/>
    <col min="8" max="8" width="9.28515625" style="6" hidden="1" customWidth="1"/>
    <col min="9" max="9" width="9.28515625" style="11" hidden="1" customWidth="1"/>
    <col min="10" max="10" width="17.28515625" style="11" bestFit="1" customWidth="1"/>
    <col min="11" max="11" width="12" style="11" bestFit="1" customWidth="1"/>
    <col min="12" max="12" width="17.7109375" style="6" customWidth="1"/>
    <col min="13" max="13" width="0.7109375" style="11" customWidth="1"/>
    <col min="14" max="14" width="16" style="6" customWidth="1"/>
    <col min="15" max="15" width="18.140625" style="6" customWidth="1"/>
    <col min="16" max="16" width="11.28515625" style="6" customWidth="1"/>
    <col min="17" max="16384" width="11.28515625" style="6"/>
  </cols>
  <sheetData>
    <row r="1" spans="1:16">
      <c r="B1" s="2"/>
      <c r="C1" s="342" t="s">
        <v>127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[30]SNP!$O$9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12077692</v>
      </c>
      <c r="G11" s="339"/>
      <c r="H11" s="45"/>
      <c r="I11" s="36"/>
      <c r="J11" s="237">
        <v>16205298.370000001</v>
      </c>
      <c r="K11" s="223">
        <v>-44277.75</v>
      </c>
      <c r="L11" s="238">
        <v>16161020.620000001</v>
      </c>
      <c r="M11" s="224"/>
      <c r="N11" s="223">
        <v>0</v>
      </c>
      <c r="O11" s="239">
        <v>16161021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8934893.6999999993</v>
      </c>
      <c r="K12" s="241">
        <v>0</v>
      </c>
      <c r="L12" s="242">
        <v>8934893.6999999993</v>
      </c>
      <c r="M12" s="225"/>
      <c r="N12" s="50">
        <v>0</v>
      </c>
      <c r="O12" s="243">
        <v>8934894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6225060.71</v>
      </c>
      <c r="K13" s="241">
        <v>0</v>
      </c>
      <c r="L13" s="242">
        <v>6225060.71</v>
      </c>
      <c r="M13" s="225"/>
      <c r="N13" s="50">
        <v>0</v>
      </c>
      <c r="O13" s="243">
        <v>6225061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830378.94000000006</v>
      </c>
      <c r="K14" s="241">
        <v>0</v>
      </c>
      <c r="L14" s="242">
        <v>830378.94000000006</v>
      </c>
      <c r="M14" s="225"/>
      <c r="N14" s="50">
        <v>0</v>
      </c>
      <c r="O14" s="243">
        <v>830379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5018.08</v>
      </c>
      <c r="K15" s="241">
        <v>-5018.08</v>
      </c>
      <c r="L15" s="242">
        <v>0</v>
      </c>
      <c r="M15" s="225"/>
      <c r="N15" s="50">
        <v>0</v>
      </c>
      <c r="O15" s="243">
        <v>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0">
        <v>4761654.88</v>
      </c>
      <c r="K17" s="241">
        <v>44277.75</v>
      </c>
      <c r="L17" s="242">
        <v>4805932.63</v>
      </c>
      <c r="M17" s="225"/>
      <c r="N17" s="50">
        <v>0</v>
      </c>
      <c r="O17" s="243">
        <v>4805933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407054.55000000005</v>
      </c>
      <c r="K18" s="247">
        <v>5018.08</v>
      </c>
      <c r="L18" s="248">
        <v>412072.63000000006</v>
      </c>
      <c r="M18" s="225"/>
      <c r="N18" s="58">
        <v>6674848</v>
      </c>
      <c r="O18" s="249">
        <v>7086921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37369359.229999997</v>
      </c>
      <c r="K20" s="251">
        <v>0</v>
      </c>
      <c r="L20" s="252">
        <v>37369361</v>
      </c>
      <c r="M20" s="67"/>
      <c r="N20" s="251">
        <v>6674848</v>
      </c>
      <c r="O20" s="253">
        <v>44044209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57135824.169999994</v>
      </c>
      <c r="K24" s="223">
        <v>0</v>
      </c>
      <c r="L24" s="258">
        <v>57135824.169999994</v>
      </c>
      <c r="M24" s="225"/>
      <c r="N24" s="223">
        <v>526250</v>
      </c>
      <c r="O24" s="239">
        <v>57662074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13203625.710000001</v>
      </c>
      <c r="K25" s="241">
        <v>0</v>
      </c>
      <c r="L25" s="242">
        <v>13203625.710000001</v>
      </c>
      <c r="M25" s="225"/>
      <c r="N25" s="50">
        <v>616329</v>
      </c>
      <c r="O25" s="243">
        <v>13819955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2159025.6899999995</v>
      </c>
      <c r="K26" s="241">
        <v>0</v>
      </c>
      <c r="L26" s="242">
        <v>2159025.6899999995</v>
      </c>
      <c r="M26" s="225"/>
      <c r="N26" s="50">
        <v>2232</v>
      </c>
      <c r="O26" s="243">
        <v>2161258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10872014.610000001</v>
      </c>
      <c r="K27" s="241">
        <v>0</v>
      </c>
      <c r="L27" s="242">
        <v>10872014.610000001</v>
      </c>
      <c r="M27" s="225"/>
      <c r="N27" s="50">
        <v>300864</v>
      </c>
      <c r="O27" s="243">
        <v>11172879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8343460.6600000001</v>
      </c>
      <c r="K28" s="241">
        <v>0</v>
      </c>
      <c r="L28" s="242">
        <v>8343460.6600000001</v>
      </c>
      <c r="M28" s="225"/>
      <c r="N28" s="50">
        <v>3119216</v>
      </c>
      <c r="O28" s="243">
        <v>11462677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5021844.6800000006</v>
      </c>
      <c r="K29" s="241">
        <v>-122</v>
      </c>
      <c r="L29" s="242">
        <v>5021722.6800000006</v>
      </c>
      <c r="M29" s="225"/>
      <c r="N29" s="50">
        <v>64917</v>
      </c>
      <c r="O29" s="243">
        <v>5086640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5013251.54</v>
      </c>
      <c r="K30" s="247">
        <v>0</v>
      </c>
      <c r="L30" s="248">
        <v>5013251.54</v>
      </c>
      <c r="M30" s="225"/>
      <c r="N30" s="58">
        <v>251179</v>
      </c>
      <c r="O30" s="249">
        <v>5264431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101749047.06</v>
      </c>
      <c r="K32" s="251">
        <v>-122</v>
      </c>
      <c r="L32" s="252">
        <v>101748927</v>
      </c>
      <c r="M32" s="261"/>
      <c r="N32" s="251">
        <v>4880987</v>
      </c>
      <c r="O32" s="253">
        <v>106629914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35"/>
      <c r="F34" s="14"/>
      <c r="G34" s="14"/>
      <c r="H34" s="14"/>
      <c r="I34" s="15"/>
      <c r="J34" s="263">
        <v>-64379687.830000006</v>
      </c>
      <c r="K34" s="263">
        <v>122</v>
      </c>
      <c r="L34" s="264">
        <v>-64379566</v>
      </c>
      <c r="M34" s="67"/>
      <c r="N34" s="263">
        <v>1793861</v>
      </c>
      <c r="O34" s="265">
        <v>-62585705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34462498.299999997</v>
      </c>
      <c r="K37" s="223">
        <v>0</v>
      </c>
      <c r="L37" s="238">
        <v>34462498.299999997</v>
      </c>
      <c r="M37" s="49"/>
      <c r="N37" s="223">
        <v>0</v>
      </c>
      <c r="O37" s="239">
        <v>34462498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23576533.949999999</v>
      </c>
      <c r="K38" s="241">
        <v>0</v>
      </c>
      <c r="L38" s="242">
        <v>23576533.949999999</v>
      </c>
      <c r="M38" s="49"/>
      <c r="N38" s="80">
        <v>0</v>
      </c>
      <c r="O38" s="243">
        <v>23576534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284896.83999999997</v>
      </c>
      <c r="K39" s="241">
        <v>0</v>
      </c>
      <c r="L39" s="242">
        <v>284896.83999999997</v>
      </c>
      <c r="M39" s="49"/>
      <c r="N39" s="80">
        <v>0</v>
      </c>
      <c r="O39" s="243">
        <v>284897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4702.2099999999991</v>
      </c>
      <c r="K40" s="241">
        <v>0</v>
      </c>
      <c r="L40" s="242">
        <v>4702.2099999999991</v>
      </c>
      <c r="M40" s="49"/>
      <c r="N40" s="80">
        <v>1391116</v>
      </c>
      <c r="O40" s="243">
        <v>1395818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v>0</v>
      </c>
      <c r="M41" s="49"/>
      <c r="N41" s="80">
        <v>0</v>
      </c>
      <c r="O41" s="243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v>0</v>
      </c>
      <c r="M42" s="49"/>
      <c r="N42" s="80">
        <v>0</v>
      </c>
      <c r="O42" s="243"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v>0</v>
      </c>
      <c r="M43" s="49"/>
      <c r="N43" s="80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-575112.87</v>
      </c>
      <c r="K44" s="241">
        <v>0</v>
      </c>
      <c r="L44" s="242">
        <v>-575112.87</v>
      </c>
      <c r="M44" s="49"/>
      <c r="N44" s="80">
        <v>-160836</v>
      </c>
      <c r="O44" s="243">
        <v>-735949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57753518.430000007</v>
      </c>
      <c r="K47" s="263">
        <v>0</v>
      </c>
      <c r="L47" s="264">
        <v>57753518</v>
      </c>
      <c r="M47" s="59"/>
      <c r="N47" s="263">
        <v>1230280</v>
      </c>
      <c r="O47" s="265">
        <v>58983798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-6626169.3999999985</v>
      </c>
      <c r="K50" s="263">
        <v>122</v>
      </c>
      <c r="L50" s="264">
        <v>-6626048</v>
      </c>
      <c r="M50" s="59"/>
      <c r="N50" s="263">
        <v>3024141</v>
      </c>
      <c r="O50" s="265">
        <v>-3601907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2646366</v>
      </c>
      <c r="K52" s="223">
        <v>0</v>
      </c>
      <c r="L52" s="238">
        <v>2646366</v>
      </c>
      <c r="M52" s="49"/>
      <c r="N52" s="223">
        <v>0</v>
      </c>
      <c r="O52" s="239">
        <v>2646366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3274078.47</v>
      </c>
      <c r="K53" s="241">
        <v>0</v>
      </c>
      <c r="L53" s="242">
        <v>3274078.47</v>
      </c>
      <c r="M53" s="225"/>
      <c r="N53" s="50">
        <v>0</v>
      </c>
      <c r="O53" s="243">
        <v>3274078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5920444.4700000007</v>
      </c>
      <c r="K57" s="251">
        <v>0</v>
      </c>
      <c r="L57" s="253">
        <v>5920444</v>
      </c>
      <c r="M57" s="261"/>
      <c r="N57" s="251">
        <v>0</v>
      </c>
      <c r="O57" s="253">
        <v>5920444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3">
        <v>-705724.92999999784</v>
      </c>
      <c r="K59" s="263">
        <v>122</v>
      </c>
      <c r="L59" s="265">
        <v>-705604</v>
      </c>
      <c r="M59" s="92"/>
      <c r="N59" s="263">
        <v>3024141</v>
      </c>
      <c r="O59" s="265">
        <v>2318537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108397577</v>
      </c>
      <c r="M61" s="49"/>
      <c r="N61" s="96">
        <v>14382617</v>
      </c>
      <c r="O61" s="240">
        <v>122780194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108397577</v>
      </c>
      <c r="M64" s="92"/>
      <c r="N64" s="90">
        <v>14382617</v>
      </c>
      <c r="O64" s="90">
        <v>122780194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107691973</v>
      </c>
      <c r="M66" s="105"/>
      <c r="N66" s="251">
        <v>17406758</v>
      </c>
      <c r="O66" s="251">
        <v>125098731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L66-[30]SNP!M120</f>
        <v>0</v>
      </c>
      <c r="M69" s="110"/>
      <c r="N69" s="111">
        <f>N66-[30]SNP!O120</f>
        <v>0</v>
      </c>
      <c r="O69" s="111">
        <f>O66-[30]SNP!P120</f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41" priority="24" operator="notEqual">
      <formula>0</formula>
    </cfRule>
    <cfRule type="cellIs" dxfId="40" priority="25" operator="equal">
      <formula>0</formula>
    </cfRule>
  </conditionalFormatting>
  <conditionalFormatting sqref="F11:G11 N62 L62 N17:N18 N11:N15 L16 F17:G17 N24:N30 N37:N45 N52:N55">
    <cfRule type="containsBlanks" dxfId="39" priority="20">
      <formula>LEN(TRIM(F11))=0</formula>
    </cfRule>
    <cfRule type="cellIs" dxfId="38" priority="21" operator="notEqual">
      <formula>0</formula>
    </cfRule>
  </conditionalFormatting>
  <conditionalFormatting sqref="N11">
    <cfRule type="cellIs" dxfId="37" priority="19" operator="notEqual">
      <formula>N20</formula>
    </cfRule>
  </conditionalFormatting>
  <conditionalFormatting sqref="O69">
    <cfRule type="cellIs" dxfId="36" priority="15" operator="notEqual">
      <formula>0</formula>
    </cfRule>
    <cfRule type="cellIs" dxfId="35" priority="16" operator="equal">
      <formula>0</formula>
    </cfRule>
  </conditionalFormatting>
  <conditionalFormatting sqref="K11:K15 K17:K18">
    <cfRule type="containsBlanks" dxfId="34" priority="13">
      <formula>LEN(TRIM(K11))=0</formula>
    </cfRule>
    <cfRule type="cellIs" dxfId="33" priority="14" operator="notEqual">
      <formula>0</formula>
    </cfRule>
  </conditionalFormatting>
  <conditionalFormatting sqref="K11:K15 K17:K18">
    <cfRule type="cellIs" dxfId="32" priority="12" operator="notEqual">
      <formula>K20</formula>
    </cfRule>
  </conditionalFormatting>
  <conditionalFormatting sqref="K16">
    <cfRule type="containsBlanks" dxfId="31" priority="10">
      <formula>LEN(TRIM(K16))=0</formula>
    </cfRule>
    <cfRule type="cellIs" dxfId="30" priority="11" operator="notEqual">
      <formula>0</formula>
    </cfRule>
  </conditionalFormatting>
  <conditionalFormatting sqref="K52 K37 K24">
    <cfRule type="containsBlanks" dxfId="29" priority="8">
      <formula>LEN(TRIM(K24))=0</formula>
    </cfRule>
    <cfRule type="cellIs" dxfId="28" priority="9" operator="notEqual">
      <formula>0</formula>
    </cfRule>
  </conditionalFormatting>
  <conditionalFormatting sqref="K52 K37 K24">
    <cfRule type="cellIs" dxfId="27" priority="7" operator="notEqual">
      <formula>K33</formula>
    </cfRule>
  </conditionalFormatting>
  <conditionalFormatting sqref="K53:K55 K38:K45 K25:K30">
    <cfRule type="containsBlanks" dxfId="26" priority="5">
      <formula>LEN(TRIM(K25))=0</formula>
    </cfRule>
    <cfRule type="cellIs" dxfId="25" priority="6" operator="notEqual">
      <formula>0</formula>
    </cfRule>
  </conditionalFormatting>
  <conditionalFormatting sqref="K53:K55 K38:K45 K25:K30">
    <cfRule type="cellIs" dxfId="24" priority="4" operator="notEqual">
      <formula>K34</formula>
    </cfRule>
  </conditionalFormatting>
  <conditionalFormatting sqref="N24">
    <cfRule type="cellIs" dxfId="23" priority="3" operator="notEqual">
      <formula>N33</formula>
    </cfRule>
  </conditionalFormatting>
  <conditionalFormatting sqref="N37">
    <cfRule type="cellIs" dxfId="22" priority="2" operator="notEqual">
      <formula>N46</formula>
    </cfRule>
  </conditionalFormatting>
  <conditionalFormatting sqref="N52">
    <cfRule type="cellIs" dxfId="21" priority="1" operator="notEqual">
      <formula>N61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28515625" style="11" bestFit="1" customWidth="1"/>
    <col min="11" max="11" width="14.28515625" style="11" bestFit="1" customWidth="1"/>
    <col min="12" max="12" width="17.140625" style="6" customWidth="1"/>
    <col min="13" max="13" width="0.7109375" style="11" customWidth="1"/>
    <col min="14" max="14" width="16" style="6" customWidth="1"/>
    <col min="15" max="15" width="17.28515625" style="6" customWidth="1"/>
    <col min="16" max="16" width="11.28515625" style="6" customWidth="1"/>
    <col min="17" max="16384" width="11.140625" style="6"/>
  </cols>
  <sheetData>
    <row r="1" spans="1:16">
      <c r="B1" s="2"/>
      <c r="C1" s="342" t="s">
        <v>105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[4]SNP!$O$9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9704534.0899999999</v>
      </c>
      <c r="G11" s="339"/>
      <c r="H11" s="45"/>
      <c r="I11" s="36"/>
      <c r="J11" s="237">
        <v>20479923.449999999</v>
      </c>
      <c r="K11" s="223">
        <v>0</v>
      </c>
      <c r="L11" s="238">
        <f>+J11+K11</f>
        <v>20479923.449999999</v>
      </c>
      <c r="M11" s="224"/>
      <c r="N11" s="223">
        <v>0</v>
      </c>
      <c r="O11" s="239">
        <f>ROUND(N11,0)+ROUND(L11,0)</f>
        <v>20479923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2310057.64</v>
      </c>
      <c r="K12" s="241">
        <v>0</v>
      </c>
      <c r="L12" s="242">
        <f>+J12+K12</f>
        <v>2310057.64</v>
      </c>
      <c r="M12" s="225"/>
      <c r="N12" s="50">
        <v>0</v>
      </c>
      <c r="O12" s="243">
        <f>ROUND(N12,0)+ROUND(L12,0)</f>
        <v>2310058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4085182.6500000004</v>
      </c>
      <c r="K13" s="241">
        <v>0</v>
      </c>
      <c r="L13" s="242">
        <f t="shared" ref="L13:L17" si="0">+J13+K13</f>
        <v>4085182.6500000004</v>
      </c>
      <c r="M13" s="225"/>
      <c r="N13" s="50">
        <v>0</v>
      </c>
      <c r="O13" s="243">
        <f>ROUND(N13,0)+ROUND(L13,0)</f>
        <v>4085183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535103.83000000007</v>
      </c>
      <c r="K14" s="241">
        <v>0</v>
      </c>
      <c r="L14" s="242">
        <f t="shared" si="0"/>
        <v>535103.83000000007</v>
      </c>
      <c r="M14" s="225"/>
      <c r="N14" s="50">
        <v>0</v>
      </c>
      <c r="O14" s="243">
        <f>ROUND(N14,0)+ROUND(L14,0)</f>
        <v>535104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291983.03999999998</v>
      </c>
      <c r="K15" s="241">
        <v>0</v>
      </c>
      <c r="L15" s="242">
        <f t="shared" si="0"/>
        <v>291983.03999999998</v>
      </c>
      <c r="M15" s="225"/>
      <c r="N15" s="50">
        <v>0</v>
      </c>
      <c r="O15" s="243">
        <f>ROUND(N15,0)+ROUND(L15,0)</f>
        <v>291983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0">
        <v>1703275.1599999997</v>
      </c>
      <c r="K17" s="241">
        <v>0</v>
      </c>
      <c r="L17" s="242">
        <f t="shared" si="0"/>
        <v>1703275.1599999997</v>
      </c>
      <c r="M17" s="225"/>
      <c r="N17" s="50">
        <v>0</v>
      </c>
      <c r="O17" s="243">
        <f>ROUND(N17,0)+ROUND(L17,0)</f>
        <v>1703275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1024056.1700000002</v>
      </c>
      <c r="K18" s="247">
        <v>0</v>
      </c>
      <c r="L18" s="248">
        <f>+J18+K18</f>
        <v>1024056.1700000002</v>
      </c>
      <c r="M18" s="225"/>
      <c r="N18" s="58">
        <v>108933.54</v>
      </c>
      <c r="O18" s="249">
        <f>ROUND(N18,0)+ROUND(L18,0)</f>
        <v>1132990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f>SUM(J11:J18)</f>
        <v>30429581.940000001</v>
      </c>
      <c r="K20" s="251">
        <f t="array" ref="K20">SUM(ROUND(K11:K18,0))</f>
        <v>0</v>
      </c>
      <c r="L20" s="252">
        <f t="array" ref="L20">SUM(ROUND(L11:L18,0))</f>
        <v>30429582</v>
      </c>
      <c r="M20" s="67"/>
      <c r="N20" s="251">
        <f t="array" ref="N20">SUM(ROUND(N11:N18,0))</f>
        <v>108934</v>
      </c>
      <c r="O20" s="253">
        <f t="array" ref="O20">SUM(ROUND(O11:O18,0))</f>
        <v>30538516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65688397.329999998</v>
      </c>
      <c r="K24" s="223">
        <v>0</v>
      </c>
      <c r="L24" s="258">
        <f>+J24+K24</f>
        <v>65688397.329999998</v>
      </c>
      <c r="M24" s="225"/>
      <c r="N24" s="223">
        <v>145856</v>
      </c>
      <c r="O24" s="239">
        <f t="shared" ref="O24:O30" si="1">ROUND(N24,0)+ROUND(L24,0)</f>
        <v>65834253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17424225.919999998</v>
      </c>
      <c r="K25" s="241">
        <v>0</v>
      </c>
      <c r="L25" s="242">
        <f>+J25+K25</f>
        <v>17424225.919999998</v>
      </c>
      <c r="M25" s="225"/>
      <c r="N25" s="50">
        <v>549923.91</v>
      </c>
      <c r="O25" s="243">
        <f t="shared" si="1"/>
        <v>17974150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3417470.58</v>
      </c>
      <c r="K26" s="241">
        <v>0</v>
      </c>
      <c r="L26" s="242">
        <f t="shared" ref="L26:L30" si="2">+J26+K26</f>
        <v>3417470.58</v>
      </c>
      <c r="M26" s="225"/>
      <c r="N26" s="50">
        <v>223.49</v>
      </c>
      <c r="O26" s="243">
        <f t="shared" si="1"/>
        <v>3417694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10840012.140000001</v>
      </c>
      <c r="K27" s="241">
        <v>0</v>
      </c>
      <c r="L27" s="242">
        <f t="shared" si="2"/>
        <v>10840012.140000001</v>
      </c>
      <c r="M27" s="225"/>
      <c r="N27" s="50">
        <v>283675.73</v>
      </c>
      <c r="O27" s="243">
        <f t="shared" si="1"/>
        <v>11123688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6229375.5000000009</v>
      </c>
      <c r="K28" s="241">
        <v>-72159.25</v>
      </c>
      <c r="L28" s="242">
        <f t="shared" si="2"/>
        <v>6157216.2500000009</v>
      </c>
      <c r="M28" s="225"/>
      <c r="N28" s="50">
        <v>226407.84</v>
      </c>
      <c r="O28" s="243">
        <f t="shared" si="1"/>
        <v>6383624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5810363.2100000009</v>
      </c>
      <c r="K29" s="241">
        <v>0</v>
      </c>
      <c r="L29" s="242">
        <f t="shared" si="2"/>
        <v>5810363.2100000009</v>
      </c>
      <c r="M29" s="225"/>
      <c r="N29" s="50">
        <v>34940.1</v>
      </c>
      <c r="O29" s="243">
        <f t="shared" si="1"/>
        <v>5845303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7852286.3099999996</v>
      </c>
      <c r="K30" s="247">
        <v>0</v>
      </c>
      <c r="L30" s="248">
        <f t="shared" si="2"/>
        <v>7852286.3099999996</v>
      </c>
      <c r="M30" s="225"/>
      <c r="N30" s="58">
        <v>1960</v>
      </c>
      <c r="O30" s="249">
        <f t="shared" si="1"/>
        <v>7854246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f>SUM(J24:J30)</f>
        <v>117262130.99000001</v>
      </c>
      <c r="K32" s="251">
        <f>SUM(K24:K30)</f>
        <v>-72159.25</v>
      </c>
      <c r="L32" s="252">
        <f t="array" ref="L32">SUM(ROUND(L24:L30,0))</f>
        <v>117189971</v>
      </c>
      <c r="M32" s="261"/>
      <c r="N32" s="251">
        <f t="array" ref="N32">SUM(ROUND(N24:N30,0))</f>
        <v>1242987</v>
      </c>
      <c r="O32" s="253">
        <f t="array" ref="O32">SUM(ROUND(O24:O30,0))</f>
        <v>118432958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f>J20-J32</f>
        <v>-86832549.050000012</v>
      </c>
      <c r="K34" s="263">
        <f>K20-K32</f>
        <v>72159.25</v>
      </c>
      <c r="L34" s="264">
        <f>L20-L32</f>
        <v>-86760389</v>
      </c>
      <c r="M34" s="67"/>
      <c r="N34" s="263">
        <f>N20-N32</f>
        <v>-1134053</v>
      </c>
      <c r="O34" s="265">
        <f>O20-O32</f>
        <v>-87894442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46458290.399999999</v>
      </c>
      <c r="K37" s="223">
        <v>0</v>
      </c>
      <c r="L37" s="238">
        <f>+J37+K37</f>
        <v>46458290.399999999</v>
      </c>
      <c r="M37" s="49"/>
      <c r="N37" s="223">
        <v>0</v>
      </c>
      <c r="O37" s="239">
        <f t="shared" ref="O37:O45" si="3">ROUND(N37,0)+ROUND(L37,0)</f>
        <v>46458290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26028781.210000001</v>
      </c>
      <c r="K38" s="241">
        <v>0</v>
      </c>
      <c r="L38" s="242">
        <f>+J38+K38</f>
        <v>26028781.210000001</v>
      </c>
      <c r="M38" s="49"/>
      <c r="N38" s="80">
        <v>0</v>
      </c>
      <c r="O38" s="243">
        <f t="shared" si="3"/>
        <v>26028781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3161630.35</v>
      </c>
      <c r="K39" s="241">
        <v>0</v>
      </c>
      <c r="L39" s="242">
        <f t="shared" ref="L39:L45" si="4">+J39+K39</f>
        <v>3161630.35</v>
      </c>
      <c r="M39" s="49"/>
      <c r="N39" s="80">
        <v>335500.09000000003</v>
      </c>
      <c r="O39" s="243">
        <f t="shared" si="3"/>
        <v>3497130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170266.62</v>
      </c>
      <c r="K40" s="241">
        <v>0</v>
      </c>
      <c r="L40" s="242">
        <f t="shared" si="4"/>
        <v>170266.62</v>
      </c>
      <c r="M40" s="49"/>
      <c r="N40" s="80">
        <v>1694302.75</v>
      </c>
      <c r="O40" s="243">
        <f t="shared" si="3"/>
        <v>1864570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f t="shared" si="4"/>
        <v>0</v>
      </c>
      <c r="M41" s="49"/>
      <c r="N41" s="80">
        <v>0</v>
      </c>
      <c r="O41" s="243">
        <f t="shared" si="3"/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f t="shared" si="4"/>
        <v>0</v>
      </c>
      <c r="M42" s="49"/>
      <c r="N42" s="80">
        <v>0</v>
      </c>
      <c r="O42" s="243">
        <f t="shared" si="3"/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f>13262.07-72159.25</f>
        <v>-58897.18</v>
      </c>
      <c r="L43" s="242">
        <f t="shared" si="4"/>
        <v>-58897.18</v>
      </c>
      <c r="M43" s="49"/>
      <c r="N43" s="80">
        <v>0</v>
      </c>
      <c r="O43" s="243">
        <f t="shared" si="3"/>
        <v>-58897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-42261.83</v>
      </c>
      <c r="K44" s="241">
        <v>0</v>
      </c>
      <c r="L44" s="242">
        <f t="shared" si="4"/>
        <v>-42261.83</v>
      </c>
      <c r="M44" s="49"/>
      <c r="N44" s="80">
        <v>0</v>
      </c>
      <c r="O44" s="243">
        <f t="shared" si="3"/>
        <v>-42262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f t="shared" si="4"/>
        <v>0</v>
      </c>
      <c r="M45" s="49"/>
      <c r="N45" s="82">
        <v>0</v>
      </c>
      <c r="O45" s="249">
        <f t="shared" si="3"/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f>SUM(J37:J45)</f>
        <v>75776706.75</v>
      </c>
      <c r="K47" s="263">
        <f>SUM(K37:K45)</f>
        <v>-58897.18</v>
      </c>
      <c r="L47" s="264">
        <f t="array" ref="L47">SUM(ROUND(L37:L45,0))</f>
        <v>75717809</v>
      </c>
      <c r="M47" s="59"/>
      <c r="N47" s="263">
        <f t="array" ref="N47">SUM(ROUND(N37:N45,0))</f>
        <v>2029803</v>
      </c>
      <c r="O47" s="265">
        <f t="array" ref="O47">SUM(ROUND(O37:O45,0))</f>
        <v>77747612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f>J34+J47</f>
        <v>-11055842.300000012</v>
      </c>
      <c r="K50" s="263">
        <f>K34+K47</f>
        <v>13262.07</v>
      </c>
      <c r="L50" s="264">
        <f>L34+L47</f>
        <v>-11042580</v>
      </c>
      <c r="M50" s="59"/>
      <c r="N50" s="263">
        <f>N34+N47</f>
        <v>895750</v>
      </c>
      <c r="O50" s="265">
        <f>O34+O47</f>
        <v>-10146830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11961396</v>
      </c>
      <c r="K52" s="223">
        <v>0</v>
      </c>
      <c r="L52" s="238">
        <f>+J52+K52</f>
        <v>11961396</v>
      </c>
      <c r="M52" s="49"/>
      <c r="N52" s="223">
        <v>0</v>
      </c>
      <c r="O52" s="239">
        <f>ROUND(N52,0)+ROUND(L52,0)</f>
        <v>11961396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4371079.42</v>
      </c>
      <c r="K53" s="241">
        <v>-13262.07</v>
      </c>
      <c r="L53" s="242">
        <f>+J53+K53</f>
        <v>4357817.3499999996</v>
      </c>
      <c r="M53" s="225"/>
      <c r="N53" s="50">
        <v>0</v>
      </c>
      <c r="O53" s="243">
        <f>ROUND(N53,0)+ROUND(L53,0)</f>
        <v>4357817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f t="shared" ref="L54:L55" si="5">+J54+K54</f>
        <v>0</v>
      </c>
      <c r="M54" s="225"/>
      <c r="N54" s="89">
        <v>182266.05</v>
      </c>
      <c r="O54" s="243">
        <f>ROUND(N54,0)+ROUND(L54,0)</f>
        <v>182266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f t="shared" si="5"/>
        <v>0</v>
      </c>
      <c r="M55" s="225"/>
      <c r="N55" s="58">
        <v>0</v>
      </c>
      <c r="O55" s="249">
        <f>ROUND(N55,0)+ROUND(L55,0)</f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f>SUM(J52:J55)</f>
        <v>16332475.42</v>
      </c>
      <c r="K57" s="251">
        <f>SUM(K52:K55)</f>
        <v>-13262.07</v>
      </c>
      <c r="L57" s="253">
        <f t="array" ref="L57">SUM(ROUND(L52:L55,0))</f>
        <v>16319213</v>
      </c>
      <c r="M57" s="261"/>
      <c r="N57" s="251">
        <f t="array" ref="N57">SUM(ROUND(N52:N55,0))</f>
        <v>182266</v>
      </c>
      <c r="O57" s="253">
        <f t="array" ref="O57">SUM(ROUND(O52:O55,0))</f>
        <v>16501479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f>J50+J57</f>
        <v>5276633.119999988</v>
      </c>
      <c r="K59" s="263">
        <f>K50+K57</f>
        <v>0</v>
      </c>
      <c r="L59" s="265">
        <f>L50+L57</f>
        <v>5276633</v>
      </c>
      <c r="M59" s="92"/>
      <c r="N59" s="263">
        <f>N50+N57</f>
        <v>1078016</v>
      </c>
      <c r="O59" s="265">
        <f>O50+O57</f>
        <v>6354649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f>VLOOKUP($C$1,[4]VLOOKUPS!A44:D71,2,FALSE)</f>
        <v>123127103</v>
      </c>
      <c r="M61" s="49"/>
      <c r="N61" s="96">
        <f>VLOOKUP($C$1,[4]VLOOKUPS!A44:D71,3,FALSE)</f>
        <v>19881625</v>
      </c>
      <c r="O61" s="240">
        <f>ROUND(N61,0)+ROUND(L61,0)</f>
        <v>143008728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f>ROUND(N62,0)+ROUND(L62,0)</f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f t="array" ref="L64">SUM(ROUND(L61:L62,0))</f>
        <v>123127103</v>
      </c>
      <c r="M64" s="92"/>
      <c r="N64" s="90">
        <f t="array" ref="N64">SUM(ROUND(N61:N62,0))</f>
        <v>19881625</v>
      </c>
      <c r="O64" s="90">
        <f t="array" ref="O64">SUM(ROUND(O61:O62,0))</f>
        <v>143008728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f>L59+L64</f>
        <v>128403736</v>
      </c>
      <c r="M66" s="105"/>
      <c r="N66" s="251">
        <f>N59+N64</f>
        <v>20959641</v>
      </c>
      <c r="O66" s="251">
        <f>O59+O64</f>
        <v>149363377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L66-[4]SNP!M120</f>
        <v>0</v>
      </c>
      <c r="M69" s="110"/>
      <c r="N69" s="111">
        <f>N66-[4]SNP!O120</f>
        <v>0</v>
      </c>
      <c r="O69" s="111">
        <f>O66-[4]SNP!P120</f>
        <v>-1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583" priority="26" operator="notEqual">
      <formula>0</formula>
    </cfRule>
    <cfRule type="cellIs" dxfId="582" priority="27" operator="equal">
      <formula>0</formula>
    </cfRule>
  </conditionalFormatting>
  <conditionalFormatting sqref="F11:G11 N62 L62 N17:N18 N11:N15 L16 N24:N30 N37:N45 N52:N55">
    <cfRule type="containsBlanks" dxfId="581" priority="22">
      <formula>LEN(TRIM(F11))=0</formula>
    </cfRule>
    <cfRule type="cellIs" dxfId="580" priority="23" operator="notEqual">
      <formula>0</formula>
    </cfRule>
  </conditionalFormatting>
  <conditionalFormatting sqref="N11">
    <cfRule type="cellIs" dxfId="579" priority="21" operator="notEqual">
      <formula>N20</formula>
    </cfRule>
  </conditionalFormatting>
  <conditionalFormatting sqref="O69">
    <cfRule type="cellIs" dxfId="578" priority="17" operator="notEqual">
      <formula>0</formula>
    </cfRule>
    <cfRule type="cellIs" dxfId="577" priority="18" operator="equal">
      <formula>0</formula>
    </cfRule>
  </conditionalFormatting>
  <conditionalFormatting sqref="K11:K15 K17:K18">
    <cfRule type="containsBlanks" dxfId="576" priority="15">
      <formula>LEN(TRIM(K11))=0</formula>
    </cfRule>
    <cfRule type="cellIs" dxfId="575" priority="16" operator="notEqual">
      <formula>0</formula>
    </cfRule>
  </conditionalFormatting>
  <conditionalFormatting sqref="K11:K15 K17:K18">
    <cfRule type="cellIs" dxfId="574" priority="14" operator="notEqual">
      <formula>K20</formula>
    </cfRule>
  </conditionalFormatting>
  <conditionalFormatting sqref="K16">
    <cfRule type="containsBlanks" dxfId="573" priority="12">
      <formula>LEN(TRIM(K16))=0</formula>
    </cfRule>
    <cfRule type="cellIs" dxfId="572" priority="13" operator="notEqual">
      <formula>0</formula>
    </cfRule>
  </conditionalFormatting>
  <conditionalFormatting sqref="K52 K37 K24">
    <cfRule type="containsBlanks" dxfId="571" priority="10">
      <formula>LEN(TRIM(K24))=0</formula>
    </cfRule>
    <cfRule type="cellIs" dxfId="570" priority="11" operator="notEqual">
      <formula>0</formula>
    </cfRule>
  </conditionalFormatting>
  <conditionalFormatting sqref="K52 K37 K24">
    <cfRule type="cellIs" dxfId="569" priority="9" operator="notEqual">
      <formula>K33</formula>
    </cfRule>
  </conditionalFormatting>
  <conditionalFormatting sqref="K53:K55 K38:K45 K25:K30">
    <cfRule type="containsBlanks" dxfId="568" priority="7">
      <formula>LEN(TRIM(K25))=0</formula>
    </cfRule>
    <cfRule type="cellIs" dxfId="567" priority="8" operator="notEqual">
      <formula>0</formula>
    </cfRule>
  </conditionalFormatting>
  <conditionalFormatting sqref="K53:K55 K38:K45 K25:K30">
    <cfRule type="cellIs" dxfId="566" priority="6" operator="notEqual">
      <formula>K34</formula>
    </cfRule>
  </conditionalFormatting>
  <conditionalFormatting sqref="N24">
    <cfRule type="cellIs" dxfId="565" priority="5" operator="notEqual">
      <formula>N33</formula>
    </cfRule>
  </conditionalFormatting>
  <conditionalFormatting sqref="N37">
    <cfRule type="cellIs" dxfId="564" priority="4" operator="notEqual">
      <formula>N46</formula>
    </cfRule>
  </conditionalFormatting>
  <conditionalFormatting sqref="N52">
    <cfRule type="cellIs" dxfId="563" priority="3" operator="notEqual">
      <formula>N61</formula>
    </cfRule>
  </conditionalFormatting>
  <conditionalFormatting sqref="F17:G17">
    <cfRule type="containsBlanks" dxfId="562" priority="1">
      <formula>LEN(TRIM(F17))=0</formula>
    </cfRule>
    <cfRule type="cellIs" dxfId="561" priority="2" operator="not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customWidth="1"/>
    <col min="9" max="9" width="9.140625" style="11" customWidth="1"/>
    <col min="10" max="10" width="18" style="11" bestFit="1" customWidth="1"/>
    <col min="11" max="11" width="14.28515625" style="11" bestFit="1" customWidth="1"/>
    <col min="12" max="12" width="17.42578125" style="6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128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[31]SNP!$O$9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42605835</v>
      </c>
      <c r="G11" s="339"/>
      <c r="H11" s="45"/>
      <c r="I11" s="36"/>
      <c r="J11" s="237">
        <v>69701812.769999996</v>
      </c>
      <c r="K11" s="223">
        <v>0</v>
      </c>
      <c r="L11" s="238">
        <v>69701812.769999996</v>
      </c>
      <c r="M11" s="224"/>
      <c r="N11" s="223">
        <v>0</v>
      </c>
      <c r="O11" s="239">
        <v>69701813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497857.65</v>
      </c>
      <c r="K12" s="241">
        <v>0</v>
      </c>
      <c r="L12" s="242">
        <v>497857.65</v>
      </c>
      <c r="M12" s="225"/>
      <c r="N12" s="50">
        <v>83839</v>
      </c>
      <c r="O12" s="243">
        <v>581697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0</v>
      </c>
      <c r="K13" s="241">
        <v>0</v>
      </c>
      <c r="L13" s="242">
        <v>0</v>
      </c>
      <c r="M13" s="225"/>
      <c r="N13" s="50">
        <v>122816</v>
      </c>
      <c r="O13" s="243">
        <v>122816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0</v>
      </c>
      <c r="K14" s="241">
        <v>0</v>
      </c>
      <c r="L14" s="242">
        <v>0</v>
      </c>
      <c r="M14" s="225"/>
      <c r="N14" s="50">
        <v>4255064</v>
      </c>
      <c r="O14" s="243">
        <v>4255064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51427.7</v>
      </c>
      <c r="K15" s="241">
        <v>0</v>
      </c>
      <c r="L15" s="242">
        <v>51427.7</v>
      </c>
      <c r="M15" s="225"/>
      <c r="N15" s="50">
        <v>0</v>
      </c>
      <c r="O15" s="243">
        <v>51428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5695420</v>
      </c>
      <c r="G17" s="339"/>
      <c r="H17" s="55"/>
      <c r="I17" s="35"/>
      <c r="J17" s="240">
        <v>10853172.459999997</v>
      </c>
      <c r="K17" s="241">
        <v>0</v>
      </c>
      <c r="L17" s="242">
        <v>10853172.459999997</v>
      </c>
      <c r="M17" s="225"/>
      <c r="N17" s="50">
        <v>0</v>
      </c>
      <c r="O17" s="243">
        <v>10853172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435756.57999999996</v>
      </c>
      <c r="K18" s="247">
        <v>-21465</v>
      </c>
      <c r="L18" s="248">
        <v>414291.57999999996</v>
      </c>
      <c r="M18" s="225"/>
      <c r="N18" s="58">
        <v>832074</v>
      </c>
      <c r="O18" s="249">
        <v>1246366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v>81540027.159999996</v>
      </c>
      <c r="K20" s="251">
        <v>-21465</v>
      </c>
      <c r="L20" s="252">
        <v>81518563</v>
      </c>
      <c r="M20" s="67"/>
      <c r="N20" s="251">
        <v>5293793</v>
      </c>
      <c r="O20" s="253">
        <v>86812356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166818763.71000001</v>
      </c>
      <c r="K24" s="223">
        <v>4</v>
      </c>
      <c r="L24" s="258">
        <v>166818767.71000001</v>
      </c>
      <c r="M24" s="225"/>
      <c r="N24" s="223">
        <v>1044928</v>
      </c>
      <c r="O24" s="239">
        <v>167863696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31543721.210000008</v>
      </c>
      <c r="K25" s="241">
        <v>0</v>
      </c>
      <c r="L25" s="242">
        <v>31543721.210000008</v>
      </c>
      <c r="M25" s="225"/>
      <c r="N25" s="50">
        <v>3408216</v>
      </c>
      <c r="O25" s="243">
        <v>34951937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4924789.84</v>
      </c>
      <c r="K26" s="241">
        <v>0</v>
      </c>
      <c r="L26" s="242">
        <v>4924789.84</v>
      </c>
      <c r="M26" s="225"/>
      <c r="N26" s="50">
        <v>0</v>
      </c>
      <c r="O26" s="243">
        <v>4924790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9930412.4200000018</v>
      </c>
      <c r="K27" s="241">
        <v>0</v>
      </c>
      <c r="L27" s="242">
        <v>9930412.4200000018</v>
      </c>
      <c r="M27" s="225"/>
      <c r="N27" s="50">
        <v>293558</v>
      </c>
      <c r="O27" s="243">
        <v>10223970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9242608.8300000001</v>
      </c>
      <c r="K28" s="241">
        <v>0</v>
      </c>
      <c r="L28" s="242">
        <v>9242608.8300000001</v>
      </c>
      <c r="M28" s="225"/>
      <c r="N28" s="50">
        <v>675533</v>
      </c>
      <c r="O28" s="243">
        <v>9918142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32714574.580000006</v>
      </c>
      <c r="K29" s="241">
        <v>0</v>
      </c>
      <c r="L29" s="242">
        <v>32714574.580000006</v>
      </c>
      <c r="M29" s="225"/>
      <c r="N29" s="50">
        <v>24748</v>
      </c>
      <c r="O29" s="243">
        <v>32739323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10378696.380000001</v>
      </c>
      <c r="K30" s="247">
        <v>0</v>
      </c>
      <c r="L30" s="248">
        <v>10378696.380000001</v>
      </c>
      <c r="M30" s="225"/>
      <c r="N30" s="58">
        <v>156030</v>
      </c>
      <c r="O30" s="249">
        <v>10534726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v>265553566.97000003</v>
      </c>
      <c r="K32" s="251">
        <v>4</v>
      </c>
      <c r="L32" s="252">
        <v>265553571</v>
      </c>
      <c r="M32" s="261"/>
      <c r="N32" s="251">
        <v>5603013</v>
      </c>
      <c r="O32" s="253">
        <v>271156584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v>-184013539.81000003</v>
      </c>
      <c r="K34" s="263">
        <v>-21469</v>
      </c>
      <c r="L34" s="264">
        <v>-184035008</v>
      </c>
      <c r="M34" s="67"/>
      <c r="N34" s="263">
        <v>-309220</v>
      </c>
      <c r="O34" s="265">
        <v>-184344228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87267472.659999996</v>
      </c>
      <c r="K37" s="223">
        <v>0</v>
      </c>
      <c r="L37" s="238">
        <v>87267472.659999996</v>
      </c>
      <c r="M37" s="49"/>
      <c r="N37" s="223">
        <v>0</v>
      </c>
      <c r="O37" s="239">
        <v>87267473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74059431.680000007</v>
      </c>
      <c r="K38" s="241">
        <v>0</v>
      </c>
      <c r="L38" s="242">
        <v>74059431.680000007</v>
      </c>
      <c r="M38" s="49"/>
      <c r="N38" s="80">
        <v>0</v>
      </c>
      <c r="O38" s="243">
        <v>74059432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11449835.66</v>
      </c>
      <c r="K39" s="241">
        <v>0</v>
      </c>
      <c r="L39" s="242">
        <v>11449835.66</v>
      </c>
      <c r="M39" s="49"/>
      <c r="N39" s="80">
        <v>0</v>
      </c>
      <c r="O39" s="243">
        <v>11449836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951810.2200000002</v>
      </c>
      <c r="K40" s="241">
        <v>0</v>
      </c>
      <c r="L40" s="242">
        <v>951810.2200000002</v>
      </c>
      <c r="M40" s="49"/>
      <c r="N40" s="80">
        <v>0</v>
      </c>
      <c r="O40" s="243">
        <v>951810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59">
        <v>-160314.07</v>
      </c>
      <c r="K41" s="241">
        <v>0</v>
      </c>
      <c r="L41" s="242">
        <v>-160314.07</v>
      </c>
      <c r="M41" s="49"/>
      <c r="N41" s="80">
        <v>2194521</v>
      </c>
      <c r="O41" s="243">
        <v>2034207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132958.97</v>
      </c>
      <c r="K42" s="241">
        <v>0</v>
      </c>
      <c r="L42" s="242">
        <v>132958.97</v>
      </c>
      <c r="M42" s="49"/>
      <c r="N42" s="80">
        <v>6698114</v>
      </c>
      <c r="O42" s="243">
        <v>6831073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259">
        <v>2378.3999999999996</v>
      </c>
      <c r="K43" s="241">
        <v>0</v>
      </c>
      <c r="L43" s="242">
        <v>2378.3999999999996</v>
      </c>
      <c r="M43" s="49"/>
      <c r="N43" s="80">
        <v>0</v>
      </c>
      <c r="O43" s="243">
        <v>2378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-600349.26</v>
      </c>
      <c r="K44" s="241">
        <v>0</v>
      </c>
      <c r="L44" s="242">
        <v>-600349.26</v>
      </c>
      <c r="M44" s="49"/>
      <c r="N44" s="80">
        <v>0</v>
      </c>
      <c r="O44" s="243">
        <v>-600349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v>0</v>
      </c>
      <c r="M45" s="49"/>
      <c r="N45" s="82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v>173103224.26000002</v>
      </c>
      <c r="K47" s="263">
        <v>0</v>
      </c>
      <c r="L47" s="264">
        <v>173103225</v>
      </c>
      <c r="M47" s="59"/>
      <c r="N47" s="263">
        <v>8892635</v>
      </c>
      <c r="O47" s="265">
        <v>181995860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v>-10910315.550000012</v>
      </c>
      <c r="K50" s="263">
        <v>-21469</v>
      </c>
      <c r="L50" s="264">
        <v>-10931783</v>
      </c>
      <c r="M50" s="59"/>
      <c r="N50" s="263">
        <v>8583415</v>
      </c>
      <c r="O50" s="265">
        <v>-2348368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14869493</v>
      </c>
      <c r="K52" s="223">
        <v>0</v>
      </c>
      <c r="L52" s="238">
        <v>14869493</v>
      </c>
      <c r="M52" s="49"/>
      <c r="N52" s="223">
        <v>0</v>
      </c>
      <c r="O52" s="239">
        <v>14869493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5787321.6699999999</v>
      </c>
      <c r="K53" s="241">
        <v>21465</v>
      </c>
      <c r="L53" s="242">
        <v>5808786.6699999999</v>
      </c>
      <c r="M53" s="225"/>
      <c r="N53" s="50">
        <v>0</v>
      </c>
      <c r="O53" s="243">
        <v>5808787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v>0</v>
      </c>
      <c r="M54" s="225"/>
      <c r="N54" s="89">
        <v>0</v>
      </c>
      <c r="O54" s="243"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v>0</v>
      </c>
      <c r="M55" s="225"/>
      <c r="N55" s="58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v>20656814.670000002</v>
      </c>
      <c r="K57" s="251">
        <v>21465</v>
      </c>
      <c r="L57" s="253">
        <v>20678280</v>
      </c>
      <c r="M57" s="261"/>
      <c r="N57" s="251">
        <v>0</v>
      </c>
      <c r="O57" s="253">
        <v>20678280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v>9746499.1199999899</v>
      </c>
      <c r="K59" s="263">
        <v>-4</v>
      </c>
      <c r="L59" s="265">
        <v>9746497</v>
      </c>
      <c r="M59" s="92"/>
      <c r="N59" s="263">
        <v>8583415</v>
      </c>
      <c r="O59" s="265">
        <v>18329912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276058506</v>
      </c>
      <c r="M61" s="49"/>
      <c r="N61" s="96">
        <v>80394551</v>
      </c>
      <c r="O61" s="240">
        <v>356453057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v>276058506</v>
      </c>
      <c r="M64" s="92"/>
      <c r="N64" s="90">
        <v>80394551</v>
      </c>
      <c r="O64" s="90">
        <v>356453057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v>285805003</v>
      </c>
      <c r="M66" s="105"/>
      <c r="N66" s="251">
        <v>88977966</v>
      </c>
      <c r="O66" s="251">
        <v>374782969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L66-[31]SNP!M120</f>
        <v>0</v>
      </c>
      <c r="M69" s="110"/>
      <c r="N69" s="111">
        <f>N66-[31]SNP!O120</f>
        <v>0</v>
      </c>
      <c r="O69" s="111">
        <f>O66-[31]SNP!P120</f>
        <v>-1</v>
      </c>
      <c r="P69" s="112"/>
    </row>
    <row r="70" spans="1:16">
      <c r="B70" s="72"/>
      <c r="I70" s="113" t="s">
        <v>97</v>
      </c>
      <c r="J70" s="113"/>
      <c r="K70" s="113"/>
      <c r="L70" s="114" t="s">
        <v>309</v>
      </c>
      <c r="M70" s="115"/>
      <c r="N70" s="114"/>
      <c r="O70" s="114"/>
      <c r="P70" s="114"/>
    </row>
    <row r="71" spans="1:16">
      <c r="B71" s="72"/>
      <c r="L71" s="114" t="s">
        <v>310</v>
      </c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20" priority="24" operator="notEqual">
      <formula>0</formula>
    </cfRule>
    <cfRule type="cellIs" dxfId="19" priority="25" operator="equal">
      <formula>0</formula>
    </cfRule>
  </conditionalFormatting>
  <conditionalFormatting sqref="F11:G11 N62 L62 N17:N18 N11:N15 L16 F17:G17 N24:N30 N37:N45 N52:N55">
    <cfRule type="containsBlanks" dxfId="18" priority="20">
      <formula>LEN(TRIM(F11))=0</formula>
    </cfRule>
    <cfRule type="cellIs" dxfId="17" priority="21" operator="notEqual">
      <formula>0</formula>
    </cfRule>
  </conditionalFormatting>
  <conditionalFormatting sqref="N11">
    <cfRule type="cellIs" dxfId="16" priority="19" operator="notEqual">
      <formula>N20</formula>
    </cfRule>
  </conditionalFormatting>
  <conditionalFormatting sqref="O69">
    <cfRule type="cellIs" dxfId="15" priority="15" operator="notEqual">
      <formula>0</formula>
    </cfRule>
    <cfRule type="cellIs" dxfId="14" priority="16" operator="equal">
      <formula>0</formula>
    </cfRule>
  </conditionalFormatting>
  <conditionalFormatting sqref="K11:K15 K17:K18">
    <cfRule type="containsBlanks" dxfId="13" priority="13">
      <formula>LEN(TRIM(K11))=0</formula>
    </cfRule>
    <cfRule type="cellIs" dxfId="12" priority="14" operator="notEqual">
      <formula>0</formula>
    </cfRule>
  </conditionalFormatting>
  <conditionalFormatting sqref="K11:K15 K17:K18">
    <cfRule type="cellIs" dxfId="11" priority="12" operator="notEqual">
      <formula>K20</formula>
    </cfRule>
  </conditionalFormatting>
  <conditionalFormatting sqref="K16">
    <cfRule type="containsBlanks" dxfId="10" priority="10">
      <formula>LEN(TRIM(K16))=0</formula>
    </cfRule>
    <cfRule type="cellIs" dxfId="9" priority="11" operator="notEqual">
      <formula>0</formula>
    </cfRule>
  </conditionalFormatting>
  <conditionalFormatting sqref="K52 K37 K24">
    <cfRule type="containsBlanks" dxfId="8" priority="8">
      <formula>LEN(TRIM(K24))=0</formula>
    </cfRule>
    <cfRule type="cellIs" dxfId="7" priority="9" operator="notEqual">
      <formula>0</formula>
    </cfRule>
  </conditionalFormatting>
  <conditionalFormatting sqref="K52 K37 K24">
    <cfRule type="cellIs" dxfId="6" priority="7" operator="notEqual">
      <formula>K33</formula>
    </cfRule>
  </conditionalFormatting>
  <conditionalFormatting sqref="K53:K55 K38:K45 K25:K30">
    <cfRule type="containsBlanks" dxfId="5" priority="5">
      <formula>LEN(TRIM(K25))=0</formula>
    </cfRule>
    <cfRule type="cellIs" dxfId="4" priority="6" operator="notEqual">
      <formula>0</formula>
    </cfRule>
  </conditionalFormatting>
  <conditionalFormatting sqref="K53:K55 K38:K45 K25:K30">
    <cfRule type="cellIs" dxfId="3" priority="4" operator="notEqual">
      <formula>K34</formula>
    </cfRule>
  </conditionalFormatting>
  <conditionalFormatting sqref="N24">
    <cfRule type="cellIs" dxfId="2" priority="3" operator="notEqual">
      <formula>N33</formula>
    </cfRule>
  </conditionalFormatting>
  <conditionalFormatting sqref="N37">
    <cfRule type="cellIs" dxfId="1" priority="2" operator="notEqual">
      <formula>N46</formula>
    </cfRule>
  </conditionalFormatting>
  <conditionalFormatting sqref="N52">
    <cfRule type="cellIs" dxfId="0" priority="1" operator="notEqual">
      <formula>N61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85546875" style="11" bestFit="1" customWidth="1"/>
    <col min="11" max="11" width="12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101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[5]SNP!$O$9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54941029.670000002</v>
      </c>
      <c r="G11" s="339"/>
      <c r="H11" s="45"/>
      <c r="I11" s="36"/>
      <c r="J11" s="239">
        <v>49742222.199999996</v>
      </c>
      <c r="K11" s="274"/>
      <c r="L11" s="239">
        <v>49742222.199999996</v>
      </c>
      <c r="M11" s="224"/>
      <c r="N11" s="274">
        <v>0</v>
      </c>
      <c r="O11" s="239">
        <v>49742222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3">
        <v>10463887.380000001</v>
      </c>
      <c r="K12" s="275">
        <v>-0.76</v>
      </c>
      <c r="L12" s="243">
        <v>10463886.620000001</v>
      </c>
      <c r="M12" s="276"/>
      <c r="N12" s="275">
        <v>0</v>
      </c>
      <c r="O12" s="243">
        <v>10463887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3">
        <v>3309591.41</v>
      </c>
      <c r="K13" s="275">
        <v>0</v>
      </c>
      <c r="L13" s="243">
        <v>3309591.41</v>
      </c>
      <c r="M13" s="276"/>
      <c r="N13" s="275">
        <v>0</v>
      </c>
      <c r="O13" s="243">
        <v>3309591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3">
        <v>10928889.310000001</v>
      </c>
      <c r="K14" s="275">
        <v>0</v>
      </c>
      <c r="L14" s="243">
        <v>10928889.310000001</v>
      </c>
      <c r="M14" s="276"/>
      <c r="N14" s="275">
        <v>0</v>
      </c>
      <c r="O14" s="243">
        <v>10928889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3">
        <v>865623.71</v>
      </c>
      <c r="K15" s="275">
        <v>0</v>
      </c>
      <c r="L15" s="243">
        <v>865623.71</v>
      </c>
      <c r="M15" s="276"/>
      <c r="N15" s="275">
        <v>0</v>
      </c>
      <c r="O15" s="243">
        <v>865624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43"/>
      <c r="K16" s="277"/>
      <c r="L16" s="278"/>
      <c r="M16" s="276"/>
      <c r="N16" s="243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3">
        <v>2177618.5300000003</v>
      </c>
      <c r="K17" s="275">
        <v>0</v>
      </c>
      <c r="L17" s="243">
        <v>2177618.5300000003</v>
      </c>
      <c r="M17" s="276"/>
      <c r="N17" s="275">
        <v>0</v>
      </c>
      <c r="O17" s="243">
        <v>2177619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9">
        <v>1090963.22</v>
      </c>
      <c r="K18" s="279">
        <v>0</v>
      </c>
      <c r="L18" s="249">
        <v>1090963.22</v>
      </c>
      <c r="M18" s="276"/>
      <c r="N18" s="279">
        <v>5779785</v>
      </c>
      <c r="O18" s="249">
        <v>6870748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189"/>
      <c r="K19" s="189"/>
      <c r="L19" s="189"/>
      <c r="M19" s="250"/>
      <c r="N19" s="25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3">
        <v>78578795.75999999</v>
      </c>
      <c r="K20" s="253">
        <v>-1</v>
      </c>
      <c r="L20" s="253">
        <v>78578795</v>
      </c>
      <c r="M20" s="189"/>
      <c r="N20" s="253">
        <v>5779785</v>
      </c>
      <c r="O20" s="253">
        <v>84358580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80"/>
      <c r="K21" s="280"/>
      <c r="L21" s="224"/>
      <c r="M21" s="224"/>
      <c r="N21" s="224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80"/>
      <c r="K22" s="280"/>
      <c r="L22" s="256"/>
      <c r="M22" s="224"/>
      <c r="N22" s="25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80"/>
      <c r="K23" s="280"/>
      <c r="L23" s="256"/>
      <c r="M23" s="224"/>
      <c r="N23" s="25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81">
        <v>161308405.38000005</v>
      </c>
      <c r="K24" s="274"/>
      <c r="L24" s="282">
        <v>161308405.38000005</v>
      </c>
      <c r="M24" s="276"/>
      <c r="N24" s="274">
        <v>0</v>
      </c>
      <c r="O24" s="239">
        <v>161308405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80">
        <v>56457235.710000008</v>
      </c>
      <c r="K25" s="275">
        <v>0</v>
      </c>
      <c r="L25" s="243">
        <v>56457235.710000008</v>
      </c>
      <c r="M25" s="276"/>
      <c r="N25" s="275">
        <v>0</v>
      </c>
      <c r="O25" s="243">
        <v>56457236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80">
        <v>4731759.7299999995</v>
      </c>
      <c r="K26" s="275">
        <v>0</v>
      </c>
      <c r="L26" s="243">
        <v>4731759.7299999995</v>
      </c>
      <c r="M26" s="276"/>
      <c r="N26" s="275">
        <v>0</v>
      </c>
      <c r="O26" s="243">
        <v>4731760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80">
        <v>23977219.989999995</v>
      </c>
      <c r="K27" s="275">
        <v>0</v>
      </c>
      <c r="L27" s="243">
        <v>23977219.989999995</v>
      </c>
      <c r="M27" s="276"/>
      <c r="N27" s="275">
        <v>9644801</v>
      </c>
      <c r="O27" s="243">
        <v>33622021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80">
        <v>22192726.030000001</v>
      </c>
      <c r="K28" s="275">
        <v>0</v>
      </c>
      <c r="L28" s="243">
        <v>22192726.030000001</v>
      </c>
      <c r="M28" s="276"/>
      <c r="N28" s="275">
        <v>0</v>
      </c>
      <c r="O28" s="243">
        <v>22192726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80">
        <v>13699666.030000001</v>
      </c>
      <c r="K29" s="275"/>
      <c r="L29" s="243">
        <v>13699666.030000001</v>
      </c>
      <c r="M29" s="276"/>
      <c r="N29" s="275">
        <v>0</v>
      </c>
      <c r="O29" s="243">
        <v>13699666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83">
        <v>9746669.1400000006</v>
      </c>
      <c r="K30" s="279">
        <v>0</v>
      </c>
      <c r="L30" s="249">
        <v>9746669.1400000006</v>
      </c>
      <c r="M30" s="276"/>
      <c r="N30" s="279">
        <v>0</v>
      </c>
      <c r="O30" s="249">
        <v>9746669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80"/>
      <c r="K31" s="280"/>
      <c r="L31" s="224"/>
      <c r="M31" s="224"/>
      <c r="N31" s="224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3">
        <v>292113682.00999999</v>
      </c>
      <c r="K32" s="253">
        <v>0</v>
      </c>
      <c r="L32" s="253">
        <v>292113682</v>
      </c>
      <c r="M32" s="284"/>
      <c r="N32" s="253">
        <v>9644801</v>
      </c>
      <c r="O32" s="253">
        <v>301758483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189"/>
      <c r="K33" s="280"/>
      <c r="L33" s="189"/>
      <c r="M33" s="189"/>
      <c r="N33" s="18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5">
        <v>-213534886.25</v>
      </c>
      <c r="K34" s="265">
        <v>-1</v>
      </c>
      <c r="L34" s="265">
        <v>-213534887</v>
      </c>
      <c r="M34" s="189"/>
      <c r="N34" s="265">
        <v>-3865016</v>
      </c>
      <c r="O34" s="265">
        <v>-217399903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80"/>
      <c r="K35" s="280"/>
      <c r="L35" s="224"/>
      <c r="M35" s="224"/>
      <c r="N35" s="224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80"/>
      <c r="K36" s="280"/>
      <c r="L36" s="256"/>
      <c r="M36" s="224"/>
      <c r="N36" s="25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81">
        <v>92564397.430000007</v>
      </c>
      <c r="K37" s="274">
        <v>0.43</v>
      </c>
      <c r="L37" s="239">
        <v>92564397.860000014</v>
      </c>
      <c r="M37" s="285"/>
      <c r="N37" s="274">
        <v>0</v>
      </c>
      <c r="O37" s="239">
        <v>92564398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80">
        <v>9560781.2300000004</v>
      </c>
      <c r="K38" s="275"/>
      <c r="L38" s="243">
        <v>9560781.2300000004</v>
      </c>
      <c r="M38" s="285"/>
      <c r="N38" s="286">
        <v>0</v>
      </c>
      <c r="O38" s="243">
        <v>9560781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80">
        <v>90276264.00999999</v>
      </c>
      <c r="K39" s="275">
        <v>0.32</v>
      </c>
      <c r="L39" s="243">
        <v>90276264.329999983</v>
      </c>
      <c r="M39" s="285"/>
      <c r="N39" s="286">
        <v>0</v>
      </c>
      <c r="O39" s="243">
        <v>90276264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80">
        <v>1872668.4399999997</v>
      </c>
      <c r="K40" s="275">
        <v>0.44</v>
      </c>
      <c r="L40" s="243">
        <v>1872668.8799999997</v>
      </c>
      <c r="M40" s="285"/>
      <c r="N40" s="286">
        <v>5884442</v>
      </c>
      <c r="O40" s="243">
        <v>7757111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Loss on Investments</v>
      </c>
      <c r="D41" s="267"/>
      <c r="E41" s="268"/>
      <c r="F41" s="268"/>
      <c r="G41" s="35"/>
      <c r="H41" s="14"/>
      <c r="I41" s="15"/>
      <c r="J41" s="280">
        <v>-137824.79</v>
      </c>
      <c r="K41" s="275">
        <v>0.21</v>
      </c>
      <c r="L41" s="243">
        <v>-137824.58000000002</v>
      </c>
      <c r="M41" s="285"/>
      <c r="N41" s="286">
        <v>0</v>
      </c>
      <c r="O41" s="243">
        <v>-137825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80">
        <v>67260.37</v>
      </c>
      <c r="K42" s="275">
        <v>0.37</v>
      </c>
      <c r="L42" s="243">
        <v>67260.739999999991</v>
      </c>
      <c r="M42" s="285"/>
      <c r="N42" s="286">
        <v>0</v>
      </c>
      <c r="O42" s="243">
        <v>67261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280">
        <v>-1484837.5600000005</v>
      </c>
      <c r="K43" s="275">
        <v>0.44</v>
      </c>
      <c r="L43" s="243">
        <v>-1484837.1200000006</v>
      </c>
      <c r="M43" s="285"/>
      <c r="N43" s="286">
        <v>0</v>
      </c>
      <c r="O43" s="243">
        <v>-1484837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3">
        <v>-878150.91</v>
      </c>
      <c r="K44" s="275"/>
      <c r="L44" s="243">
        <v>-878150.91</v>
      </c>
      <c r="M44" s="285"/>
      <c r="N44" s="286">
        <v>0</v>
      </c>
      <c r="O44" s="243">
        <v>-878151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87">
        <v>0</v>
      </c>
      <c r="K45" s="279">
        <v>0</v>
      </c>
      <c r="L45" s="249">
        <v>0</v>
      </c>
      <c r="M45" s="285"/>
      <c r="N45" s="288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43"/>
      <c r="K46" s="243"/>
      <c r="L46" s="243"/>
      <c r="M46" s="289"/>
      <c r="N46" s="24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5">
        <v>191840558.22000003</v>
      </c>
      <c r="K47" s="265">
        <v>2.21</v>
      </c>
      <c r="L47" s="265">
        <v>191840560</v>
      </c>
      <c r="M47" s="189"/>
      <c r="N47" s="265">
        <v>5884442</v>
      </c>
      <c r="O47" s="265">
        <v>197725002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189"/>
      <c r="K48" s="189"/>
      <c r="L48" s="189"/>
      <c r="M48" s="189"/>
      <c r="N48" s="18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243"/>
      <c r="K49" s="243"/>
      <c r="L49" s="243"/>
      <c r="M49" s="243"/>
      <c r="N49" s="243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5">
        <v>-21694328.029999971</v>
      </c>
      <c r="K50" s="265">
        <v>1.21</v>
      </c>
      <c r="L50" s="265">
        <v>-21694327</v>
      </c>
      <c r="M50" s="189"/>
      <c r="N50" s="265">
        <v>2019426</v>
      </c>
      <c r="O50" s="265">
        <v>-19674901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80"/>
      <c r="K51" s="280"/>
      <c r="L51" s="224"/>
      <c r="M51" s="224"/>
      <c r="N51" s="224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81">
        <v>8455258</v>
      </c>
      <c r="K52" s="274">
        <v>0</v>
      </c>
      <c r="L52" s="239">
        <v>8455258</v>
      </c>
      <c r="M52" s="285"/>
      <c r="N52" s="274">
        <v>0</v>
      </c>
      <c r="O52" s="239">
        <v>8455258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80">
        <v>18138718.119999997</v>
      </c>
      <c r="K53" s="275"/>
      <c r="L53" s="243">
        <v>18138718.119999997</v>
      </c>
      <c r="M53" s="276"/>
      <c r="N53" s="275">
        <v>0</v>
      </c>
      <c r="O53" s="243">
        <v>18138718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80">
        <v>15936.91</v>
      </c>
      <c r="K54" s="275">
        <v>0</v>
      </c>
      <c r="L54" s="243">
        <v>15936.91</v>
      </c>
      <c r="M54" s="276"/>
      <c r="N54" s="290">
        <v>0</v>
      </c>
      <c r="O54" s="243">
        <v>15937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83">
        <v>0</v>
      </c>
      <c r="K55" s="279">
        <v>0</v>
      </c>
      <c r="L55" s="249">
        <v>0</v>
      </c>
      <c r="M55" s="276"/>
      <c r="N55" s="279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243"/>
      <c r="K56" s="280"/>
      <c r="L56" s="243"/>
      <c r="M56" s="289"/>
      <c r="N56" s="24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3">
        <v>26609913.029999997</v>
      </c>
      <c r="K57" s="253">
        <v>0</v>
      </c>
      <c r="L57" s="253">
        <v>26609913</v>
      </c>
      <c r="M57" s="284"/>
      <c r="N57" s="253">
        <v>0</v>
      </c>
      <c r="O57" s="253">
        <v>26609913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189"/>
      <c r="K58" s="189"/>
      <c r="L58" s="189"/>
      <c r="M58" s="189"/>
      <c r="N58" s="18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5">
        <v>4915585.0000000261</v>
      </c>
      <c r="K59" s="265">
        <v>1.21</v>
      </c>
      <c r="L59" s="265">
        <v>4915586</v>
      </c>
      <c r="M59" s="291"/>
      <c r="N59" s="265">
        <v>2019426</v>
      </c>
      <c r="O59" s="265">
        <v>6935012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280"/>
      <c r="K60" s="280"/>
      <c r="L60" s="292"/>
      <c r="M60" s="292"/>
      <c r="N60" s="292"/>
      <c r="O60" s="292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285"/>
      <c r="K61" s="280"/>
      <c r="L61" s="285">
        <v>223495956</v>
      </c>
      <c r="M61" s="285"/>
      <c r="N61" s="285">
        <v>72084139</v>
      </c>
      <c r="O61" s="243">
        <v>295580095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80"/>
      <c r="K62" s="280"/>
      <c r="L62" s="288"/>
      <c r="M62" s="285"/>
      <c r="N62" s="288"/>
      <c r="O62" s="249"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9"/>
      <c r="K63" s="189"/>
      <c r="L63" s="291"/>
      <c r="M63" s="293"/>
      <c r="N63" s="293"/>
      <c r="O63" s="293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50"/>
      <c r="K64" s="250"/>
      <c r="L64" s="294">
        <v>223495956</v>
      </c>
      <c r="M64" s="291"/>
      <c r="N64" s="294">
        <v>72084139</v>
      </c>
      <c r="O64" s="294">
        <v>295580095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89"/>
      <c r="K65" s="189"/>
      <c r="L65" s="191"/>
      <c r="M65" s="250"/>
      <c r="N65" s="250"/>
      <c r="O65" s="25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80"/>
      <c r="K66" s="280"/>
      <c r="L66" s="253">
        <v>228411542</v>
      </c>
      <c r="M66" s="292"/>
      <c r="N66" s="253">
        <v>74103565</v>
      </c>
      <c r="O66" s="253">
        <v>302515107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L66-[5]SNP!M120</f>
        <v>1</v>
      </c>
      <c r="M69" s="110"/>
      <c r="N69" s="111">
        <f>N66-[5]SNP!O120</f>
        <v>0</v>
      </c>
      <c r="O69" s="111">
        <f>O66-[5]SNP!P120</f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273"/>
      <c r="M73" s="273"/>
      <c r="N73" s="273"/>
      <c r="O73" s="273"/>
      <c r="P73" s="114"/>
    </row>
    <row r="74" spans="1:16">
      <c r="B74" s="72"/>
      <c r="L74" s="114"/>
      <c r="M74" s="114"/>
      <c r="N74" s="114"/>
      <c r="O74" s="114"/>
      <c r="P74" s="114"/>
    </row>
    <row r="75" spans="1:16">
      <c r="B75" s="72"/>
      <c r="L75" s="114"/>
      <c r="M75" s="114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560" priority="24" operator="notEqual">
      <formula>0</formula>
    </cfRule>
    <cfRule type="cellIs" dxfId="559" priority="25" operator="equal">
      <formula>0</formula>
    </cfRule>
  </conditionalFormatting>
  <conditionalFormatting sqref="F11:G11 N62 L62 N17:N18 N11:N15 L16 F17:G17 N24:N30 N37:N45 N52:N55">
    <cfRule type="containsBlanks" dxfId="558" priority="20">
      <formula>LEN(TRIM(F11))=0</formula>
    </cfRule>
    <cfRule type="cellIs" dxfId="557" priority="21" operator="notEqual">
      <formula>0</formula>
    </cfRule>
  </conditionalFormatting>
  <conditionalFormatting sqref="N11">
    <cfRule type="cellIs" dxfId="556" priority="19" operator="notEqual">
      <formula>N20</formula>
    </cfRule>
  </conditionalFormatting>
  <conditionalFormatting sqref="O69">
    <cfRule type="cellIs" dxfId="555" priority="15" operator="notEqual">
      <formula>0</formula>
    </cfRule>
    <cfRule type="cellIs" dxfId="554" priority="16" operator="equal">
      <formula>0</formula>
    </cfRule>
  </conditionalFormatting>
  <conditionalFormatting sqref="K11:K15 K17:K18">
    <cfRule type="containsBlanks" dxfId="553" priority="13">
      <formula>LEN(TRIM(K11))=0</formula>
    </cfRule>
    <cfRule type="cellIs" dxfId="552" priority="14" operator="notEqual">
      <formula>0</formula>
    </cfRule>
  </conditionalFormatting>
  <conditionalFormatting sqref="K11:K15 K17:K18">
    <cfRule type="cellIs" dxfId="551" priority="12" operator="notEqual">
      <formula>K20</formula>
    </cfRule>
  </conditionalFormatting>
  <conditionalFormatting sqref="K16">
    <cfRule type="containsBlanks" dxfId="550" priority="10">
      <formula>LEN(TRIM(K16))=0</formula>
    </cfRule>
    <cfRule type="cellIs" dxfId="549" priority="11" operator="notEqual">
      <formula>0</formula>
    </cfRule>
  </conditionalFormatting>
  <conditionalFormatting sqref="K52 K37 K24">
    <cfRule type="containsBlanks" dxfId="548" priority="8">
      <formula>LEN(TRIM(K24))=0</formula>
    </cfRule>
    <cfRule type="cellIs" dxfId="547" priority="9" operator="notEqual">
      <formula>0</formula>
    </cfRule>
  </conditionalFormatting>
  <conditionalFormatting sqref="K52 K37 K24">
    <cfRule type="cellIs" dxfId="546" priority="7" operator="notEqual">
      <formula>K33</formula>
    </cfRule>
  </conditionalFormatting>
  <conditionalFormatting sqref="K53:K55 K38:K45 K25:K30">
    <cfRule type="containsBlanks" dxfId="545" priority="5">
      <formula>LEN(TRIM(K25))=0</formula>
    </cfRule>
    <cfRule type="cellIs" dxfId="544" priority="6" operator="notEqual">
      <formula>0</formula>
    </cfRule>
  </conditionalFormatting>
  <conditionalFormatting sqref="K53:K55 K38:K45 K25:K30">
    <cfRule type="cellIs" dxfId="543" priority="4" operator="notEqual">
      <formula>K34</formula>
    </cfRule>
  </conditionalFormatting>
  <conditionalFormatting sqref="N24">
    <cfRule type="cellIs" dxfId="542" priority="3" operator="notEqual">
      <formula>N33</formula>
    </cfRule>
  </conditionalFormatting>
  <conditionalFormatting sqref="N37">
    <cfRule type="cellIs" dxfId="541" priority="2" operator="notEqual">
      <formula>N46</formula>
    </cfRule>
  </conditionalFormatting>
  <conditionalFormatting sqref="N52">
    <cfRule type="cellIs" dxfId="540" priority="1" operator="notEqual">
      <formula>N61</formula>
    </cfRule>
  </conditionalFormatting>
  <printOptions horizontalCentered="1"/>
  <pageMargins left="0.7" right="0.7" top="0.75" bottom="0.75" header="0.5" footer="0.5"/>
  <pageSetup scale="6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customWidth="1"/>
    <col min="9" max="9" width="9.140625" style="11" customWidth="1"/>
    <col min="10" max="10" width="17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6" t="s">
        <v>103</v>
      </c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"/>
    </row>
    <row r="2" spans="1:16">
      <c r="B2" s="2"/>
      <c r="C2" s="346" t="s">
        <v>0</v>
      </c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7"/>
    </row>
    <row r="3" spans="1:16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9" t="s">
        <v>2</v>
      </c>
    </row>
    <row r="4" spans="1:16">
      <c r="B4" s="2"/>
      <c r="C4" s="347" t="s">
        <v>302</v>
      </c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[6]SNP!$O$9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48">
        <v>8016578</v>
      </c>
      <c r="G11" s="348"/>
      <c r="H11" s="45"/>
      <c r="I11" s="36"/>
      <c r="J11" s="239">
        <v>7287308.9499999993</v>
      </c>
      <c r="K11" s="274">
        <v>0</v>
      </c>
      <c r="L11" s="239">
        <v>7287308.9499999993</v>
      </c>
      <c r="M11" s="224"/>
      <c r="N11" s="274"/>
      <c r="O11" s="239">
        <v>7287309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3">
        <v>2613442.66</v>
      </c>
      <c r="K12" s="275">
        <v>0</v>
      </c>
      <c r="L12" s="243">
        <v>2613442.66</v>
      </c>
      <c r="M12" s="276"/>
      <c r="N12" s="275">
        <v>0</v>
      </c>
      <c r="O12" s="243">
        <v>2613443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3">
        <v>87897.86</v>
      </c>
      <c r="K13" s="275">
        <v>0</v>
      </c>
      <c r="L13" s="243">
        <v>87897.86</v>
      </c>
      <c r="M13" s="276"/>
      <c r="N13" s="275">
        <v>0</v>
      </c>
      <c r="O13" s="243">
        <v>87898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3">
        <v>347096.07</v>
      </c>
      <c r="K14" s="275">
        <v>0</v>
      </c>
      <c r="L14" s="243">
        <v>347096.07</v>
      </c>
      <c r="M14" s="276"/>
      <c r="N14" s="275">
        <v>3590828</v>
      </c>
      <c r="O14" s="243">
        <v>3937924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3">
        <v>794497.14</v>
      </c>
      <c r="K15" s="275">
        <v>0</v>
      </c>
      <c r="L15" s="243">
        <v>794497.14</v>
      </c>
      <c r="M15" s="276"/>
      <c r="N15" s="275">
        <v>0</v>
      </c>
      <c r="O15" s="243">
        <v>794497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43"/>
      <c r="K16" s="277"/>
      <c r="L16" s="278"/>
      <c r="M16" s="276"/>
      <c r="N16" s="243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48">
        <v>0</v>
      </c>
      <c r="G17" s="348"/>
      <c r="H17" s="55"/>
      <c r="I17" s="35"/>
      <c r="J17" s="243">
        <v>1563819.9399999997</v>
      </c>
      <c r="K17" s="275">
        <v>0</v>
      </c>
      <c r="L17" s="243">
        <v>1563819.9399999997</v>
      </c>
      <c r="M17" s="276"/>
      <c r="N17" s="275">
        <v>0</v>
      </c>
      <c r="O17" s="243">
        <v>1563820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9">
        <v>1257159.69</v>
      </c>
      <c r="K18" s="279">
        <v>0</v>
      </c>
      <c r="L18" s="249">
        <v>1257159.69</v>
      </c>
      <c r="M18" s="276"/>
      <c r="N18" s="279">
        <v>1720855</v>
      </c>
      <c r="O18" s="249">
        <v>2978015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189"/>
      <c r="K19" s="189"/>
      <c r="L19" s="189"/>
      <c r="M19" s="250"/>
      <c r="N19" s="25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3">
        <v>13951222.309999999</v>
      </c>
      <c r="K20" s="253">
        <v>0</v>
      </c>
      <c r="L20" s="253">
        <v>13951223</v>
      </c>
      <c r="M20" s="189"/>
      <c r="N20" s="253">
        <v>5311683</v>
      </c>
      <c r="O20" s="253">
        <v>19262906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80"/>
      <c r="K21" s="280"/>
      <c r="L21" s="224"/>
      <c r="M21" s="224"/>
      <c r="N21" s="224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80"/>
      <c r="K22" s="280"/>
      <c r="L22" s="256"/>
      <c r="M22" s="224"/>
      <c r="N22" s="25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80"/>
      <c r="K23" s="280"/>
      <c r="L23" s="256"/>
      <c r="M23" s="224"/>
      <c r="N23" s="25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81">
        <v>31893529.789999999</v>
      </c>
      <c r="K24" s="274">
        <v>0</v>
      </c>
      <c r="L24" s="282">
        <v>31893529.789999999</v>
      </c>
      <c r="M24" s="276"/>
      <c r="N24" s="274">
        <v>0</v>
      </c>
      <c r="O24" s="239">
        <v>31893530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80">
        <v>9011976.4800000004</v>
      </c>
      <c r="K25" s="275"/>
      <c r="L25" s="243">
        <v>9011976.4800000004</v>
      </c>
      <c r="M25" s="276"/>
      <c r="N25" s="275">
        <v>991507</v>
      </c>
      <c r="O25" s="243">
        <v>10003483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80">
        <v>2177604.39</v>
      </c>
      <c r="K26" s="275">
        <v>0</v>
      </c>
      <c r="L26" s="243">
        <v>2177604.39</v>
      </c>
      <c r="M26" s="276"/>
      <c r="N26" s="275">
        <v>0</v>
      </c>
      <c r="O26" s="243">
        <v>2177604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80">
        <v>3416472.6099999994</v>
      </c>
      <c r="K27" s="275">
        <v>0</v>
      </c>
      <c r="L27" s="243">
        <v>3416472.6099999994</v>
      </c>
      <c r="M27" s="276"/>
      <c r="N27" s="275">
        <v>574400</v>
      </c>
      <c r="O27" s="243">
        <v>3990873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80">
        <v>3996427.76</v>
      </c>
      <c r="K28" s="275">
        <v>0</v>
      </c>
      <c r="L28" s="243">
        <v>3996427.76</v>
      </c>
      <c r="M28" s="276"/>
      <c r="N28" s="275">
        <v>2468350</v>
      </c>
      <c r="O28" s="243">
        <v>6464778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80">
        <v>4167055.12</v>
      </c>
      <c r="K29" s="275">
        <v>0</v>
      </c>
      <c r="L29" s="243">
        <v>4167055.12</v>
      </c>
      <c r="M29" s="276"/>
      <c r="N29" s="275">
        <v>196015</v>
      </c>
      <c r="O29" s="243">
        <v>4363070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83">
        <v>3683488.21</v>
      </c>
      <c r="K30" s="279">
        <v>0</v>
      </c>
      <c r="L30" s="249">
        <v>3683488.21</v>
      </c>
      <c r="M30" s="276"/>
      <c r="N30" s="279">
        <v>148175</v>
      </c>
      <c r="O30" s="249">
        <v>3831663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80"/>
      <c r="K31" s="280"/>
      <c r="L31" s="224"/>
      <c r="M31" s="224"/>
      <c r="N31" s="224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3">
        <v>58346554.359999992</v>
      </c>
      <c r="K32" s="253">
        <v>0</v>
      </c>
      <c r="L32" s="253">
        <v>58346554</v>
      </c>
      <c r="M32" s="284"/>
      <c r="N32" s="253">
        <v>4378447</v>
      </c>
      <c r="O32" s="253">
        <v>62725001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189"/>
      <c r="K33" s="280"/>
      <c r="L33" s="189"/>
      <c r="M33" s="189"/>
      <c r="N33" s="18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35"/>
      <c r="F34" s="14"/>
      <c r="G34" s="14"/>
      <c r="H34" s="14"/>
      <c r="I34" s="15"/>
      <c r="J34" s="265">
        <v>-44395332.049999997</v>
      </c>
      <c r="K34" s="265">
        <v>0</v>
      </c>
      <c r="L34" s="265">
        <v>-44395331</v>
      </c>
      <c r="M34" s="189"/>
      <c r="N34" s="265">
        <v>933236</v>
      </c>
      <c r="O34" s="265">
        <v>-43462095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80"/>
      <c r="K35" s="280"/>
      <c r="L35" s="224"/>
      <c r="M35" s="224"/>
      <c r="N35" s="224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80"/>
      <c r="K36" s="280"/>
      <c r="L36" s="256"/>
      <c r="M36" s="224"/>
      <c r="N36" s="25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81">
        <v>22772777.199999999</v>
      </c>
      <c r="K37" s="274">
        <v>0</v>
      </c>
      <c r="L37" s="239">
        <v>22772777.199999999</v>
      </c>
      <c r="M37" s="285"/>
      <c r="N37" s="274">
        <v>0</v>
      </c>
      <c r="O37" s="239">
        <v>22772777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80">
        <v>366748</v>
      </c>
      <c r="K38" s="275">
        <v>0</v>
      </c>
      <c r="L38" s="243">
        <v>366748</v>
      </c>
      <c r="M38" s="285"/>
      <c r="N38" s="286">
        <v>0</v>
      </c>
      <c r="O38" s="243">
        <v>366748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80">
        <v>16370266.069999997</v>
      </c>
      <c r="K39" s="275"/>
      <c r="L39" s="243">
        <v>16370266.069999997</v>
      </c>
      <c r="M39" s="285"/>
      <c r="N39" s="286">
        <v>0</v>
      </c>
      <c r="O39" s="243">
        <v>16370266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80">
        <v>252903.91</v>
      </c>
      <c r="K40" s="275">
        <v>0</v>
      </c>
      <c r="L40" s="243">
        <v>252903.91</v>
      </c>
      <c r="M40" s="285"/>
      <c r="N40" s="286">
        <v>6174225</v>
      </c>
      <c r="O40" s="243">
        <v>6427129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67"/>
      <c r="E41" s="268"/>
      <c r="F41" s="268"/>
      <c r="G41" s="35"/>
      <c r="H41" s="14"/>
      <c r="I41" s="15"/>
      <c r="J41" s="280">
        <v>0</v>
      </c>
      <c r="K41" s="275">
        <v>0</v>
      </c>
      <c r="L41" s="243">
        <v>0</v>
      </c>
      <c r="M41" s="285"/>
      <c r="N41" s="286">
        <v>0</v>
      </c>
      <c r="O41" s="243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80">
        <v>0</v>
      </c>
      <c r="K42" s="275">
        <v>0</v>
      </c>
      <c r="L42" s="243">
        <v>0</v>
      </c>
      <c r="M42" s="285"/>
      <c r="N42" s="286">
        <v>0</v>
      </c>
      <c r="O42" s="243"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280">
        <v>6900</v>
      </c>
      <c r="K43" s="275">
        <v>0</v>
      </c>
      <c r="L43" s="243">
        <v>6900</v>
      </c>
      <c r="M43" s="285"/>
      <c r="N43" s="286">
        <v>0</v>
      </c>
      <c r="O43" s="243">
        <v>6900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3">
        <v>-5448.67</v>
      </c>
      <c r="K44" s="275">
        <v>0</v>
      </c>
      <c r="L44" s="243">
        <v>-5448.67</v>
      </c>
      <c r="M44" s="285"/>
      <c r="N44" s="286">
        <v>-79080</v>
      </c>
      <c r="O44" s="243">
        <v>-84529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87">
        <v>0</v>
      </c>
      <c r="K45" s="279">
        <v>0</v>
      </c>
      <c r="L45" s="249">
        <v>0</v>
      </c>
      <c r="M45" s="285"/>
      <c r="N45" s="288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43"/>
      <c r="K46" s="243"/>
      <c r="L46" s="243"/>
      <c r="M46" s="289"/>
      <c r="N46" s="24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5">
        <v>39764146.50999999</v>
      </c>
      <c r="K47" s="265">
        <v>0</v>
      </c>
      <c r="L47" s="265">
        <v>39764146</v>
      </c>
      <c r="M47" s="189"/>
      <c r="N47" s="265">
        <v>6095145</v>
      </c>
      <c r="O47" s="265">
        <v>45859291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189"/>
      <c r="K48" s="189"/>
      <c r="L48" s="189"/>
      <c r="M48" s="189"/>
      <c r="N48" s="18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243"/>
      <c r="K49" s="243"/>
      <c r="L49" s="243"/>
      <c r="M49" s="243"/>
      <c r="N49" s="243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5">
        <v>-4631185.5400000066</v>
      </c>
      <c r="K50" s="265">
        <v>0</v>
      </c>
      <c r="L50" s="265">
        <v>-4631185</v>
      </c>
      <c r="M50" s="189"/>
      <c r="N50" s="265">
        <v>7028381</v>
      </c>
      <c r="O50" s="265">
        <v>2397196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80"/>
      <c r="K51" s="280"/>
      <c r="L51" s="224"/>
      <c r="M51" s="224"/>
      <c r="N51" s="224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81">
        <v>8480531.3499999996</v>
      </c>
      <c r="K52" s="274">
        <v>0</v>
      </c>
      <c r="L52" s="239">
        <v>8480531.3499999996</v>
      </c>
      <c r="M52" s="285"/>
      <c r="N52" s="274">
        <v>0</v>
      </c>
      <c r="O52" s="239">
        <v>8480531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80">
        <v>3728015.91</v>
      </c>
      <c r="K53" s="275">
        <v>0</v>
      </c>
      <c r="L53" s="243">
        <v>3728015.91</v>
      </c>
      <c r="M53" s="276"/>
      <c r="N53" s="275">
        <v>0</v>
      </c>
      <c r="O53" s="243">
        <v>3728016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80">
        <v>530700</v>
      </c>
      <c r="K54" s="275">
        <v>0</v>
      </c>
      <c r="L54" s="243">
        <v>530700</v>
      </c>
      <c r="M54" s="276"/>
      <c r="N54" s="290">
        <v>906201</v>
      </c>
      <c r="O54" s="243">
        <v>1436901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83">
        <v>0</v>
      </c>
      <c r="K55" s="279">
        <v>0</v>
      </c>
      <c r="L55" s="249">
        <v>0</v>
      </c>
      <c r="M55" s="276"/>
      <c r="N55" s="279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243"/>
      <c r="K56" s="280"/>
      <c r="L56" s="243"/>
      <c r="M56" s="289"/>
      <c r="N56" s="24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3">
        <v>12739247.26</v>
      </c>
      <c r="K57" s="253">
        <v>0</v>
      </c>
      <c r="L57" s="253">
        <v>12739247</v>
      </c>
      <c r="M57" s="284"/>
      <c r="N57" s="253">
        <v>906201</v>
      </c>
      <c r="O57" s="253">
        <v>13645448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189"/>
      <c r="K58" s="189"/>
      <c r="L58" s="189"/>
      <c r="M58" s="189"/>
      <c r="N58" s="18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5">
        <v>8108061.7199999932</v>
      </c>
      <c r="K59" s="265">
        <v>0</v>
      </c>
      <c r="L59" s="265">
        <v>8108062</v>
      </c>
      <c r="M59" s="291"/>
      <c r="N59" s="265">
        <v>7934582</v>
      </c>
      <c r="O59" s="265">
        <v>16042644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280"/>
      <c r="K60" s="280"/>
      <c r="L60" s="292"/>
      <c r="M60" s="292"/>
      <c r="N60" s="292"/>
      <c r="O60" s="292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285"/>
      <c r="K61" s="280"/>
      <c r="L61" s="285">
        <v>76719338</v>
      </c>
      <c r="M61" s="285"/>
      <c r="N61" s="285">
        <v>88000525</v>
      </c>
      <c r="O61" s="243">
        <v>164719863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80"/>
      <c r="K62" s="280"/>
      <c r="L62" s="288">
        <v>2000000</v>
      </c>
      <c r="M62" s="285"/>
      <c r="N62" s="288"/>
      <c r="O62" s="249">
        <v>2000000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9"/>
      <c r="K63" s="189"/>
      <c r="L63" s="291"/>
      <c r="M63" s="293"/>
      <c r="N63" s="293"/>
      <c r="O63" s="293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50"/>
      <c r="K64" s="250"/>
      <c r="L64" s="294">
        <v>78719338</v>
      </c>
      <c r="M64" s="291"/>
      <c r="N64" s="294">
        <v>88000525</v>
      </c>
      <c r="O64" s="294">
        <v>166719863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89"/>
      <c r="K65" s="189"/>
      <c r="L65" s="191"/>
      <c r="M65" s="250"/>
      <c r="N65" s="250"/>
      <c r="O65" s="25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80"/>
      <c r="K66" s="280"/>
      <c r="L66" s="253">
        <v>86827400</v>
      </c>
      <c r="M66" s="292"/>
      <c r="N66" s="253">
        <v>95935107</v>
      </c>
      <c r="O66" s="253">
        <v>182762507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L66-[6]SNP!M120</f>
        <v>0</v>
      </c>
      <c r="M69" s="110"/>
      <c r="N69" s="111">
        <f>N66-[6]SNP!O120</f>
        <v>0</v>
      </c>
      <c r="O69" s="111">
        <f>O66-[6]SNP!P120</f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539" priority="24" operator="notEqual">
      <formula>0</formula>
    </cfRule>
    <cfRule type="cellIs" dxfId="538" priority="25" operator="equal">
      <formula>0</formula>
    </cfRule>
  </conditionalFormatting>
  <conditionalFormatting sqref="F11:G11 N62 L62 N17:N18 N11:N15 L16 F17:G17 N24:N30 N37:N45 N52:N55">
    <cfRule type="containsBlanks" dxfId="537" priority="20">
      <formula>LEN(TRIM(F11))=0</formula>
    </cfRule>
    <cfRule type="cellIs" dxfId="536" priority="21" operator="notEqual">
      <formula>0</formula>
    </cfRule>
  </conditionalFormatting>
  <conditionalFormatting sqref="N11">
    <cfRule type="cellIs" dxfId="535" priority="19" operator="notEqual">
      <formula>N20</formula>
    </cfRule>
  </conditionalFormatting>
  <conditionalFormatting sqref="O69">
    <cfRule type="cellIs" dxfId="534" priority="15" operator="notEqual">
      <formula>0</formula>
    </cfRule>
    <cfRule type="cellIs" dxfId="533" priority="16" operator="equal">
      <formula>0</formula>
    </cfRule>
  </conditionalFormatting>
  <conditionalFormatting sqref="K11:K15 K17:K18">
    <cfRule type="containsBlanks" dxfId="532" priority="13">
      <formula>LEN(TRIM(K11))=0</formula>
    </cfRule>
    <cfRule type="cellIs" dxfId="531" priority="14" operator="notEqual">
      <formula>0</formula>
    </cfRule>
  </conditionalFormatting>
  <conditionalFormatting sqref="K11:K15 K17:K18">
    <cfRule type="cellIs" dxfId="530" priority="12" operator="notEqual">
      <formula>K20</formula>
    </cfRule>
  </conditionalFormatting>
  <conditionalFormatting sqref="K16">
    <cfRule type="containsBlanks" dxfId="529" priority="10">
      <formula>LEN(TRIM(K16))=0</formula>
    </cfRule>
    <cfRule type="cellIs" dxfId="528" priority="11" operator="notEqual">
      <formula>0</formula>
    </cfRule>
  </conditionalFormatting>
  <conditionalFormatting sqref="K52 K37 K24">
    <cfRule type="containsBlanks" dxfId="527" priority="8">
      <formula>LEN(TRIM(K24))=0</formula>
    </cfRule>
    <cfRule type="cellIs" dxfId="526" priority="9" operator="notEqual">
      <formula>0</formula>
    </cfRule>
  </conditionalFormatting>
  <conditionalFormatting sqref="K52 K37 K24">
    <cfRule type="cellIs" dxfId="525" priority="7" operator="notEqual">
      <formula>K33</formula>
    </cfRule>
  </conditionalFormatting>
  <conditionalFormatting sqref="K53:K55 K38:K45 K25:K30">
    <cfRule type="containsBlanks" dxfId="524" priority="5">
      <formula>LEN(TRIM(K25))=0</formula>
    </cfRule>
    <cfRule type="cellIs" dxfId="523" priority="6" operator="notEqual">
      <formula>0</formula>
    </cfRule>
  </conditionalFormatting>
  <conditionalFormatting sqref="K53:K55 K38:K45 K25:K30">
    <cfRule type="cellIs" dxfId="522" priority="4" operator="notEqual">
      <formula>K34</formula>
    </cfRule>
  </conditionalFormatting>
  <conditionalFormatting sqref="N24">
    <cfRule type="cellIs" dxfId="521" priority="3" operator="notEqual">
      <formula>N33</formula>
    </cfRule>
  </conditionalFormatting>
  <conditionalFormatting sqref="N37">
    <cfRule type="cellIs" dxfId="520" priority="2" operator="notEqual">
      <formula>N46</formula>
    </cfRule>
  </conditionalFormatting>
  <conditionalFormatting sqref="N52">
    <cfRule type="cellIs" dxfId="519" priority="1" operator="notEqual">
      <formula>N61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4" width="16" style="6" customWidth="1"/>
    <col min="15" max="15" width="16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102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[7]SNP!$O$9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1152596.73</v>
      </c>
      <c r="G11" s="339"/>
      <c r="H11" s="45"/>
      <c r="I11" s="36"/>
      <c r="J11" s="237">
        <v>2491799.5500000003</v>
      </c>
      <c r="K11" s="223">
        <v>0</v>
      </c>
      <c r="L11" s="238">
        <f>+J11+K11</f>
        <v>2491799.5500000003</v>
      </c>
      <c r="M11" s="224"/>
      <c r="N11" s="223">
        <v>0</v>
      </c>
      <c r="O11" s="239">
        <f>ROUND(N11,0)+ROUND(L11,0)</f>
        <v>2491800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474187.39</v>
      </c>
      <c r="K12" s="241">
        <v>0</v>
      </c>
      <c r="L12" s="242">
        <f>+J12+K12</f>
        <v>474187.39</v>
      </c>
      <c r="M12" s="225"/>
      <c r="N12" s="50">
        <v>0</v>
      </c>
      <c r="O12" s="243">
        <f>ROUND(N12,0)+ROUND(L12,0)</f>
        <v>474187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164746.15</v>
      </c>
      <c r="K13" s="241">
        <v>0</v>
      </c>
      <c r="L13" s="242">
        <f t="shared" ref="L13:L17" si="0">+J13+K13</f>
        <v>164746.15</v>
      </c>
      <c r="M13" s="225"/>
      <c r="N13" s="50">
        <v>0</v>
      </c>
      <c r="O13" s="243">
        <f>ROUND(N13,0)+ROUND(L13,0)</f>
        <v>164746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248180.48000000001</v>
      </c>
      <c r="K14" s="241">
        <v>0</v>
      </c>
      <c r="L14" s="242">
        <f t="shared" si="0"/>
        <v>248180.48000000001</v>
      </c>
      <c r="M14" s="225"/>
      <c r="N14" s="50">
        <f>612960+436126</f>
        <v>1049086</v>
      </c>
      <c r="O14" s="243">
        <f>ROUND(N14,0)+ROUND(L14,0)</f>
        <v>1297266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57619.3</v>
      </c>
      <c r="K15" s="241">
        <v>0</v>
      </c>
      <c r="L15" s="242">
        <f t="shared" si="0"/>
        <v>57619.3</v>
      </c>
      <c r="M15" s="225"/>
      <c r="N15" s="50">
        <v>0</v>
      </c>
      <c r="O15" s="243">
        <f>ROUND(N15,0)+ROUND(L15,0)</f>
        <v>57619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7200</v>
      </c>
      <c r="G17" s="339"/>
      <c r="H17" s="55"/>
      <c r="I17" s="35"/>
      <c r="J17" s="240">
        <v>240398.72</v>
      </c>
      <c r="K17" s="241">
        <v>0</v>
      </c>
      <c r="L17" s="242">
        <f t="shared" si="0"/>
        <v>240398.72</v>
      </c>
      <c r="M17" s="225"/>
      <c r="N17" s="50">
        <v>0</v>
      </c>
      <c r="O17" s="243">
        <f>ROUND(N17,0)+ROUND(L17,0)</f>
        <v>240399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31616.35</v>
      </c>
      <c r="K18" s="247">
        <v>0</v>
      </c>
      <c r="L18" s="248">
        <f>+J18+K18</f>
        <v>31616.35</v>
      </c>
      <c r="M18" s="225"/>
      <c r="N18" s="58">
        <v>1894</v>
      </c>
      <c r="O18" s="249">
        <f>ROUND(N18,0)+ROUND(L18,0)</f>
        <v>33510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f>SUM(J11:J18)</f>
        <v>3708547.9400000004</v>
      </c>
      <c r="K20" s="251">
        <f t="array" ref="K20">SUM(ROUND(K11:K18,0))</f>
        <v>0</v>
      </c>
      <c r="L20" s="252">
        <f t="array" ref="L20">SUM(ROUND(L11:L18,0))</f>
        <v>3708547</v>
      </c>
      <c r="M20" s="67"/>
      <c r="N20" s="251">
        <f t="array" ref="N20">SUM(ROUND(N11:N18,0))</f>
        <v>1050980</v>
      </c>
      <c r="O20" s="253">
        <f t="array" ref="O20">SUM(ROUND(O11:O18,0))</f>
        <v>4759527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12288120.170000002</v>
      </c>
      <c r="K24" s="223">
        <v>0</v>
      </c>
      <c r="L24" s="258">
        <f>+J24+K24</f>
        <v>12288120.170000002</v>
      </c>
      <c r="M24" s="225"/>
      <c r="N24" s="223">
        <v>0</v>
      </c>
      <c r="O24" s="239">
        <f t="shared" ref="O24:O30" si="1">ROUND(N24,0)+ROUND(L24,0)</f>
        <v>12288120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3371334.7100000004</v>
      </c>
      <c r="K25" s="241">
        <v>0</v>
      </c>
      <c r="L25" s="242">
        <f>+J25+K25</f>
        <v>3371334.7100000004</v>
      </c>
      <c r="M25" s="225"/>
      <c r="N25" s="50">
        <v>806075</v>
      </c>
      <c r="O25" s="243">
        <f t="shared" si="1"/>
        <v>4177410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1092296.1099999999</v>
      </c>
      <c r="K26" s="241">
        <v>0</v>
      </c>
      <c r="L26" s="242">
        <f t="shared" ref="L26:L30" si="2">+J26+K26</f>
        <v>1092296.1099999999</v>
      </c>
      <c r="M26" s="225"/>
      <c r="N26" s="50">
        <v>0</v>
      </c>
      <c r="O26" s="243">
        <f t="shared" si="1"/>
        <v>1092296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942848.69999999984</v>
      </c>
      <c r="K27" s="241">
        <v>0</v>
      </c>
      <c r="L27" s="242">
        <f t="shared" si="2"/>
        <v>942848.69999999984</v>
      </c>
      <c r="M27" s="225"/>
      <c r="N27" s="50">
        <v>0</v>
      </c>
      <c r="O27" s="243">
        <f t="shared" si="1"/>
        <v>942849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1078534.1200000001</v>
      </c>
      <c r="K28" s="241">
        <v>0</v>
      </c>
      <c r="L28" s="242">
        <f t="shared" si="2"/>
        <v>1078534.1200000001</v>
      </c>
      <c r="M28" s="225"/>
      <c r="N28" s="50">
        <f>281280+97642+123231+146367+21000+7357</f>
        <v>676877</v>
      </c>
      <c r="O28" s="243">
        <f t="shared" si="1"/>
        <v>1755411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1730494.84</v>
      </c>
      <c r="K29" s="241">
        <v>0</v>
      </c>
      <c r="L29" s="242">
        <f t="shared" si="2"/>
        <v>1730494.84</v>
      </c>
      <c r="M29" s="225"/>
      <c r="N29" s="50">
        <v>0</v>
      </c>
      <c r="O29" s="243">
        <f t="shared" si="1"/>
        <v>1730495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2666453.5099999998</v>
      </c>
      <c r="K30" s="247">
        <v>0</v>
      </c>
      <c r="L30" s="248">
        <f t="shared" si="2"/>
        <v>2666453.5099999998</v>
      </c>
      <c r="M30" s="225"/>
      <c r="N30" s="58">
        <v>0</v>
      </c>
      <c r="O30" s="249">
        <f t="shared" si="1"/>
        <v>2666454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f>SUM(J24:J30)</f>
        <v>23170082.160000004</v>
      </c>
      <c r="K32" s="251">
        <f>SUM(K24:K30)</f>
        <v>0</v>
      </c>
      <c r="L32" s="252">
        <f t="array" ref="L32">SUM(ROUND(L24:L30,0))</f>
        <v>23170083</v>
      </c>
      <c r="M32" s="261"/>
      <c r="N32" s="251">
        <f t="array" ref="N32">SUM(ROUND(N24:N30,0))</f>
        <v>1482952</v>
      </c>
      <c r="O32" s="253">
        <f t="array" ref="O32">SUM(ROUND(O24:O30,0))</f>
        <v>24653035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f>J20-J32</f>
        <v>-19461534.220000003</v>
      </c>
      <c r="K34" s="263">
        <f>K20-K32</f>
        <v>0</v>
      </c>
      <c r="L34" s="264">
        <f>L20-L32</f>
        <v>-19461536</v>
      </c>
      <c r="M34" s="67"/>
      <c r="N34" s="263">
        <f>N20-N32</f>
        <v>-431972</v>
      </c>
      <c r="O34" s="265">
        <f>O20-O32</f>
        <v>-19893508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12074440</v>
      </c>
      <c r="K37" s="223">
        <v>0</v>
      </c>
      <c r="L37" s="238">
        <f>+J37+K37</f>
        <v>12074440</v>
      </c>
      <c r="M37" s="49"/>
      <c r="N37" s="223">
        <v>0</v>
      </c>
      <c r="O37" s="239">
        <f t="shared" ref="O37:O45" si="3">ROUND(N37,0)+ROUND(L37,0)</f>
        <v>12074440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3899486.6</v>
      </c>
      <c r="K38" s="241">
        <v>0</v>
      </c>
      <c r="L38" s="242">
        <f>+J38+K38</f>
        <v>3899486.6</v>
      </c>
      <c r="M38" s="49"/>
      <c r="N38" s="80">
        <v>0</v>
      </c>
      <c r="O38" s="243">
        <f t="shared" si="3"/>
        <v>3899487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426370.6</v>
      </c>
      <c r="K39" s="241">
        <v>0</v>
      </c>
      <c r="L39" s="242">
        <f t="shared" ref="L39:L45" si="4">+J39+K39</f>
        <v>426370.6</v>
      </c>
      <c r="M39" s="49"/>
      <c r="N39" s="80">
        <v>0</v>
      </c>
      <c r="O39" s="243">
        <f t="shared" si="3"/>
        <v>426371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41531.89</v>
      </c>
      <c r="K40" s="241">
        <v>0</v>
      </c>
      <c r="L40" s="242">
        <f t="shared" si="4"/>
        <v>41531.89</v>
      </c>
      <c r="M40" s="49"/>
      <c r="N40" s="80">
        <v>496773</v>
      </c>
      <c r="O40" s="243">
        <f t="shared" si="3"/>
        <v>538305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67"/>
      <c r="E41" s="268"/>
      <c r="F41" s="268"/>
      <c r="G41" s="35"/>
      <c r="H41" s="14"/>
      <c r="I41" s="15"/>
      <c r="J41" s="259">
        <v>0</v>
      </c>
      <c r="K41" s="241">
        <v>0</v>
      </c>
      <c r="L41" s="242">
        <f t="shared" si="4"/>
        <v>0</v>
      </c>
      <c r="M41" s="49"/>
      <c r="N41" s="80">
        <v>1201649</v>
      </c>
      <c r="O41" s="243">
        <f t="shared" si="3"/>
        <v>1201649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f t="shared" si="4"/>
        <v>0</v>
      </c>
      <c r="M42" s="49"/>
      <c r="N42" s="80">
        <v>0</v>
      </c>
      <c r="O42" s="243">
        <f t="shared" si="3"/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59">
        <v>0</v>
      </c>
      <c r="K43" s="241">
        <v>0</v>
      </c>
      <c r="L43" s="242">
        <f t="shared" si="4"/>
        <v>0</v>
      </c>
      <c r="M43" s="49"/>
      <c r="N43" s="80">
        <v>0</v>
      </c>
      <c r="O43" s="243">
        <f t="shared" si="3"/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-2062</v>
      </c>
      <c r="K44" s="241">
        <v>0</v>
      </c>
      <c r="L44" s="242">
        <f t="shared" si="4"/>
        <v>-2062</v>
      </c>
      <c r="M44" s="49"/>
      <c r="N44" s="80">
        <v>0</v>
      </c>
      <c r="O44" s="243">
        <f t="shared" si="3"/>
        <v>-2062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f t="shared" si="4"/>
        <v>0</v>
      </c>
      <c r="M45" s="49"/>
      <c r="N45" s="82">
        <v>0</v>
      </c>
      <c r="O45" s="249">
        <f t="shared" si="3"/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f>SUM(J37:J45)</f>
        <v>16439767.09</v>
      </c>
      <c r="K47" s="263">
        <f>SUM(K37:K45)</f>
        <v>0</v>
      </c>
      <c r="L47" s="264">
        <f t="array" ref="L47">SUM(ROUND(L37:L45,0))</f>
        <v>16439768</v>
      </c>
      <c r="M47" s="59"/>
      <c r="N47" s="263">
        <f t="array" ref="N47">SUM(ROUND(N37:N45,0))</f>
        <v>1698422</v>
      </c>
      <c r="O47" s="265">
        <f t="array" ref="O47">SUM(ROUND(O37:O45,0))</f>
        <v>18138190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f>J34+J47</f>
        <v>-3021767.1300000027</v>
      </c>
      <c r="K50" s="263">
        <f>K34+K47</f>
        <v>0</v>
      </c>
      <c r="L50" s="264">
        <f>L34+L47</f>
        <v>-3021768</v>
      </c>
      <c r="M50" s="59"/>
      <c r="N50" s="263">
        <f>N34+N47</f>
        <v>1266450</v>
      </c>
      <c r="O50" s="265">
        <f>O34+O47</f>
        <v>-1755318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5037476</v>
      </c>
      <c r="K52" s="223">
        <v>0</v>
      </c>
      <c r="L52" s="238">
        <f>+J52+K52</f>
        <v>5037476</v>
      </c>
      <c r="M52" s="49"/>
      <c r="N52" s="223">
        <v>0</v>
      </c>
      <c r="O52" s="239">
        <f>ROUND(N52,0)+ROUND(L52,0)</f>
        <v>5037476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390218.39</v>
      </c>
      <c r="K53" s="241">
        <v>0</v>
      </c>
      <c r="L53" s="242">
        <f>+J53+K53</f>
        <v>390218.39</v>
      </c>
      <c r="M53" s="225"/>
      <c r="N53" s="50">
        <v>0</v>
      </c>
      <c r="O53" s="243">
        <f>ROUND(N53,0)+ROUND(L53,0)</f>
        <v>390218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f t="shared" ref="L54:L55" si="5">+J54+K54</f>
        <v>0</v>
      </c>
      <c r="M54" s="225"/>
      <c r="N54" s="89">
        <v>133457</v>
      </c>
      <c r="O54" s="243">
        <f>ROUND(N54,0)+ROUND(L54,0)</f>
        <v>133457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f t="shared" si="5"/>
        <v>0</v>
      </c>
      <c r="M55" s="225"/>
      <c r="N55" s="58">
        <v>0</v>
      </c>
      <c r="O55" s="249">
        <f>ROUND(N55,0)+ROUND(L55,0)</f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f>SUM(J52:J55)</f>
        <v>5427694.3899999997</v>
      </c>
      <c r="K57" s="251">
        <f>SUM(K52:K55)</f>
        <v>0</v>
      </c>
      <c r="L57" s="253">
        <f t="array" ref="L57">SUM(ROUND(L52:L55,0))</f>
        <v>5427694</v>
      </c>
      <c r="M57" s="261"/>
      <c r="N57" s="251">
        <f t="array" ref="N57">SUM(ROUND(N52:N55,0))</f>
        <v>133457</v>
      </c>
      <c r="O57" s="253">
        <f t="array" ref="O57">SUM(ROUND(O52:O55,0))</f>
        <v>5561151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f>J50+J57</f>
        <v>2405927.259999997</v>
      </c>
      <c r="K59" s="263">
        <f>K50+K57</f>
        <v>0</v>
      </c>
      <c r="L59" s="265">
        <f>L50+L57</f>
        <v>2405926</v>
      </c>
      <c r="M59" s="92"/>
      <c r="N59" s="263">
        <f>N50+N57</f>
        <v>1399907</v>
      </c>
      <c r="O59" s="265">
        <f>O50+O57</f>
        <v>3805833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f>VLOOKUP($C$1,[7]VLOOKUPS!A44:D71,2,FALSE)</f>
        <v>55609134</v>
      </c>
      <c r="M61" s="49"/>
      <c r="N61" s="96">
        <f>VLOOKUP($C$1,[7]VLOOKUPS!A44:D71,3,FALSE)</f>
        <v>17869007</v>
      </c>
      <c r="O61" s="240">
        <f>ROUND(N61,0)+ROUND(L61,0)</f>
        <v>73478141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f>ROUND(N62,0)+ROUND(L62,0)</f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f t="array" ref="L64">SUM(ROUND(L61:L62,0))</f>
        <v>55609134</v>
      </c>
      <c r="M64" s="92"/>
      <c r="N64" s="90">
        <f t="array" ref="N64">SUM(ROUND(N61:N62,0))</f>
        <v>17869007</v>
      </c>
      <c r="O64" s="90">
        <f t="array" ref="O64">SUM(ROUND(O61:O62,0))</f>
        <v>73478141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f>L59+L64</f>
        <v>58015060</v>
      </c>
      <c r="M66" s="105"/>
      <c r="N66" s="251">
        <f>N59+N64</f>
        <v>19268914</v>
      </c>
      <c r="O66" s="251">
        <f>O59+O64</f>
        <v>77283974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L66-[7]SNP!M120</f>
        <v>0</v>
      </c>
      <c r="M69" s="110"/>
      <c r="N69" s="111">
        <f>N66-[7]SNP!O120</f>
        <v>0</v>
      </c>
      <c r="O69" s="111">
        <f>O66-[7]SNP!P120</f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518" priority="24" operator="notEqual">
      <formula>0</formula>
    </cfRule>
    <cfRule type="cellIs" dxfId="517" priority="25" operator="equal">
      <formula>0</formula>
    </cfRule>
  </conditionalFormatting>
  <conditionalFormatting sqref="F11:G11 N62 L62 N17:N18 N11:N15 L16 F17:G17 N24:N30 N37:N45 N52:N55">
    <cfRule type="containsBlanks" dxfId="516" priority="20">
      <formula>LEN(TRIM(F11))=0</formula>
    </cfRule>
    <cfRule type="cellIs" dxfId="515" priority="21" operator="notEqual">
      <formula>0</formula>
    </cfRule>
  </conditionalFormatting>
  <conditionalFormatting sqref="N11">
    <cfRule type="cellIs" dxfId="514" priority="19" operator="notEqual">
      <formula>N20</formula>
    </cfRule>
  </conditionalFormatting>
  <conditionalFormatting sqref="O69">
    <cfRule type="cellIs" dxfId="513" priority="15" operator="notEqual">
      <formula>0</formula>
    </cfRule>
    <cfRule type="cellIs" dxfId="512" priority="16" operator="equal">
      <formula>0</formula>
    </cfRule>
  </conditionalFormatting>
  <conditionalFormatting sqref="K11:K15 K17:K18">
    <cfRule type="containsBlanks" dxfId="511" priority="13">
      <formula>LEN(TRIM(K11))=0</formula>
    </cfRule>
    <cfRule type="cellIs" dxfId="510" priority="14" operator="notEqual">
      <formula>0</formula>
    </cfRule>
  </conditionalFormatting>
  <conditionalFormatting sqref="K11:K15 K17:K18">
    <cfRule type="cellIs" dxfId="509" priority="12" operator="notEqual">
      <formula>K20</formula>
    </cfRule>
  </conditionalFormatting>
  <conditionalFormatting sqref="K16">
    <cfRule type="containsBlanks" dxfId="508" priority="10">
      <formula>LEN(TRIM(K16))=0</formula>
    </cfRule>
    <cfRule type="cellIs" dxfId="507" priority="11" operator="notEqual">
      <formula>0</formula>
    </cfRule>
  </conditionalFormatting>
  <conditionalFormatting sqref="K52 K37 K24">
    <cfRule type="containsBlanks" dxfId="506" priority="8">
      <formula>LEN(TRIM(K24))=0</formula>
    </cfRule>
    <cfRule type="cellIs" dxfId="505" priority="9" operator="notEqual">
      <formula>0</formula>
    </cfRule>
  </conditionalFormatting>
  <conditionalFormatting sqref="K52 K37 K24">
    <cfRule type="cellIs" dxfId="504" priority="7" operator="notEqual">
      <formula>K33</formula>
    </cfRule>
  </conditionalFormatting>
  <conditionalFormatting sqref="K53:K55 K38:K45 K25:K30">
    <cfRule type="containsBlanks" dxfId="503" priority="5">
      <formula>LEN(TRIM(K25))=0</formula>
    </cfRule>
    <cfRule type="cellIs" dxfId="502" priority="6" operator="notEqual">
      <formula>0</formula>
    </cfRule>
  </conditionalFormatting>
  <conditionalFormatting sqref="K53:K55 K38:K45 K25:K30">
    <cfRule type="cellIs" dxfId="501" priority="4" operator="notEqual">
      <formula>K34</formula>
    </cfRule>
  </conditionalFormatting>
  <conditionalFormatting sqref="N24">
    <cfRule type="cellIs" dxfId="500" priority="3" operator="notEqual">
      <formula>N33</formula>
    </cfRule>
  </conditionalFormatting>
  <conditionalFormatting sqref="N37">
    <cfRule type="cellIs" dxfId="499" priority="2" operator="notEqual">
      <formula>N46</formula>
    </cfRule>
  </conditionalFormatting>
  <conditionalFormatting sqref="N52">
    <cfRule type="cellIs" dxfId="498" priority="1" operator="notEqual">
      <formula>N61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28515625" style="11" bestFit="1" customWidth="1"/>
    <col min="11" max="11" width="14.855468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104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[8]SNP!$O$9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39">
        <v>13919260</v>
      </c>
      <c r="G11" s="339"/>
      <c r="H11" s="45"/>
      <c r="I11" s="36"/>
      <c r="J11" s="237">
        <v>19970414.420000002</v>
      </c>
      <c r="K11" s="223">
        <v>0</v>
      </c>
      <c r="L11" s="238">
        <f>+J11+K11</f>
        <v>19970414.420000002</v>
      </c>
      <c r="M11" s="224"/>
      <c r="N11" s="223">
        <v>0</v>
      </c>
      <c r="O11" s="239">
        <f>ROUND(N11,0)+ROUND(L11,0)</f>
        <v>19970414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40">
        <v>3513683.52</v>
      </c>
      <c r="K12" s="241">
        <v>-18819.64</v>
      </c>
      <c r="L12" s="242">
        <f>+J12+K12</f>
        <v>3494863.88</v>
      </c>
      <c r="M12" s="225"/>
      <c r="N12" s="50">
        <v>0</v>
      </c>
      <c r="O12" s="243">
        <f>ROUND(N12,0)+ROUND(L12,0)</f>
        <v>3494864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40">
        <v>992385.85000000009</v>
      </c>
      <c r="K13" s="241">
        <v>18819.64</v>
      </c>
      <c r="L13" s="242">
        <f t="shared" ref="L13:L17" si="0">+J13+K13</f>
        <v>1011205.4900000001</v>
      </c>
      <c r="M13" s="225"/>
      <c r="N13" s="50">
        <v>382766</v>
      </c>
      <c r="O13" s="243">
        <f>ROUND(N13,0)+ROUND(L13,0)</f>
        <v>1393971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40">
        <v>162868.16999999998</v>
      </c>
      <c r="K14" s="241">
        <v>0</v>
      </c>
      <c r="L14" s="242">
        <f t="shared" si="0"/>
        <v>162868.16999999998</v>
      </c>
      <c r="M14" s="225"/>
      <c r="N14" s="50">
        <v>0</v>
      </c>
      <c r="O14" s="243">
        <f>ROUND(N14,0)+ROUND(L14,0)</f>
        <v>162868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40">
        <v>199528.46999999997</v>
      </c>
      <c r="K15" s="241">
        <v>54450.78</v>
      </c>
      <c r="L15" s="242">
        <f t="shared" si="0"/>
        <v>253979.24999999997</v>
      </c>
      <c r="M15" s="225"/>
      <c r="N15" s="50">
        <v>0</v>
      </c>
      <c r="O15" s="243">
        <f>ROUND(N15,0)+ROUND(L15,0)</f>
        <v>253979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35"/>
      <c r="K16" s="244"/>
      <c r="L16" s="245"/>
      <c r="M16" s="225"/>
      <c r="N16" s="35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39">
        <v>0</v>
      </c>
      <c r="G17" s="339"/>
      <c r="H17" s="55"/>
      <c r="I17" s="35"/>
      <c r="J17" s="240">
        <v>1116564.7799999998</v>
      </c>
      <c r="K17" s="241">
        <v>-54450.78</v>
      </c>
      <c r="L17" s="242">
        <f t="shared" si="0"/>
        <v>1062113.9999999998</v>
      </c>
      <c r="M17" s="225"/>
      <c r="N17" s="50">
        <v>0</v>
      </c>
      <c r="O17" s="243">
        <f>ROUND(N17,0)+ROUND(L17,0)</f>
        <v>1062114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6">
        <v>958039.93000000017</v>
      </c>
      <c r="K18" s="247">
        <v>23822.080000000002</v>
      </c>
      <c r="L18" s="248">
        <f>+J18+K18</f>
        <v>981862.01000000013</v>
      </c>
      <c r="M18" s="225"/>
      <c r="N18" s="58">
        <v>908528</v>
      </c>
      <c r="O18" s="249">
        <f>ROUND(N18,0)+ROUND(L18,0)</f>
        <v>1890390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51">
        <f>SUM(J11:J18)</f>
        <v>26913485.140000004</v>
      </c>
      <c r="K20" s="251">
        <f t="array" ref="K20">SUM(ROUND(K11:K18,0))</f>
        <v>23822</v>
      </c>
      <c r="L20" s="252">
        <f t="array" ref="L20">SUM(ROUND(L11:L18,0))</f>
        <v>26937306</v>
      </c>
      <c r="M20" s="67"/>
      <c r="N20" s="251">
        <f t="array" ref="N20">SUM(ROUND(N11:N18,0))</f>
        <v>1291294</v>
      </c>
      <c r="O20" s="253">
        <f t="array" ref="O20">SUM(ROUND(O11:O18,0))</f>
        <v>28228600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15"/>
      <c r="K21" s="15"/>
      <c r="L21" s="254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5"/>
      <c r="K22" s="15"/>
      <c r="L22" s="255"/>
      <c r="M22" s="17"/>
      <c r="N22" s="1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5"/>
      <c r="K23" s="15"/>
      <c r="L23" s="255"/>
      <c r="M23" s="17"/>
      <c r="N23" s="1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57">
        <v>69764135.253999993</v>
      </c>
      <c r="K24" s="223">
        <v>0</v>
      </c>
      <c r="L24" s="258">
        <f>+J24+K24</f>
        <v>69764135.253999993</v>
      </c>
      <c r="M24" s="225"/>
      <c r="N24" s="223">
        <v>377134</v>
      </c>
      <c r="O24" s="239">
        <f t="shared" ref="O24:O30" si="1">ROUND(N24,0)+ROUND(L24,0)</f>
        <v>70141269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59">
        <v>15669451.550000001</v>
      </c>
      <c r="K25" s="241">
        <v>0</v>
      </c>
      <c r="L25" s="242">
        <f>+J25+K25</f>
        <v>15669451.550000001</v>
      </c>
      <c r="M25" s="225"/>
      <c r="N25" s="50">
        <v>809709</v>
      </c>
      <c r="O25" s="243">
        <f t="shared" si="1"/>
        <v>16479161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59">
        <v>3765767.2800000003</v>
      </c>
      <c r="K26" s="241">
        <v>0</v>
      </c>
      <c r="L26" s="242">
        <f t="shared" ref="L26:L30" si="2">+J26+K26</f>
        <v>3765767.2800000003</v>
      </c>
      <c r="M26" s="225"/>
      <c r="N26" s="50">
        <v>0</v>
      </c>
      <c r="O26" s="243">
        <f t="shared" si="1"/>
        <v>3765767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59">
        <v>5006536.1400000006</v>
      </c>
      <c r="K27" s="241">
        <v>0</v>
      </c>
      <c r="L27" s="242">
        <f t="shared" si="2"/>
        <v>5006536.1400000006</v>
      </c>
      <c r="M27" s="225"/>
      <c r="N27" s="50">
        <v>26174</v>
      </c>
      <c r="O27" s="243">
        <f t="shared" si="1"/>
        <v>5032710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59">
        <v>5207945.2</v>
      </c>
      <c r="K28" s="241">
        <v>0</v>
      </c>
      <c r="L28" s="242">
        <f t="shared" si="2"/>
        <v>5207945.2</v>
      </c>
      <c r="M28" s="225"/>
      <c r="N28" s="50">
        <v>655209</v>
      </c>
      <c r="O28" s="243">
        <f t="shared" si="1"/>
        <v>5863154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59">
        <v>10792987.629999999</v>
      </c>
      <c r="K29" s="241">
        <f>-2935.73+17495</f>
        <v>14559.27</v>
      </c>
      <c r="L29" s="242">
        <f t="shared" si="2"/>
        <v>10807546.899999999</v>
      </c>
      <c r="M29" s="225"/>
      <c r="N29" s="50">
        <v>1661</v>
      </c>
      <c r="O29" s="243">
        <f t="shared" si="1"/>
        <v>10809208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60">
        <v>8549726.1199999992</v>
      </c>
      <c r="K30" s="247">
        <v>0</v>
      </c>
      <c r="L30" s="248">
        <f t="shared" si="2"/>
        <v>8549726.1199999992</v>
      </c>
      <c r="M30" s="225"/>
      <c r="N30" s="58">
        <v>0</v>
      </c>
      <c r="O30" s="249">
        <f t="shared" si="1"/>
        <v>8549726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15"/>
      <c r="K31" s="15"/>
      <c r="L31" s="254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51">
        <f>SUM(J24:J30)</f>
        <v>118756549.17399999</v>
      </c>
      <c r="K32" s="251">
        <f>SUM(K24:K30)</f>
        <v>14559.27</v>
      </c>
      <c r="L32" s="252">
        <f t="array" ref="L32">SUM(ROUND(L24:L30,0))</f>
        <v>118771108</v>
      </c>
      <c r="M32" s="261"/>
      <c r="N32" s="251">
        <f t="array" ref="N32">SUM(ROUND(N24:N30,0))</f>
        <v>1869887</v>
      </c>
      <c r="O32" s="253">
        <f t="array" ref="O32">SUM(ROUND(O24:O30,0))</f>
        <v>120640995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262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63">
        <f>J20-J32</f>
        <v>-91843064.033999994</v>
      </c>
      <c r="K34" s="263">
        <f>K20-K32</f>
        <v>9262.73</v>
      </c>
      <c r="L34" s="264">
        <f>L20-L32</f>
        <v>-91833802</v>
      </c>
      <c r="M34" s="67"/>
      <c r="N34" s="263">
        <f>N20-N32</f>
        <v>-578593</v>
      </c>
      <c r="O34" s="265">
        <f>O20-O32</f>
        <v>-92412395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15"/>
      <c r="K35" s="15"/>
      <c r="L35" s="254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5"/>
      <c r="K36" s="15"/>
      <c r="L36" s="255"/>
      <c r="M36" s="17"/>
      <c r="N36" s="1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57">
        <v>54680295.909999996</v>
      </c>
      <c r="K37" s="223">
        <v>0</v>
      </c>
      <c r="L37" s="238">
        <f>+J37+K37</f>
        <v>54680295.909999996</v>
      </c>
      <c r="M37" s="49"/>
      <c r="N37" s="223">
        <v>0</v>
      </c>
      <c r="O37" s="239">
        <f t="shared" ref="O37:O45" si="3">ROUND(N37,0)+ROUND(L37,0)</f>
        <v>54680296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59">
        <v>27051903.16</v>
      </c>
      <c r="K38" s="241">
        <v>0</v>
      </c>
      <c r="L38" s="242">
        <f>+J38+K38</f>
        <v>27051903.16</v>
      </c>
      <c r="M38" s="49"/>
      <c r="N38" s="80">
        <v>0</v>
      </c>
      <c r="O38" s="243">
        <f t="shared" si="3"/>
        <v>27051903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59">
        <v>2009770.36</v>
      </c>
      <c r="K39" s="241">
        <v>0</v>
      </c>
      <c r="L39" s="242">
        <f t="shared" ref="L39:L45" si="4">+J39+K39</f>
        <v>2009770.36</v>
      </c>
      <c r="M39" s="49"/>
      <c r="N39" s="80">
        <v>273007</v>
      </c>
      <c r="O39" s="243">
        <f t="shared" si="3"/>
        <v>2282777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59">
        <v>740686.66999999993</v>
      </c>
      <c r="K40" s="241">
        <v>-1142071.1000000001</v>
      </c>
      <c r="L40" s="242">
        <f t="shared" si="4"/>
        <v>-401384.43000000017</v>
      </c>
      <c r="M40" s="49"/>
      <c r="N40" s="80">
        <v>515484</v>
      </c>
      <c r="O40" s="243">
        <f t="shared" si="3"/>
        <v>114100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67"/>
      <c r="E41" s="268"/>
      <c r="F41" s="268"/>
      <c r="G41" s="35"/>
      <c r="H41" s="14"/>
      <c r="I41" s="15"/>
      <c r="J41" s="259">
        <v>-1142071.1000000001</v>
      </c>
      <c r="K41" s="241">
        <v>1142071.1000000001</v>
      </c>
      <c r="L41" s="242">
        <f t="shared" si="4"/>
        <v>0</v>
      </c>
      <c r="M41" s="49"/>
      <c r="N41" s="80">
        <v>919644</v>
      </c>
      <c r="O41" s="243">
        <f t="shared" si="3"/>
        <v>919644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59">
        <v>0</v>
      </c>
      <c r="K42" s="241">
        <v>0</v>
      </c>
      <c r="L42" s="242">
        <f t="shared" si="4"/>
        <v>0</v>
      </c>
      <c r="M42" s="49"/>
      <c r="N42" s="80">
        <v>0</v>
      </c>
      <c r="O42" s="243">
        <f t="shared" si="3"/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Loss on Disposal of Capital Assets</v>
      </c>
      <c r="D43" s="35"/>
      <c r="E43" s="14"/>
      <c r="F43" s="14"/>
      <c r="G43" s="35"/>
      <c r="H43" s="14"/>
      <c r="I43" s="15"/>
      <c r="J43" s="259">
        <v>-1035597.2900000002</v>
      </c>
      <c r="K43" s="241">
        <v>0</v>
      </c>
      <c r="L43" s="242">
        <f t="shared" si="4"/>
        <v>-1035597.2900000002</v>
      </c>
      <c r="M43" s="49"/>
      <c r="N43" s="80">
        <v>0</v>
      </c>
      <c r="O43" s="243">
        <f t="shared" si="3"/>
        <v>-1035597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40">
        <v>-467498.23999999999</v>
      </c>
      <c r="K44" s="241">
        <v>0</v>
      </c>
      <c r="L44" s="242">
        <f t="shared" si="4"/>
        <v>-467498.23999999999</v>
      </c>
      <c r="M44" s="49"/>
      <c r="N44" s="80">
        <v>0</v>
      </c>
      <c r="O44" s="243">
        <f t="shared" si="3"/>
        <v>-467498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69">
        <v>0</v>
      </c>
      <c r="K45" s="247">
        <v>0</v>
      </c>
      <c r="L45" s="248">
        <f t="shared" si="4"/>
        <v>0</v>
      </c>
      <c r="M45" s="49"/>
      <c r="N45" s="82">
        <v>0</v>
      </c>
      <c r="O45" s="249">
        <f t="shared" si="3"/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35"/>
      <c r="K46" s="35"/>
      <c r="L46" s="242"/>
      <c r="M46" s="84"/>
      <c r="N46" s="8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63">
        <f>SUM(J37:J45)</f>
        <v>81837489.469999999</v>
      </c>
      <c r="K47" s="263">
        <f>SUM(K37:K45)</f>
        <v>0</v>
      </c>
      <c r="L47" s="264">
        <f t="array" ref="L47">SUM(ROUND(L37:L45,0))</f>
        <v>81837490</v>
      </c>
      <c r="M47" s="59"/>
      <c r="N47" s="263">
        <f t="array" ref="N47">SUM(ROUND(N37:N45,0))</f>
        <v>1708135</v>
      </c>
      <c r="O47" s="265">
        <f t="array" ref="O47">SUM(ROUND(O37:O45,0))</f>
        <v>83545625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242"/>
      <c r="M49" s="35"/>
      <c r="N49" s="35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63">
        <f>J34+J47</f>
        <v>-10005574.563999996</v>
      </c>
      <c r="K50" s="263">
        <f>K34+K47</f>
        <v>9262.73</v>
      </c>
      <c r="L50" s="264">
        <f>L34+L47</f>
        <v>-9996312</v>
      </c>
      <c r="M50" s="59"/>
      <c r="N50" s="263">
        <f>N34+N47</f>
        <v>1129542</v>
      </c>
      <c r="O50" s="265">
        <f>O34+O47</f>
        <v>-8866770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5"/>
      <c r="K51" s="15"/>
      <c r="L51" s="254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57">
        <v>24606347</v>
      </c>
      <c r="K52" s="223">
        <v>0</v>
      </c>
      <c r="L52" s="238">
        <f>+J52+K52</f>
        <v>24606347</v>
      </c>
      <c r="M52" s="49"/>
      <c r="N52" s="223">
        <v>0</v>
      </c>
      <c r="O52" s="239">
        <f>ROUND(N52,0)+ROUND(L52,0)</f>
        <v>24606347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59">
        <v>2577274.79</v>
      </c>
      <c r="K53" s="241">
        <v>56309.5</v>
      </c>
      <c r="L53" s="242">
        <f>+J53+K53</f>
        <v>2633584.29</v>
      </c>
      <c r="M53" s="225"/>
      <c r="N53" s="50">
        <v>0</v>
      </c>
      <c r="O53" s="243">
        <f>ROUND(N53,0)+ROUND(L53,0)</f>
        <v>2633584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59">
        <v>0</v>
      </c>
      <c r="K54" s="241">
        <v>0</v>
      </c>
      <c r="L54" s="242">
        <f t="shared" ref="L54:L55" si="5">+J54+K54</f>
        <v>0</v>
      </c>
      <c r="M54" s="225"/>
      <c r="N54" s="89">
        <v>0</v>
      </c>
      <c r="O54" s="243">
        <f>ROUND(N54,0)+ROUND(L54,0)</f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60">
        <v>0</v>
      </c>
      <c r="K55" s="247">
        <v>0</v>
      </c>
      <c r="L55" s="248">
        <f t="shared" si="5"/>
        <v>0</v>
      </c>
      <c r="M55" s="225"/>
      <c r="N55" s="58">
        <v>0</v>
      </c>
      <c r="O55" s="249">
        <f>ROUND(N55,0)+ROUND(L55,0)</f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51">
        <f>SUM(J52:J55)</f>
        <v>27183621.789999999</v>
      </c>
      <c r="K57" s="251">
        <f>SUM(K52:K55)</f>
        <v>56309.5</v>
      </c>
      <c r="L57" s="253">
        <f t="array" ref="L57">SUM(ROUND(L52:L55,0))</f>
        <v>27239931</v>
      </c>
      <c r="M57" s="261"/>
      <c r="N57" s="251">
        <f t="array" ref="N57">SUM(ROUND(N52:N55,0))</f>
        <v>0</v>
      </c>
      <c r="O57" s="253">
        <f t="array" ref="O57">SUM(ROUND(O52:O55,0))</f>
        <v>27239931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3">
        <f>J50+J57</f>
        <v>17178047.226000004</v>
      </c>
      <c r="K59" s="263">
        <f>K50+K57</f>
        <v>65572.23</v>
      </c>
      <c r="L59" s="265">
        <f>L50+L57</f>
        <v>17243619</v>
      </c>
      <c r="M59" s="92"/>
      <c r="N59" s="263">
        <f>N50+N57</f>
        <v>1129542</v>
      </c>
      <c r="O59" s="265">
        <f>O50+O57</f>
        <v>18373161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15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f>VLOOKUP($C$1,[8]VLOOKUPS!A44:D71,2,FALSE)</f>
        <v>169361487</v>
      </c>
      <c r="M61" s="49"/>
      <c r="N61" s="96">
        <f>VLOOKUP($C$1,[8]VLOOKUPS!A44:D71,3,FALSE)</f>
        <v>24949336</v>
      </c>
      <c r="O61" s="240">
        <f>ROUND(N61,0)+ROUND(L61,0)</f>
        <v>194310823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15"/>
      <c r="K62" s="15"/>
      <c r="L62" s="82"/>
      <c r="M62" s="49"/>
      <c r="N62" s="82"/>
      <c r="O62" s="246">
        <f>ROUND(N62,0)+ROUND(L62,0)</f>
        <v>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36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60"/>
      <c r="K64" s="60"/>
      <c r="L64" s="90">
        <f t="array" ref="L64">SUM(ROUND(L61:L62,0))</f>
        <v>169361487</v>
      </c>
      <c r="M64" s="92"/>
      <c r="N64" s="90">
        <f t="array" ref="N64">SUM(ROUND(N61:N62,0))</f>
        <v>24949336</v>
      </c>
      <c r="O64" s="90">
        <f t="array" ref="O64">SUM(ROUND(O61:O62,0))</f>
        <v>194310823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36"/>
      <c r="K65" s="36"/>
      <c r="L65" s="102"/>
      <c r="M65" s="60"/>
      <c r="N65" s="60"/>
      <c r="O65" s="60"/>
      <c r="P65" s="61"/>
    </row>
    <row r="66" spans="1:16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3"/>
      <c r="K66" s="103"/>
      <c r="L66" s="251">
        <f>L59+L64</f>
        <v>186605106</v>
      </c>
      <c r="M66" s="105"/>
      <c r="N66" s="251">
        <f>N59+N64</f>
        <v>26078878</v>
      </c>
      <c r="O66" s="251">
        <f>O59+O64</f>
        <v>212683984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L66-[8]SNP!M120</f>
        <v>0</v>
      </c>
      <c r="M69" s="110"/>
      <c r="N69" s="111">
        <f>N66-[8]SNP!O120</f>
        <v>0</v>
      </c>
      <c r="O69" s="111">
        <f>O66-[8]SNP!P120</f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497" priority="24" operator="notEqual">
      <formula>0</formula>
    </cfRule>
    <cfRule type="cellIs" dxfId="496" priority="25" operator="equal">
      <formula>0</formula>
    </cfRule>
  </conditionalFormatting>
  <conditionalFormatting sqref="F11:G11 N62 L62 N17:N18 N11:N15 L16 F17:G17 N24:N30 N37:N45 N52:N55">
    <cfRule type="containsBlanks" dxfId="495" priority="20">
      <formula>LEN(TRIM(F11))=0</formula>
    </cfRule>
    <cfRule type="cellIs" dxfId="494" priority="21" operator="notEqual">
      <formula>0</formula>
    </cfRule>
  </conditionalFormatting>
  <conditionalFormatting sqref="N11">
    <cfRule type="cellIs" dxfId="493" priority="19" operator="notEqual">
      <formula>N20</formula>
    </cfRule>
  </conditionalFormatting>
  <conditionalFormatting sqref="O69">
    <cfRule type="cellIs" dxfId="492" priority="15" operator="notEqual">
      <formula>0</formula>
    </cfRule>
    <cfRule type="cellIs" dxfId="491" priority="16" operator="equal">
      <formula>0</formula>
    </cfRule>
  </conditionalFormatting>
  <conditionalFormatting sqref="K11:K15 K17:K18">
    <cfRule type="containsBlanks" dxfId="490" priority="13">
      <formula>LEN(TRIM(K11))=0</formula>
    </cfRule>
    <cfRule type="cellIs" dxfId="489" priority="14" operator="notEqual">
      <formula>0</formula>
    </cfRule>
  </conditionalFormatting>
  <conditionalFormatting sqref="K11:K15 K17:K18">
    <cfRule type="cellIs" dxfId="488" priority="12" operator="notEqual">
      <formula>K20</formula>
    </cfRule>
  </conditionalFormatting>
  <conditionalFormatting sqref="K16">
    <cfRule type="containsBlanks" dxfId="487" priority="10">
      <formula>LEN(TRIM(K16))=0</formula>
    </cfRule>
    <cfRule type="cellIs" dxfId="486" priority="11" operator="notEqual">
      <formula>0</formula>
    </cfRule>
  </conditionalFormatting>
  <conditionalFormatting sqref="K52 K37 K24">
    <cfRule type="containsBlanks" dxfId="485" priority="8">
      <formula>LEN(TRIM(K24))=0</formula>
    </cfRule>
    <cfRule type="cellIs" dxfId="484" priority="9" operator="notEqual">
      <formula>0</formula>
    </cfRule>
  </conditionalFormatting>
  <conditionalFormatting sqref="K52 K37 K24">
    <cfRule type="cellIs" dxfId="483" priority="7" operator="notEqual">
      <formula>K33</formula>
    </cfRule>
  </conditionalFormatting>
  <conditionalFormatting sqref="K53:K55 K38:K45 K25:K30">
    <cfRule type="containsBlanks" dxfId="482" priority="5">
      <formula>LEN(TRIM(K25))=0</formula>
    </cfRule>
    <cfRule type="cellIs" dxfId="481" priority="6" operator="notEqual">
      <formula>0</formula>
    </cfRule>
  </conditionalFormatting>
  <conditionalFormatting sqref="K53:K55 K38:K45 K25:K30">
    <cfRule type="cellIs" dxfId="480" priority="4" operator="notEqual">
      <formula>K34</formula>
    </cfRule>
  </conditionalFormatting>
  <conditionalFormatting sqref="N24">
    <cfRule type="cellIs" dxfId="479" priority="3" operator="notEqual">
      <formula>N33</formula>
    </cfRule>
  </conditionalFormatting>
  <conditionalFormatting sqref="N37">
    <cfRule type="cellIs" dxfId="478" priority="2" operator="notEqual">
      <formula>N46</formula>
    </cfRule>
  </conditionalFormatting>
  <conditionalFormatting sqref="N52">
    <cfRule type="cellIs" dxfId="477" priority="1" operator="notEqual">
      <formula>N61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28515625" style="11" bestFit="1" customWidth="1"/>
    <col min="11" max="11" width="15.71093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313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[9]SNP!$O$9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40">
        <v>19921377.239999998</v>
      </c>
      <c r="G11" s="340"/>
      <c r="H11" s="295"/>
      <c r="I11" s="189"/>
      <c r="J11" s="239">
        <v>17128320.59</v>
      </c>
      <c r="K11" s="274">
        <v>-85061.77</v>
      </c>
      <c r="L11" s="239">
        <v>17043258.82</v>
      </c>
      <c r="M11" s="224"/>
      <c r="N11" s="274">
        <v>0</v>
      </c>
      <c r="O11" s="239">
        <v>17043259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296"/>
      <c r="G12" s="285"/>
      <c r="H12" s="280"/>
      <c r="I12" s="243"/>
      <c r="J12" s="243">
        <v>979079.97</v>
      </c>
      <c r="K12" s="275">
        <v>0</v>
      </c>
      <c r="L12" s="243">
        <v>979079.97</v>
      </c>
      <c r="M12" s="276"/>
      <c r="N12" s="275">
        <v>0</v>
      </c>
      <c r="O12" s="243">
        <v>979080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296"/>
      <c r="G13" s="296"/>
      <c r="H13" s="297"/>
      <c r="I13" s="243"/>
      <c r="J13" s="243">
        <v>2325673.7999999998</v>
      </c>
      <c r="K13" s="275">
        <v>0</v>
      </c>
      <c r="L13" s="243">
        <v>2325673.7999999998</v>
      </c>
      <c r="M13" s="276"/>
      <c r="N13" s="275">
        <v>0</v>
      </c>
      <c r="O13" s="243">
        <v>2325674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296"/>
      <c r="G14" s="296"/>
      <c r="H14" s="297"/>
      <c r="I14" s="243"/>
      <c r="J14" s="243">
        <v>4298876.13</v>
      </c>
      <c r="K14" s="275">
        <v>0</v>
      </c>
      <c r="L14" s="243">
        <v>4298876.13</v>
      </c>
      <c r="M14" s="276"/>
      <c r="N14" s="275">
        <v>1172288</v>
      </c>
      <c r="O14" s="243">
        <v>5471164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296"/>
      <c r="G15" s="296"/>
      <c r="H15" s="243"/>
      <c r="I15" s="243"/>
      <c r="J15" s="243">
        <v>650007.75</v>
      </c>
      <c r="K15" s="275">
        <v>0</v>
      </c>
      <c r="L15" s="243">
        <v>650007.75</v>
      </c>
      <c r="M15" s="276"/>
      <c r="N15" s="275">
        <v>0</v>
      </c>
      <c r="O15" s="243">
        <v>650008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298"/>
      <c r="G16" s="285"/>
      <c r="H16" s="299"/>
      <c r="I16" s="243"/>
      <c r="J16" s="243"/>
      <c r="K16" s="277"/>
      <c r="L16" s="278"/>
      <c r="M16" s="276"/>
      <c r="N16" s="243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40">
        <v>0</v>
      </c>
      <c r="G17" s="340"/>
      <c r="H17" s="299"/>
      <c r="I17" s="243"/>
      <c r="J17" s="243">
        <v>4909290.7299999995</v>
      </c>
      <c r="K17" s="275">
        <v>-193245.19</v>
      </c>
      <c r="L17" s="243">
        <v>4716045.5399999991</v>
      </c>
      <c r="M17" s="276"/>
      <c r="N17" s="275">
        <v>0</v>
      </c>
      <c r="O17" s="243">
        <v>4716046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297"/>
      <c r="G18" s="297"/>
      <c r="H18" s="297"/>
      <c r="I18" s="189"/>
      <c r="J18" s="249">
        <v>584184.39</v>
      </c>
      <c r="K18" s="279">
        <v>28307.559999999998</v>
      </c>
      <c r="L18" s="249">
        <v>612491.94999999995</v>
      </c>
      <c r="M18" s="276"/>
      <c r="N18" s="279">
        <v>162850</v>
      </c>
      <c r="O18" s="249">
        <v>775342</v>
      </c>
      <c r="P18" s="51"/>
    </row>
    <row r="19" spans="1:16" s="64" customFormat="1">
      <c r="A19" s="52"/>
      <c r="B19" s="56"/>
      <c r="C19" s="36"/>
      <c r="D19" s="36"/>
      <c r="E19" s="36"/>
      <c r="F19" s="189"/>
      <c r="G19" s="189"/>
      <c r="H19" s="189"/>
      <c r="I19" s="189"/>
      <c r="J19" s="189"/>
      <c r="K19" s="189"/>
      <c r="L19" s="189"/>
      <c r="M19" s="250"/>
      <c r="N19" s="25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297"/>
      <c r="G20" s="297"/>
      <c r="H20" s="297"/>
      <c r="I20" s="280"/>
      <c r="J20" s="253">
        <v>30875433.359999999</v>
      </c>
      <c r="K20" s="253">
        <v>-249999</v>
      </c>
      <c r="L20" s="253">
        <v>30625435</v>
      </c>
      <c r="M20" s="189"/>
      <c r="N20" s="253">
        <v>1335138</v>
      </c>
      <c r="O20" s="253">
        <v>31960573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297"/>
      <c r="G21" s="297"/>
      <c r="H21" s="297"/>
      <c r="I21" s="280"/>
      <c r="J21" s="280"/>
      <c r="K21" s="280"/>
      <c r="L21" s="224"/>
      <c r="M21" s="224"/>
      <c r="N21" s="224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297"/>
      <c r="G22" s="297"/>
      <c r="H22" s="297"/>
      <c r="I22" s="280"/>
      <c r="J22" s="280"/>
      <c r="K22" s="280"/>
      <c r="L22" s="256"/>
      <c r="M22" s="224"/>
      <c r="N22" s="25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297"/>
      <c r="G23" s="243"/>
      <c r="H23" s="297"/>
      <c r="I23" s="280"/>
      <c r="J23" s="280"/>
      <c r="K23" s="280"/>
      <c r="L23" s="256"/>
      <c r="M23" s="224"/>
      <c r="N23" s="25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297"/>
      <c r="G24" s="243"/>
      <c r="H24" s="297"/>
      <c r="I24" s="280"/>
      <c r="J24" s="281">
        <v>60575246.82</v>
      </c>
      <c r="K24" s="274">
        <v>0</v>
      </c>
      <c r="L24" s="282">
        <v>60575246.82</v>
      </c>
      <c r="M24" s="276"/>
      <c r="N24" s="274">
        <v>0</v>
      </c>
      <c r="O24" s="239">
        <v>60575247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297"/>
      <c r="G25" s="243"/>
      <c r="H25" s="297"/>
      <c r="I25" s="280"/>
      <c r="J25" s="280">
        <v>9124636.9300000034</v>
      </c>
      <c r="K25" s="275">
        <v>0</v>
      </c>
      <c r="L25" s="243">
        <v>9124636.9300000034</v>
      </c>
      <c r="M25" s="276"/>
      <c r="N25" s="275">
        <v>1470552</v>
      </c>
      <c r="O25" s="243">
        <v>10595189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297"/>
      <c r="G26" s="243"/>
      <c r="H26" s="297"/>
      <c r="I26" s="280"/>
      <c r="J26" s="280">
        <v>2891245.53</v>
      </c>
      <c r="K26" s="275">
        <v>0</v>
      </c>
      <c r="L26" s="243">
        <v>2891245.53</v>
      </c>
      <c r="M26" s="276"/>
      <c r="N26" s="275">
        <v>0</v>
      </c>
      <c r="O26" s="243">
        <v>2891246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297"/>
      <c r="G27" s="243"/>
      <c r="H27" s="297"/>
      <c r="I27" s="280"/>
      <c r="J27" s="280">
        <v>11168085.389999999</v>
      </c>
      <c r="K27" s="275">
        <v>-2698544.6799999997</v>
      </c>
      <c r="L27" s="243">
        <v>8469540.709999999</v>
      </c>
      <c r="M27" s="276"/>
      <c r="N27" s="275">
        <v>0</v>
      </c>
      <c r="O27" s="243">
        <v>8469541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297"/>
      <c r="G28" s="243"/>
      <c r="H28" s="297"/>
      <c r="I28" s="280"/>
      <c r="J28" s="280">
        <v>8448973.4399999995</v>
      </c>
      <c r="K28" s="275">
        <v>-2071881.25</v>
      </c>
      <c r="L28" s="243">
        <v>6377092.1899999995</v>
      </c>
      <c r="M28" s="276"/>
      <c r="N28" s="275">
        <v>7370596</v>
      </c>
      <c r="O28" s="243">
        <v>13747688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297"/>
      <c r="G29" s="243"/>
      <c r="H29" s="297"/>
      <c r="I29" s="280"/>
      <c r="J29" s="280">
        <v>5719722.5099999998</v>
      </c>
      <c r="K29" s="275">
        <v>0</v>
      </c>
      <c r="L29" s="243">
        <v>5719722.5099999998</v>
      </c>
      <c r="M29" s="276"/>
      <c r="N29" s="275">
        <v>0</v>
      </c>
      <c r="O29" s="243">
        <v>5719723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297"/>
      <c r="G30" s="243"/>
      <c r="H30" s="297"/>
      <c r="I30" s="280"/>
      <c r="J30" s="283">
        <v>6381555.46</v>
      </c>
      <c r="K30" s="279">
        <v>0</v>
      </c>
      <c r="L30" s="249">
        <v>6381555.46</v>
      </c>
      <c r="M30" s="276"/>
      <c r="N30" s="279">
        <v>0</v>
      </c>
      <c r="O30" s="249">
        <v>6381555</v>
      </c>
      <c r="P30" s="51"/>
    </row>
    <row r="31" spans="1:16" s="43" customFormat="1">
      <c r="A31" s="1"/>
      <c r="B31" s="72"/>
      <c r="C31" s="44"/>
      <c r="D31" s="36"/>
      <c r="E31" s="14"/>
      <c r="F31" s="297"/>
      <c r="G31" s="243"/>
      <c r="H31" s="297"/>
      <c r="I31" s="280"/>
      <c r="J31" s="280"/>
      <c r="K31" s="280"/>
      <c r="L31" s="224"/>
      <c r="M31" s="224"/>
      <c r="N31" s="224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297"/>
      <c r="G32" s="297"/>
      <c r="H32" s="297"/>
      <c r="I32" s="280"/>
      <c r="J32" s="253">
        <v>104309466.08</v>
      </c>
      <c r="K32" s="253">
        <v>-4770425.93</v>
      </c>
      <c r="L32" s="253">
        <v>99539041</v>
      </c>
      <c r="M32" s="284"/>
      <c r="N32" s="253">
        <v>8841148</v>
      </c>
      <c r="O32" s="253">
        <v>108380189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297"/>
      <c r="G33" s="243"/>
      <c r="H33" s="297"/>
      <c r="I33" s="280"/>
      <c r="J33" s="189"/>
      <c r="K33" s="280"/>
      <c r="L33" s="189"/>
      <c r="M33" s="189"/>
      <c r="N33" s="18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297"/>
      <c r="G34" s="297"/>
      <c r="H34" s="297"/>
      <c r="I34" s="280"/>
      <c r="J34" s="265">
        <v>-73434032.719999999</v>
      </c>
      <c r="K34" s="265">
        <v>4520426.93</v>
      </c>
      <c r="L34" s="265">
        <v>-68913606</v>
      </c>
      <c r="M34" s="189"/>
      <c r="N34" s="265">
        <v>-7506010</v>
      </c>
      <c r="O34" s="265">
        <v>-76419616</v>
      </c>
      <c r="P34" s="68"/>
    </row>
    <row r="35" spans="1:16" s="43" customFormat="1">
      <c r="A35" s="12"/>
      <c r="B35" s="72"/>
      <c r="C35" s="14"/>
      <c r="D35" s="14"/>
      <c r="E35" s="14"/>
      <c r="F35" s="297"/>
      <c r="G35" s="297"/>
      <c r="H35" s="297"/>
      <c r="I35" s="280"/>
      <c r="J35" s="280"/>
      <c r="K35" s="280"/>
      <c r="L35" s="224"/>
      <c r="M35" s="224"/>
      <c r="N35" s="224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297"/>
      <c r="G36" s="297"/>
      <c r="H36" s="297"/>
      <c r="I36" s="280"/>
      <c r="J36" s="280"/>
      <c r="K36" s="280"/>
      <c r="L36" s="256"/>
      <c r="M36" s="224"/>
      <c r="N36" s="25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297"/>
      <c r="G37" s="243"/>
      <c r="H37" s="297"/>
      <c r="I37" s="280"/>
      <c r="J37" s="281">
        <v>36283895.310000002</v>
      </c>
      <c r="K37" s="274">
        <v>-202604</v>
      </c>
      <c r="L37" s="239">
        <v>36081291.310000002</v>
      </c>
      <c r="M37" s="285"/>
      <c r="N37" s="274">
        <v>0</v>
      </c>
      <c r="O37" s="239">
        <v>36081291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297"/>
      <c r="G38" s="243"/>
      <c r="H38" s="297"/>
      <c r="I38" s="280"/>
      <c r="J38" s="280">
        <v>24104518.5</v>
      </c>
      <c r="K38" s="275">
        <v>-586981.54</v>
      </c>
      <c r="L38" s="243">
        <v>23517536.960000001</v>
      </c>
      <c r="M38" s="285"/>
      <c r="N38" s="286">
        <v>0</v>
      </c>
      <c r="O38" s="243">
        <v>23517537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297"/>
      <c r="G39" s="243"/>
      <c r="H39" s="297"/>
      <c r="I39" s="280"/>
      <c r="J39" s="280">
        <v>4575694.57</v>
      </c>
      <c r="K39" s="275">
        <v>275101.54000000004</v>
      </c>
      <c r="L39" s="243">
        <v>4850796.1100000003</v>
      </c>
      <c r="M39" s="285"/>
      <c r="N39" s="286">
        <v>0</v>
      </c>
      <c r="O39" s="243">
        <v>4850796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297"/>
      <c r="G40" s="243"/>
      <c r="H40" s="297"/>
      <c r="I40" s="280"/>
      <c r="J40" s="280">
        <v>272403.56</v>
      </c>
      <c r="K40" s="275">
        <v>0</v>
      </c>
      <c r="L40" s="243">
        <v>272403.56</v>
      </c>
      <c r="M40" s="285"/>
      <c r="N40" s="286">
        <v>4465578</v>
      </c>
      <c r="O40" s="243">
        <v>4737982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Loss on Investments</v>
      </c>
      <c r="D41" s="267"/>
      <c r="E41" s="268"/>
      <c r="F41" s="300"/>
      <c r="G41" s="243"/>
      <c r="H41" s="297"/>
      <c r="I41" s="280"/>
      <c r="J41" s="280">
        <v>-127284.67</v>
      </c>
      <c r="K41" s="275">
        <v>0</v>
      </c>
      <c r="L41" s="243">
        <v>-127284.67</v>
      </c>
      <c r="M41" s="285"/>
      <c r="N41" s="286">
        <v>0</v>
      </c>
      <c r="O41" s="243">
        <v>-127285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297"/>
      <c r="G42" s="243"/>
      <c r="H42" s="297"/>
      <c r="I42" s="280"/>
      <c r="J42" s="280">
        <v>5565.69</v>
      </c>
      <c r="K42" s="275">
        <v>1632709.75</v>
      </c>
      <c r="L42" s="243">
        <v>1638275.44</v>
      </c>
      <c r="M42" s="285"/>
      <c r="N42" s="286">
        <v>0</v>
      </c>
      <c r="O42" s="243">
        <v>1638275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297"/>
      <c r="G43" s="243"/>
      <c r="H43" s="297"/>
      <c r="I43" s="280"/>
      <c r="J43" s="280">
        <v>141830.35</v>
      </c>
      <c r="K43" s="275">
        <v>-141830.35</v>
      </c>
      <c r="L43" s="243">
        <v>0</v>
      </c>
      <c r="M43" s="285"/>
      <c r="N43" s="286">
        <v>0</v>
      </c>
      <c r="O43" s="243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243"/>
      <c r="G44" s="243"/>
      <c r="H44" s="243"/>
      <c r="I44" s="243"/>
      <c r="J44" s="243">
        <v>-1456354.33</v>
      </c>
      <c r="K44" s="275">
        <v>0</v>
      </c>
      <c r="L44" s="243">
        <v>-1456354.33</v>
      </c>
      <c r="M44" s="285"/>
      <c r="N44" s="286">
        <v>0</v>
      </c>
      <c r="O44" s="243">
        <v>-1456354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297"/>
      <c r="G45" s="243"/>
      <c r="H45" s="297"/>
      <c r="I45" s="280"/>
      <c r="J45" s="287">
        <v>0</v>
      </c>
      <c r="K45" s="279">
        <v>-3470426.9299999997</v>
      </c>
      <c r="L45" s="249">
        <v>-3470426.9299999997</v>
      </c>
      <c r="M45" s="285"/>
      <c r="N45" s="288">
        <v>0</v>
      </c>
      <c r="O45" s="249">
        <v>-3470427</v>
      </c>
      <c r="P45" s="81"/>
    </row>
    <row r="46" spans="1:16" s="43" customFormat="1">
      <c r="A46" s="1"/>
      <c r="B46" s="72"/>
      <c r="C46" s="35"/>
      <c r="D46" s="35"/>
      <c r="E46" s="35"/>
      <c r="F46" s="243"/>
      <c r="G46" s="243"/>
      <c r="H46" s="243"/>
      <c r="I46" s="243"/>
      <c r="J46" s="243"/>
      <c r="K46" s="243"/>
      <c r="L46" s="243"/>
      <c r="M46" s="289"/>
      <c r="N46" s="24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297"/>
      <c r="G47" s="297"/>
      <c r="H47" s="297"/>
      <c r="I47" s="280"/>
      <c r="J47" s="265">
        <v>63800268.980000004</v>
      </c>
      <c r="K47" s="265">
        <v>-2494031.5299999998</v>
      </c>
      <c r="L47" s="265">
        <v>61306237</v>
      </c>
      <c r="M47" s="189"/>
      <c r="N47" s="265">
        <v>4465578</v>
      </c>
      <c r="O47" s="265">
        <v>65771815</v>
      </c>
      <c r="P47" s="68"/>
    </row>
    <row r="48" spans="1:16" s="37" customFormat="1">
      <c r="A48" s="52"/>
      <c r="B48" s="53"/>
      <c r="C48" s="86"/>
      <c r="D48" s="87"/>
      <c r="E48" s="15"/>
      <c r="F48" s="280"/>
      <c r="G48" s="280"/>
      <c r="H48" s="280"/>
      <c r="I48" s="280"/>
      <c r="J48" s="189"/>
      <c r="K48" s="189"/>
      <c r="L48" s="189"/>
      <c r="M48" s="189"/>
      <c r="N48" s="18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Loss Before Other Revenues,</v>
      </c>
      <c r="D49" s="35"/>
      <c r="E49" s="35"/>
      <c r="F49" s="297"/>
      <c r="G49" s="297"/>
      <c r="H49" s="297"/>
      <c r="I49" s="280"/>
      <c r="J49" s="243"/>
      <c r="K49" s="243"/>
      <c r="L49" s="243"/>
      <c r="M49" s="243"/>
      <c r="N49" s="243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297"/>
      <c r="G50" s="297"/>
      <c r="H50" s="297"/>
      <c r="I50" s="280"/>
      <c r="J50" s="265">
        <v>-9633763.7399999946</v>
      </c>
      <c r="K50" s="265">
        <v>2026395.4</v>
      </c>
      <c r="L50" s="265">
        <v>-7607369</v>
      </c>
      <c r="M50" s="189"/>
      <c r="N50" s="265">
        <v>-3040432</v>
      </c>
      <c r="O50" s="265">
        <v>-10647801</v>
      </c>
      <c r="P50" s="68"/>
    </row>
    <row r="51" spans="1:16" s="43" customFormat="1">
      <c r="A51" s="52"/>
      <c r="B51" s="53"/>
      <c r="C51" s="14"/>
      <c r="D51" s="29"/>
      <c r="E51" s="14"/>
      <c r="F51" s="297"/>
      <c r="G51" s="297"/>
      <c r="H51" s="297"/>
      <c r="I51" s="280"/>
      <c r="J51" s="280"/>
      <c r="K51" s="280"/>
      <c r="L51" s="224"/>
      <c r="M51" s="224"/>
      <c r="N51" s="224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297"/>
      <c r="G52" s="297"/>
      <c r="H52" s="243"/>
      <c r="I52" s="280"/>
      <c r="J52" s="281">
        <v>1933065</v>
      </c>
      <c r="K52" s="274">
        <v>202604</v>
      </c>
      <c r="L52" s="239">
        <v>2135669</v>
      </c>
      <c r="M52" s="285"/>
      <c r="N52" s="274">
        <v>0</v>
      </c>
      <c r="O52" s="239">
        <v>2135669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297"/>
      <c r="G53" s="297"/>
      <c r="H53" s="243"/>
      <c r="I53" s="280"/>
      <c r="J53" s="280">
        <v>5019144.1900000004</v>
      </c>
      <c r="K53" s="275">
        <v>-897850</v>
      </c>
      <c r="L53" s="243">
        <v>4121294.1900000004</v>
      </c>
      <c r="M53" s="276"/>
      <c r="N53" s="275">
        <v>0</v>
      </c>
      <c r="O53" s="243">
        <v>4121294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297"/>
      <c r="G54" s="297"/>
      <c r="H54" s="243"/>
      <c r="I54" s="280"/>
      <c r="J54" s="280">
        <v>0</v>
      </c>
      <c r="K54" s="275">
        <v>0</v>
      </c>
      <c r="L54" s="243">
        <v>0</v>
      </c>
      <c r="M54" s="276"/>
      <c r="N54" s="290">
        <v>56448</v>
      </c>
      <c r="O54" s="243">
        <v>56448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Expenses</v>
      </c>
      <c r="D55" s="35"/>
      <c r="E55" s="14"/>
      <c r="F55" s="297"/>
      <c r="G55" s="297"/>
      <c r="H55" s="243"/>
      <c r="I55" s="280"/>
      <c r="J55" s="283">
        <v>0</v>
      </c>
      <c r="K55" s="279">
        <v>-1300000</v>
      </c>
      <c r="L55" s="249">
        <v>-1300000</v>
      </c>
      <c r="M55" s="276"/>
      <c r="N55" s="279">
        <v>0</v>
      </c>
      <c r="O55" s="249">
        <v>-1300000</v>
      </c>
      <c r="P55" s="51"/>
    </row>
    <row r="56" spans="1:16">
      <c r="A56" s="52"/>
      <c r="B56" s="53"/>
      <c r="C56" s="35"/>
      <c r="D56" s="35"/>
      <c r="E56" s="14"/>
      <c r="F56" s="297"/>
      <c r="G56" s="297"/>
      <c r="H56" s="297"/>
      <c r="I56" s="280"/>
      <c r="J56" s="243"/>
      <c r="K56" s="280"/>
      <c r="L56" s="243"/>
      <c r="M56" s="289"/>
      <c r="N56" s="24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297"/>
      <c r="G57" s="297"/>
      <c r="H57" s="297"/>
      <c r="I57" s="280"/>
      <c r="J57" s="253">
        <v>6952209.1900000004</v>
      </c>
      <c r="K57" s="253">
        <v>-1995246</v>
      </c>
      <c r="L57" s="253">
        <v>4956963</v>
      </c>
      <c r="M57" s="284"/>
      <c r="N57" s="253">
        <v>56448</v>
      </c>
      <c r="O57" s="253">
        <v>5013411</v>
      </c>
      <c r="P57" s="91"/>
    </row>
    <row r="58" spans="1:16" ht="13.5" thickTop="1">
      <c r="A58" s="52"/>
      <c r="B58" s="53"/>
      <c r="C58" s="29"/>
      <c r="D58" s="35"/>
      <c r="E58" s="35"/>
      <c r="F58" s="297"/>
      <c r="G58" s="297"/>
      <c r="H58" s="297"/>
      <c r="I58" s="280"/>
      <c r="J58" s="189"/>
      <c r="K58" s="189"/>
      <c r="L58" s="189"/>
      <c r="M58" s="189"/>
      <c r="N58" s="18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Decrease in Net Position</v>
      </c>
      <c r="D59" s="35"/>
      <c r="E59" s="35"/>
      <c r="F59" s="297"/>
      <c r="G59" s="297"/>
      <c r="H59" s="297"/>
      <c r="I59" s="280"/>
      <c r="J59" s="265">
        <v>-2681554.5499999942</v>
      </c>
      <c r="K59" s="265">
        <v>31149.399999999907</v>
      </c>
      <c r="L59" s="265">
        <v>-2650406</v>
      </c>
      <c r="M59" s="291"/>
      <c r="N59" s="265">
        <v>-2983984</v>
      </c>
      <c r="O59" s="265">
        <v>-5634390</v>
      </c>
      <c r="P59" s="91"/>
    </row>
    <row r="60" spans="1:16">
      <c r="A60" s="52"/>
      <c r="B60" s="53"/>
      <c r="C60" s="93"/>
      <c r="D60" s="35"/>
      <c r="E60" s="35"/>
      <c r="F60" s="297"/>
      <c r="G60" s="297"/>
      <c r="H60" s="297"/>
      <c r="I60" s="280"/>
      <c r="J60" s="280"/>
      <c r="K60" s="280"/>
      <c r="L60" s="292"/>
      <c r="M60" s="292"/>
      <c r="N60" s="292"/>
      <c r="O60" s="292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297"/>
      <c r="G61" s="297"/>
      <c r="H61" s="297"/>
      <c r="I61" s="280"/>
      <c r="J61" s="285"/>
      <c r="K61" s="280"/>
      <c r="L61" s="285">
        <v>150063739</v>
      </c>
      <c r="M61" s="285"/>
      <c r="N61" s="285">
        <v>48521503</v>
      </c>
      <c r="O61" s="243">
        <v>198585242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297"/>
      <c r="G62" s="297"/>
      <c r="H62" s="297"/>
      <c r="I62" s="280"/>
      <c r="J62" s="280"/>
      <c r="K62" s="280"/>
      <c r="L62" s="288"/>
      <c r="M62" s="285"/>
      <c r="N62" s="288"/>
      <c r="O62" s="249">
        <v>0</v>
      </c>
      <c r="P62" s="81"/>
    </row>
    <row r="63" spans="1:16" s="64" customFormat="1">
      <c r="A63" s="52"/>
      <c r="B63" s="53"/>
      <c r="C63" s="36"/>
      <c r="D63" s="36"/>
      <c r="E63" s="36"/>
      <c r="F63" s="189"/>
      <c r="G63" s="189"/>
      <c r="H63" s="189"/>
      <c r="I63" s="189"/>
      <c r="J63" s="189"/>
      <c r="K63" s="189"/>
      <c r="L63" s="291"/>
      <c r="M63" s="293"/>
      <c r="N63" s="293"/>
      <c r="O63" s="293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189"/>
      <c r="G64" s="189"/>
      <c r="H64" s="250"/>
      <c r="I64" s="250"/>
      <c r="J64" s="250"/>
      <c r="K64" s="250"/>
      <c r="L64" s="294">
        <v>150063739</v>
      </c>
      <c r="M64" s="291"/>
      <c r="N64" s="294">
        <v>48521503</v>
      </c>
      <c r="O64" s="294">
        <v>198585242</v>
      </c>
      <c r="P64" s="91"/>
    </row>
    <row r="65" spans="1:16" s="64" customFormat="1">
      <c r="A65" s="52"/>
      <c r="B65" s="53"/>
      <c r="C65" s="36"/>
      <c r="D65" s="36"/>
      <c r="E65" s="36"/>
      <c r="F65" s="189"/>
      <c r="G65" s="189"/>
      <c r="H65" s="191"/>
      <c r="I65" s="189"/>
      <c r="J65" s="189"/>
      <c r="K65" s="189"/>
      <c r="L65" s="191"/>
      <c r="M65" s="250"/>
      <c r="N65" s="250"/>
      <c r="O65" s="250"/>
      <c r="P65" s="61"/>
    </row>
    <row r="66" spans="1:16" ht="13.5" thickBot="1">
      <c r="A66" s="52"/>
      <c r="B66" s="53"/>
      <c r="C66" s="29" t="s">
        <v>95</v>
      </c>
      <c r="D66" s="35"/>
      <c r="E66" s="14"/>
      <c r="F66" s="297"/>
      <c r="G66" s="297"/>
      <c r="H66" s="297"/>
      <c r="I66" s="280"/>
      <c r="J66" s="280"/>
      <c r="K66" s="280"/>
      <c r="L66" s="253">
        <v>147413333</v>
      </c>
      <c r="M66" s="292"/>
      <c r="N66" s="253">
        <v>45537519</v>
      </c>
      <c r="O66" s="253">
        <v>192950852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L66-[9]SNP!M120</f>
        <v>0</v>
      </c>
      <c r="M69" s="110"/>
      <c r="N69" s="111">
        <f>N66-[9]SNP!O120</f>
        <v>0</v>
      </c>
      <c r="O69" s="111">
        <f>O66-[9]SNP!P120</f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476" priority="7" operator="notEqual">
      <formula>0</formula>
    </cfRule>
    <cfRule type="cellIs" dxfId="475" priority="8" operator="equal">
      <formula>0</formula>
    </cfRule>
  </conditionalFormatting>
  <conditionalFormatting sqref="O69">
    <cfRule type="cellIs" dxfId="474" priority="1" operator="notEqual">
      <formula>0</formula>
    </cfRule>
    <cfRule type="cellIs" dxfId="473" priority="2" operator="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8" style="11" bestFit="1" customWidth="1"/>
    <col min="11" max="11" width="12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342" t="s">
        <v>109</v>
      </c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"/>
    </row>
    <row r="2" spans="1:16">
      <c r="B2" s="2"/>
      <c r="C2" s="342" t="s">
        <v>0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7"/>
    </row>
    <row r="3" spans="1:16" ht="12.75" customHeight="1">
      <c r="B3" s="2"/>
      <c r="C3" s="344" t="s">
        <v>1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9" t="s">
        <v>2</v>
      </c>
    </row>
    <row r="4" spans="1:16">
      <c r="B4" s="2"/>
      <c r="C4" s="345" t="s">
        <v>302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11" t="str">
        <f>FCS!Q4</f>
        <v>2017.v04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333"/>
      <c r="L6" s="338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303</v>
      </c>
      <c r="K7" s="236" t="s">
        <v>304</v>
      </c>
      <c r="L7" s="24"/>
      <c r="M7" s="25"/>
      <c r="N7" s="26" t="str">
        <f>[10]SNP!$O$9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340">
        <v>21844307.760000002</v>
      </c>
      <c r="G11" s="340"/>
      <c r="H11" s="295"/>
      <c r="I11" s="189"/>
      <c r="J11" s="239">
        <v>37211160.759999998</v>
      </c>
      <c r="K11" s="274">
        <v>0.24</v>
      </c>
      <c r="L11" s="239">
        <v>37211161</v>
      </c>
      <c r="M11" s="224"/>
      <c r="N11" s="274">
        <v>0</v>
      </c>
      <c r="O11" s="239">
        <v>37211161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296"/>
      <c r="G12" s="285"/>
      <c r="H12" s="280"/>
      <c r="I12" s="243"/>
      <c r="J12" s="243">
        <v>0</v>
      </c>
      <c r="K12" s="275">
        <v>0</v>
      </c>
      <c r="L12" s="243">
        <v>0</v>
      </c>
      <c r="M12" s="276"/>
      <c r="N12" s="275">
        <v>0</v>
      </c>
      <c r="O12" s="243">
        <v>0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296"/>
      <c r="G13" s="296"/>
      <c r="H13" s="297"/>
      <c r="I13" s="243"/>
      <c r="J13" s="243">
        <v>973120.86</v>
      </c>
      <c r="K13" s="275">
        <v>0.14000000000000001</v>
      </c>
      <c r="L13" s="243">
        <v>973121</v>
      </c>
      <c r="M13" s="276"/>
      <c r="N13" s="275">
        <v>0</v>
      </c>
      <c r="O13" s="243">
        <v>973121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296"/>
      <c r="G14" s="296"/>
      <c r="H14" s="297"/>
      <c r="I14" s="243"/>
      <c r="J14" s="243">
        <v>250345.44</v>
      </c>
      <c r="K14" s="275">
        <v>-0.44</v>
      </c>
      <c r="L14" s="243">
        <v>250345</v>
      </c>
      <c r="M14" s="276"/>
      <c r="N14" s="275">
        <v>0</v>
      </c>
      <c r="O14" s="243">
        <v>250345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296"/>
      <c r="G15" s="296"/>
      <c r="H15" s="243"/>
      <c r="I15" s="243"/>
      <c r="J15" s="243">
        <v>356926.01</v>
      </c>
      <c r="K15" s="275">
        <v>-0.01</v>
      </c>
      <c r="L15" s="243">
        <v>356926</v>
      </c>
      <c r="M15" s="276"/>
      <c r="N15" s="275">
        <v>0</v>
      </c>
      <c r="O15" s="243">
        <v>356926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298"/>
      <c r="G16" s="285"/>
      <c r="H16" s="299"/>
      <c r="I16" s="243"/>
      <c r="J16" s="243"/>
      <c r="K16" s="277"/>
      <c r="L16" s="278"/>
      <c r="M16" s="276"/>
      <c r="N16" s="243"/>
      <c r="O16" s="243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340">
        <v>0</v>
      </c>
      <c r="G17" s="340"/>
      <c r="H17" s="299"/>
      <c r="I17" s="243"/>
      <c r="J17" s="243">
        <v>1232903.8999999999</v>
      </c>
      <c r="K17" s="275">
        <v>0.1</v>
      </c>
      <c r="L17" s="243">
        <v>1232904</v>
      </c>
      <c r="M17" s="276"/>
      <c r="N17" s="275">
        <v>145152</v>
      </c>
      <c r="O17" s="243">
        <v>1378056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297"/>
      <c r="G18" s="297"/>
      <c r="H18" s="297"/>
      <c r="I18" s="189"/>
      <c r="J18" s="249">
        <v>759888.01</v>
      </c>
      <c r="K18" s="279">
        <v>0.49</v>
      </c>
      <c r="L18" s="249">
        <v>759888.5</v>
      </c>
      <c r="M18" s="276"/>
      <c r="N18" s="279">
        <v>482059</v>
      </c>
      <c r="O18" s="249">
        <v>1241948</v>
      </c>
      <c r="P18" s="51"/>
    </row>
    <row r="19" spans="1:16" s="64" customFormat="1">
      <c r="A19" s="52"/>
      <c r="B19" s="56"/>
      <c r="C19" s="36"/>
      <c r="D19" s="36"/>
      <c r="E19" s="36"/>
      <c r="F19" s="189"/>
      <c r="G19" s="189"/>
      <c r="H19" s="189"/>
      <c r="I19" s="189"/>
      <c r="J19" s="189"/>
      <c r="K19" s="189"/>
      <c r="L19" s="189"/>
      <c r="M19" s="250"/>
      <c r="N19" s="250"/>
      <c r="O19" s="250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297"/>
      <c r="G20" s="297"/>
      <c r="H20" s="297"/>
      <c r="I20" s="280"/>
      <c r="J20" s="253">
        <v>40784344.979999989</v>
      </c>
      <c r="K20" s="253">
        <v>0</v>
      </c>
      <c r="L20" s="253">
        <v>40784346</v>
      </c>
      <c r="M20" s="189"/>
      <c r="N20" s="253">
        <v>627211</v>
      </c>
      <c r="O20" s="253">
        <v>41411557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297"/>
      <c r="G21" s="297"/>
      <c r="H21" s="297"/>
      <c r="I21" s="280"/>
      <c r="J21" s="280"/>
      <c r="K21" s="280"/>
      <c r="L21" s="224"/>
      <c r="M21" s="224"/>
      <c r="N21" s="224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297"/>
      <c r="G22" s="297"/>
      <c r="H22" s="297"/>
      <c r="I22" s="280"/>
      <c r="J22" s="280"/>
      <c r="K22" s="280"/>
      <c r="L22" s="256"/>
      <c r="M22" s="224"/>
      <c r="N22" s="256"/>
      <c r="O22" s="256"/>
      <c r="P22" s="18"/>
    </row>
    <row r="23" spans="1:16" s="43" customFormat="1">
      <c r="A23" s="52"/>
      <c r="B23" s="53"/>
      <c r="C23" s="14" t="s">
        <v>36</v>
      </c>
      <c r="D23" s="14"/>
      <c r="E23" s="14"/>
      <c r="F23" s="297"/>
      <c r="G23" s="243"/>
      <c r="H23" s="297"/>
      <c r="I23" s="280"/>
      <c r="J23" s="280"/>
      <c r="K23" s="280"/>
      <c r="L23" s="256"/>
      <c r="M23" s="224"/>
      <c r="N23" s="256"/>
      <c r="O23" s="256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297"/>
      <c r="G24" s="243"/>
      <c r="H24" s="297"/>
      <c r="I24" s="280"/>
      <c r="J24" s="281">
        <v>113151882.05000003</v>
      </c>
      <c r="K24" s="274">
        <v>-0.05</v>
      </c>
      <c r="L24" s="282">
        <v>113151882.00000003</v>
      </c>
      <c r="M24" s="276"/>
      <c r="N24" s="274">
        <v>171105</v>
      </c>
      <c r="O24" s="239">
        <v>113322987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297"/>
      <c r="G25" s="243"/>
      <c r="H25" s="297"/>
      <c r="I25" s="280"/>
      <c r="J25" s="280">
        <v>21945979.040000003</v>
      </c>
      <c r="K25" s="275">
        <v>-0.04</v>
      </c>
      <c r="L25" s="243">
        <v>21945979.000000004</v>
      </c>
      <c r="M25" s="276"/>
      <c r="N25" s="275">
        <v>60486</v>
      </c>
      <c r="O25" s="243">
        <v>22006465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297"/>
      <c r="G26" s="243"/>
      <c r="H26" s="297"/>
      <c r="I26" s="280"/>
      <c r="J26" s="280">
        <v>4788077.25</v>
      </c>
      <c r="K26" s="275">
        <v>-0.25</v>
      </c>
      <c r="L26" s="243">
        <v>4788077</v>
      </c>
      <c r="M26" s="276"/>
      <c r="N26" s="275">
        <v>0</v>
      </c>
      <c r="O26" s="243">
        <v>4788077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297"/>
      <c r="G27" s="243"/>
      <c r="H27" s="297"/>
      <c r="I27" s="280"/>
      <c r="J27" s="280">
        <v>9112196.9500000011</v>
      </c>
      <c r="K27" s="275">
        <v>0.05</v>
      </c>
      <c r="L27" s="243">
        <v>9112197.0000000019</v>
      </c>
      <c r="M27" s="276"/>
      <c r="N27" s="275">
        <v>340531</v>
      </c>
      <c r="O27" s="243">
        <v>9452728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297"/>
      <c r="G28" s="243"/>
      <c r="H28" s="297"/>
      <c r="I28" s="280"/>
      <c r="J28" s="280">
        <v>8411938.9000000022</v>
      </c>
      <c r="K28" s="275"/>
      <c r="L28" s="243">
        <v>8411938.9000000022</v>
      </c>
      <c r="M28" s="276"/>
      <c r="N28" s="275">
        <v>2307</v>
      </c>
      <c r="O28" s="243">
        <v>8414246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297"/>
      <c r="G29" s="243"/>
      <c r="H29" s="297"/>
      <c r="I29" s="280"/>
      <c r="J29" s="280">
        <v>14866042.479999999</v>
      </c>
      <c r="K29" s="275">
        <v>-0.48</v>
      </c>
      <c r="L29" s="243">
        <v>14866041.999999998</v>
      </c>
      <c r="M29" s="276"/>
      <c r="N29" s="275">
        <v>49123</v>
      </c>
      <c r="O29" s="243">
        <v>14915165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297"/>
      <c r="G30" s="243"/>
      <c r="H30" s="297"/>
      <c r="I30" s="280"/>
      <c r="J30" s="283">
        <v>12745279.09</v>
      </c>
      <c r="K30" s="279">
        <v>-0.09</v>
      </c>
      <c r="L30" s="249">
        <v>12745279</v>
      </c>
      <c r="M30" s="276"/>
      <c r="N30" s="279">
        <v>0</v>
      </c>
      <c r="O30" s="249">
        <v>12745279</v>
      </c>
      <c r="P30" s="51"/>
    </row>
    <row r="31" spans="1:16" s="43" customFormat="1">
      <c r="A31" s="1"/>
      <c r="B31" s="72"/>
      <c r="C31" s="44"/>
      <c r="D31" s="36"/>
      <c r="E31" s="14"/>
      <c r="F31" s="297"/>
      <c r="G31" s="243"/>
      <c r="H31" s="297"/>
      <c r="I31" s="280"/>
      <c r="J31" s="280"/>
      <c r="K31" s="280"/>
      <c r="L31" s="224"/>
      <c r="M31" s="224"/>
      <c r="N31" s="224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297"/>
      <c r="G32" s="297"/>
      <c r="H32" s="297"/>
      <c r="I32" s="280"/>
      <c r="J32" s="253">
        <v>185021395.76000002</v>
      </c>
      <c r="K32" s="253">
        <v>-0.86</v>
      </c>
      <c r="L32" s="253">
        <v>185021395</v>
      </c>
      <c r="M32" s="284"/>
      <c r="N32" s="253">
        <v>623552</v>
      </c>
      <c r="O32" s="253">
        <v>185644947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297"/>
      <c r="G33" s="243"/>
      <c r="H33" s="297"/>
      <c r="I33" s="280"/>
      <c r="J33" s="189"/>
      <c r="K33" s="280"/>
      <c r="L33" s="189"/>
      <c r="M33" s="189"/>
      <c r="N33" s="18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35"/>
      <c r="F34" s="297"/>
      <c r="G34" s="297"/>
      <c r="H34" s="297"/>
      <c r="I34" s="280"/>
      <c r="J34" s="265">
        <v>-144237050.78000003</v>
      </c>
      <c r="K34" s="265">
        <v>0.86</v>
      </c>
      <c r="L34" s="265">
        <v>-144237049</v>
      </c>
      <c r="M34" s="189"/>
      <c r="N34" s="265">
        <v>3659</v>
      </c>
      <c r="O34" s="265">
        <v>-144233390</v>
      </c>
      <c r="P34" s="68"/>
    </row>
    <row r="35" spans="1:16" s="43" customFormat="1">
      <c r="A35" s="12"/>
      <c r="B35" s="72"/>
      <c r="C35" s="14"/>
      <c r="D35" s="14"/>
      <c r="E35" s="14"/>
      <c r="F35" s="297"/>
      <c r="G35" s="297"/>
      <c r="H35" s="297"/>
      <c r="I35" s="280"/>
      <c r="J35" s="280"/>
      <c r="K35" s="280"/>
      <c r="L35" s="224"/>
      <c r="M35" s="224"/>
      <c r="N35" s="224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297"/>
      <c r="G36" s="297"/>
      <c r="H36" s="297"/>
      <c r="I36" s="280"/>
      <c r="J36" s="280"/>
      <c r="K36" s="280"/>
      <c r="L36" s="256"/>
      <c r="M36" s="224"/>
      <c r="N36" s="256"/>
      <c r="O36" s="256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297"/>
      <c r="G37" s="243"/>
      <c r="H37" s="297"/>
      <c r="I37" s="280"/>
      <c r="J37" s="281">
        <v>82119969.319999993</v>
      </c>
      <c r="K37" s="274">
        <v>-0.32</v>
      </c>
      <c r="L37" s="239">
        <v>82119969</v>
      </c>
      <c r="M37" s="285"/>
      <c r="N37" s="274">
        <v>0</v>
      </c>
      <c r="O37" s="239">
        <v>82119969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297"/>
      <c r="G38" s="243"/>
      <c r="H38" s="297"/>
      <c r="I38" s="280"/>
      <c r="J38" s="280">
        <v>41631457.769999996</v>
      </c>
      <c r="K38" s="275">
        <v>0.23</v>
      </c>
      <c r="L38" s="243">
        <v>41631457.999999993</v>
      </c>
      <c r="M38" s="285"/>
      <c r="N38" s="286">
        <v>0</v>
      </c>
      <c r="O38" s="243">
        <v>41631458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297"/>
      <c r="G39" s="243"/>
      <c r="H39" s="297"/>
      <c r="I39" s="280"/>
      <c r="J39" s="280">
        <v>8908818.6300000008</v>
      </c>
      <c r="K39" s="275">
        <v>0.37</v>
      </c>
      <c r="L39" s="243">
        <v>8908819</v>
      </c>
      <c r="M39" s="285"/>
      <c r="N39" s="286">
        <v>0</v>
      </c>
      <c r="O39" s="243">
        <v>8908819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297"/>
      <c r="G40" s="243"/>
      <c r="H40" s="297"/>
      <c r="I40" s="280"/>
      <c r="J40" s="280">
        <v>988693.2300000001</v>
      </c>
      <c r="K40" s="275"/>
      <c r="L40" s="243">
        <v>988693.2300000001</v>
      </c>
      <c r="M40" s="285"/>
      <c r="N40" s="286">
        <v>1561398</v>
      </c>
      <c r="O40" s="243">
        <v>2550091</v>
      </c>
      <c r="P40" s="81"/>
    </row>
    <row r="41" spans="1:16" s="43" customFormat="1">
      <c r="A41" s="12" t="s">
        <v>66</v>
      </c>
      <c r="B41" s="72" t="s">
        <v>64</v>
      </c>
      <c r="C41" s="26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Loss on Investments</v>
      </c>
      <c r="D41" s="267"/>
      <c r="E41" s="268"/>
      <c r="F41" s="300"/>
      <c r="G41" s="243"/>
      <c r="H41" s="297"/>
      <c r="I41" s="280"/>
      <c r="J41" s="280">
        <v>-478401.68999999994</v>
      </c>
      <c r="K41" s="275">
        <v>-0.31</v>
      </c>
      <c r="L41" s="243">
        <v>-478401.99999999994</v>
      </c>
      <c r="M41" s="285"/>
      <c r="N41" s="286">
        <v>0</v>
      </c>
      <c r="O41" s="243">
        <v>-478402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297"/>
      <c r="G42" s="243"/>
      <c r="H42" s="297"/>
      <c r="I42" s="280"/>
      <c r="J42" s="280">
        <v>25733.88</v>
      </c>
      <c r="K42" s="275">
        <v>0.12</v>
      </c>
      <c r="L42" s="243">
        <v>25734</v>
      </c>
      <c r="M42" s="285"/>
      <c r="N42" s="286">
        <v>0</v>
      </c>
      <c r="O42" s="243">
        <v>25734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Loss on Disposal of Capital Assets</v>
      </c>
      <c r="D43" s="35"/>
      <c r="E43" s="14"/>
      <c r="F43" s="297"/>
      <c r="G43" s="243"/>
      <c r="H43" s="297"/>
      <c r="I43" s="280"/>
      <c r="J43" s="280">
        <v>-15689.87</v>
      </c>
      <c r="K43" s="275">
        <v>-0.13</v>
      </c>
      <c r="L43" s="243">
        <v>-15690</v>
      </c>
      <c r="M43" s="285"/>
      <c r="N43" s="286">
        <v>0</v>
      </c>
      <c r="O43" s="243">
        <v>-15690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243"/>
      <c r="G44" s="243"/>
      <c r="H44" s="243"/>
      <c r="I44" s="243"/>
      <c r="J44" s="243">
        <v>-75690</v>
      </c>
      <c r="K44" s="275"/>
      <c r="L44" s="243">
        <v>-75690</v>
      </c>
      <c r="M44" s="285"/>
      <c r="N44" s="286">
        <v>0</v>
      </c>
      <c r="O44" s="243">
        <v>-75690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297"/>
      <c r="G45" s="243"/>
      <c r="H45" s="297"/>
      <c r="I45" s="280"/>
      <c r="J45" s="287">
        <v>0</v>
      </c>
      <c r="K45" s="279">
        <v>0</v>
      </c>
      <c r="L45" s="249">
        <v>0</v>
      </c>
      <c r="M45" s="285"/>
      <c r="N45" s="288">
        <v>0</v>
      </c>
      <c r="O45" s="249">
        <v>0</v>
      </c>
      <c r="P45" s="81"/>
    </row>
    <row r="46" spans="1:16" s="43" customFormat="1">
      <c r="A46" s="1"/>
      <c r="B46" s="72"/>
      <c r="C46" s="35"/>
      <c r="D46" s="35"/>
      <c r="E46" s="35"/>
      <c r="F46" s="243"/>
      <c r="G46" s="243"/>
      <c r="H46" s="243"/>
      <c r="I46" s="243"/>
      <c r="J46" s="243"/>
      <c r="K46" s="243"/>
      <c r="L46" s="243"/>
      <c r="M46" s="289"/>
      <c r="N46" s="243"/>
      <c r="O46" s="243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297"/>
      <c r="G47" s="297"/>
      <c r="H47" s="297"/>
      <c r="I47" s="280"/>
      <c r="J47" s="265">
        <v>133104891.26999998</v>
      </c>
      <c r="K47" s="265">
        <v>-3.999999999999998E-2</v>
      </c>
      <c r="L47" s="265">
        <v>133104891</v>
      </c>
      <c r="M47" s="189"/>
      <c r="N47" s="265">
        <v>1561398</v>
      </c>
      <c r="O47" s="265">
        <v>134666289</v>
      </c>
      <c r="P47" s="68"/>
    </row>
    <row r="48" spans="1:16" s="37" customFormat="1">
      <c r="A48" s="52"/>
      <c r="B48" s="53"/>
      <c r="C48" s="86"/>
      <c r="D48" s="87"/>
      <c r="E48" s="15"/>
      <c r="F48" s="280"/>
      <c r="G48" s="280"/>
      <c r="H48" s="280"/>
      <c r="I48" s="280"/>
      <c r="J48" s="189"/>
      <c r="K48" s="189"/>
      <c r="L48" s="189"/>
      <c r="M48" s="189"/>
      <c r="N48" s="18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297"/>
      <c r="G49" s="297"/>
      <c r="H49" s="297"/>
      <c r="I49" s="280"/>
      <c r="J49" s="243"/>
      <c r="K49" s="243"/>
      <c r="L49" s="243"/>
      <c r="M49" s="243"/>
      <c r="N49" s="243"/>
      <c r="O49" s="243"/>
      <c r="P49" s="37"/>
    </row>
    <row r="50" spans="1:16" s="43" customFormat="1">
      <c r="A50" s="52"/>
      <c r="B50" s="53"/>
      <c r="C50" s="14"/>
      <c r="D50" s="29" t="s">
        <v>77</v>
      </c>
      <c r="E50" s="14"/>
      <c r="F50" s="297"/>
      <c r="G50" s="297"/>
      <c r="H50" s="297"/>
      <c r="I50" s="280"/>
      <c r="J50" s="265">
        <v>-11132159.51000005</v>
      </c>
      <c r="K50" s="265">
        <v>0.82000000000000006</v>
      </c>
      <c r="L50" s="265">
        <v>-11132158</v>
      </c>
      <c r="M50" s="189"/>
      <c r="N50" s="265">
        <v>1565057</v>
      </c>
      <c r="O50" s="265">
        <v>-9567101</v>
      </c>
      <c r="P50" s="68"/>
    </row>
    <row r="51" spans="1:16" s="43" customFormat="1">
      <c r="A51" s="52"/>
      <c r="B51" s="53"/>
      <c r="C51" s="14"/>
      <c r="D51" s="29"/>
      <c r="E51" s="14"/>
      <c r="F51" s="297"/>
      <c r="G51" s="297"/>
      <c r="H51" s="297"/>
      <c r="I51" s="280"/>
      <c r="J51" s="280"/>
      <c r="K51" s="280"/>
      <c r="L51" s="224"/>
      <c r="M51" s="224"/>
      <c r="N51" s="224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297"/>
      <c r="G52" s="297"/>
      <c r="H52" s="243"/>
      <c r="I52" s="280"/>
      <c r="J52" s="281">
        <v>3835565.23</v>
      </c>
      <c r="K52" s="274">
        <v>-0.23</v>
      </c>
      <c r="L52" s="239">
        <v>3835565</v>
      </c>
      <c r="M52" s="285"/>
      <c r="N52" s="274">
        <v>0</v>
      </c>
      <c r="O52" s="239">
        <v>3835565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297"/>
      <c r="G53" s="297"/>
      <c r="H53" s="243"/>
      <c r="I53" s="280"/>
      <c r="J53" s="280">
        <v>4730126.3399999989</v>
      </c>
      <c r="K53" s="275">
        <v>-0.34</v>
      </c>
      <c r="L53" s="243">
        <v>4730125.9999999991</v>
      </c>
      <c r="M53" s="276"/>
      <c r="N53" s="275">
        <v>0</v>
      </c>
      <c r="O53" s="243">
        <v>4730126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297"/>
      <c r="G54" s="297"/>
      <c r="H54" s="243"/>
      <c r="I54" s="280"/>
      <c r="J54" s="280">
        <v>0</v>
      </c>
      <c r="K54" s="275">
        <v>0</v>
      </c>
      <c r="L54" s="243">
        <v>0</v>
      </c>
      <c r="M54" s="276"/>
      <c r="N54" s="290">
        <v>52097</v>
      </c>
      <c r="O54" s="243">
        <v>52097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297"/>
      <c r="G55" s="297"/>
      <c r="H55" s="243"/>
      <c r="I55" s="280"/>
      <c r="J55" s="283">
        <v>0</v>
      </c>
      <c r="K55" s="279"/>
      <c r="L55" s="249">
        <v>0</v>
      </c>
      <c r="M55" s="276"/>
      <c r="N55" s="279">
        <v>0</v>
      </c>
      <c r="O55" s="249">
        <v>0</v>
      </c>
      <c r="P55" s="51"/>
    </row>
    <row r="56" spans="1:16">
      <c r="A56" s="52"/>
      <c r="B56" s="53"/>
      <c r="C56" s="35"/>
      <c r="D56" s="35"/>
      <c r="E56" s="14"/>
      <c r="F56" s="297"/>
      <c r="G56" s="297"/>
      <c r="H56" s="297"/>
      <c r="I56" s="280"/>
      <c r="J56" s="243"/>
      <c r="K56" s="280"/>
      <c r="L56" s="243"/>
      <c r="M56" s="289"/>
      <c r="N56" s="243"/>
      <c r="O56" s="243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297"/>
      <c r="G57" s="297"/>
      <c r="H57" s="297"/>
      <c r="I57" s="280"/>
      <c r="J57" s="253">
        <v>8565691.5699999984</v>
      </c>
      <c r="K57" s="253">
        <v>-0.57000000000000006</v>
      </c>
      <c r="L57" s="253">
        <v>8565691</v>
      </c>
      <c r="M57" s="284"/>
      <c r="N57" s="253">
        <v>52097</v>
      </c>
      <c r="O57" s="253">
        <v>8617788</v>
      </c>
      <c r="P57" s="91"/>
    </row>
    <row r="58" spans="1:16" ht="13.5" thickTop="1">
      <c r="A58" s="52"/>
      <c r="B58" s="53"/>
      <c r="C58" s="29"/>
      <c r="D58" s="35"/>
      <c r="E58" s="35"/>
      <c r="F58" s="297"/>
      <c r="G58" s="297"/>
      <c r="H58" s="297"/>
      <c r="I58" s="280"/>
      <c r="J58" s="189"/>
      <c r="K58" s="189"/>
      <c r="L58" s="189"/>
      <c r="M58" s="189"/>
      <c r="N58" s="18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297"/>
      <c r="G59" s="297"/>
      <c r="H59" s="297"/>
      <c r="I59" s="280"/>
      <c r="J59" s="265">
        <v>-2566467.9400000516</v>
      </c>
      <c r="K59" s="265">
        <v>0.25</v>
      </c>
      <c r="L59" s="265">
        <v>-2566467</v>
      </c>
      <c r="M59" s="291"/>
      <c r="N59" s="265">
        <v>1617154</v>
      </c>
      <c r="O59" s="265">
        <v>-949313</v>
      </c>
      <c r="P59" s="91"/>
    </row>
    <row r="60" spans="1:16">
      <c r="A60" s="52"/>
      <c r="B60" s="53"/>
      <c r="C60" s="93"/>
      <c r="D60" s="35"/>
      <c r="E60" s="35"/>
      <c r="F60" s="297"/>
      <c r="G60" s="297"/>
      <c r="H60" s="297"/>
      <c r="I60" s="280"/>
      <c r="J60" s="280"/>
      <c r="K60" s="280"/>
      <c r="L60" s="292"/>
      <c r="M60" s="292"/>
      <c r="N60" s="292"/>
      <c r="O60" s="292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297"/>
      <c r="G61" s="297"/>
      <c r="H61" s="297"/>
      <c r="I61" s="280"/>
      <c r="J61" s="285"/>
      <c r="K61" s="280"/>
      <c r="L61" s="285">
        <v>221647629</v>
      </c>
      <c r="M61" s="285"/>
      <c r="N61" s="285">
        <v>44892849</v>
      </c>
      <c r="O61" s="243">
        <v>266540478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297"/>
      <c r="G62" s="297"/>
      <c r="H62" s="297"/>
      <c r="I62" s="280"/>
      <c r="J62" s="280"/>
      <c r="K62" s="280"/>
      <c r="L62" s="288"/>
      <c r="M62" s="285"/>
      <c r="N62" s="288"/>
      <c r="O62" s="249">
        <v>0</v>
      </c>
      <c r="P62" s="81"/>
    </row>
    <row r="63" spans="1:16" s="64" customFormat="1">
      <c r="A63" s="52"/>
      <c r="B63" s="53"/>
      <c r="C63" s="36"/>
      <c r="D63" s="36"/>
      <c r="E63" s="36"/>
      <c r="F63" s="189"/>
      <c r="G63" s="189"/>
      <c r="H63" s="189"/>
      <c r="I63" s="189"/>
      <c r="J63" s="189"/>
      <c r="K63" s="189"/>
      <c r="L63" s="291"/>
      <c r="M63" s="293"/>
      <c r="N63" s="293"/>
      <c r="O63" s="293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189"/>
      <c r="G64" s="189"/>
      <c r="H64" s="250"/>
      <c r="I64" s="250"/>
      <c r="J64" s="250"/>
      <c r="K64" s="250"/>
      <c r="L64" s="294">
        <v>221647629</v>
      </c>
      <c r="M64" s="291"/>
      <c r="N64" s="294">
        <v>44892849</v>
      </c>
      <c r="O64" s="294">
        <v>266540478</v>
      </c>
      <c r="P64" s="91"/>
    </row>
    <row r="65" spans="1:16" s="64" customFormat="1">
      <c r="A65" s="52"/>
      <c r="B65" s="53"/>
      <c r="C65" s="36"/>
      <c r="D65" s="36"/>
      <c r="E65" s="36"/>
      <c r="F65" s="189"/>
      <c r="G65" s="189"/>
      <c r="H65" s="191"/>
      <c r="I65" s="189"/>
      <c r="J65" s="189"/>
      <c r="K65" s="189"/>
      <c r="L65" s="191"/>
      <c r="M65" s="250"/>
      <c r="N65" s="250"/>
      <c r="O65" s="250"/>
      <c r="P65" s="61"/>
    </row>
    <row r="66" spans="1:16" ht="13.5" thickBot="1">
      <c r="A66" s="52"/>
      <c r="B66" s="53"/>
      <c r="C66" s="29" t="s">
        <v>95</v>
      </c>
      <c r="D66" s="35"/>
      <c r="E66" s="14"/>
      <c r="F66" s="297"/>
      <c r="G66" s="297"/>
      <c r="H66" s="297"/>
      <c r="I66" s="280"/>
      <c r="J66" s="280"/>
      <c r="K66" s="280"/>
      <c r="L66" s="253">
        <v>219081162</v>
      </c>
      <c r="M66" s="292"/>
      <c r="N66" s="253">
        <v>46510003</v>
      </c>
      <c r="O66" s="253">
        <v>265591165</v>
      </c>
      <c r="P66" s="46"/>
    </row>
    <row r="67" spans="1:16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5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87"/>
      <c r="K68" s="87"/>
      <c r="L68" s="35"/>
      <c r="M68" s="87"/>
      <c r="N68" s="35"/>
      <c r="O68" s="35"/>
      <c r="P68" s="37"/>
    </row>
    <row r="69" spans="1:16">
      <c r="B69" s="72"/>
      <c r="I69" s="6"/>
      <c r="J69" s="6"/>
      <c r="K69" s="6"/>
      <c r="L69" s="109">
        <f>L66-[10]SNP!M120</f>
        <v>0</v>
      </c>
      <c r="M69" s="110"/>
      <c r="N69" s="111">
        <f>N66-[10]SNP!O120</f>
        <v>0</v>
      </c>
      <c r="O69" s="111">
        <f>O66-[10]SNP!P120</f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N37">
    <cfRule type="cellIs" dxfId="472" priority="11" operator="notEqual">
      <formula>N46</formula>
    </cfRule>
  </conditionalFormatting>
  <conditionalFormatting sqref="N52">
    <cfRule type="cellIs" dxfId="471" priority="10" operator="notEqual">
      <formula>N61</formula>
    </cfRule>
  </conditionalFormatting>
  <conditionalFormatting sqref="N24:N30">
    <cfRule type="containsBlanks" dxfId="470" priority="6">
      <formula>LEN(TRIM(N24))=0</formula>
    </cfRule>
    <cfRule type="cellIs" dxfId="469" priority="7" operator="notEqual">
      <formula>0</formula>
    </cfRule>
  </conditionalFormatting>
  <conditionalFormatting sqref="N24">
    <cfRule type="cellIs" dxfId="468" priority="5" operator="notEqual">
      <formula>N33</formula>
    </cfRule>
  </conditionalFormatting>
  <conditionalFormatting sqref="N40">
    <cfRule type="containsBlanks" dxfId="467" priority="3">
      <formula>LEN(TRIM(N40))=0</formula>
    </cfRule>
    <cfRule type="cellIs" dxfId="466" priority="4" operator="notEqual">
      <formula>0</formula>
    </cfRule>
  </conditionalFormatting>
  <conditionalFormatting sqref="N54">
    <cfRule type="containsBlanks" dxfId="465" priority="1">
      <formula>LEN(TRIM(N54))=0</formula>
    </cfRule>
    <cfRule type="cellIs" dxfId="464" priority="2" operator="notEqual">
      <formula>0</formula>
    </cfRule>
  </conditionalFormatting>
  <conditionalFormatting sqref="L69 N69">
    <cfRule type="cellIs" dxfId="463" priority="32" operator="notEqual">
      <formula>0</formula>
    </cfRule>
    <cfRule type="cellIs" dxfId="462" priority="33" operator="equal">
      <formula>0</formula>
    </cfRule>
  </conditionalFormatting>
  <conditionalFormatting sqref="F11:G11 N62 L62 N11:N15 L16 F17:G17 N37:N39 N52:N53 N41:N45 N55">
    <cfRule type="containsBlanks" dxfId="461" priority="28">
      <formula>LEN(TRIM(F11))=0</formula>
    </cfRule>
    <cfRule type="cellIs" dxfId="460" priority="29" operator="notEqual">
      <formula>0</formula>
    </cfRule>
  </conditionalFormatting>
  <conditionalFormatting sqref="N11">
    <cfRule type="cellIs" dxfId="459" priority="27" operator="notEqual">
      <formula>N20</formula>
    </cfRule>
  </conditionalFormatting>
  <conditionalFormatting sqref="O69">
    <cfRule type="cellIs" dxfId="458" priority="23" operator="notEqual">
      <formula>0</formula>
    </cfRule>
    <cfRule type="cellIs" dxfId="457" priority="24" operator="equal">
      <formula>0</formula>
    </cfRule>
  </conditionalFormatting>
  <conditionalFormatting sqref="K11:K15 K17:K18">
    <cfRule type="containsBlanks" dxfId="456" priority="21">
      <formula>LEN(TRIM(K11))=0</formula>
    </cfRule>
    <cfRule type="cellIs" dxfId="455" priority="22" operator="notEqual">
      <formula>0</formula>
    </cfRule>
  </conditionalFormatting>
  <conditionalFormatting sqref="K11:K15 K17:K18">
    <cfRule type="cellIs" dxfId="454" priority="20" operator="notEqual">
      <formula>K20</formula>
    </cfRule>
  </conditionalFormatting>
  <conditionalFormatting sqref="K16">
    <cfRule type="containsBlanks" dxfId="453" priority="18">
      <formula>LEN(TRIM(K16))=0</formula>
    </cfRule>
    <cfRule type="cellIs" dxfId="452" priority="19" operator="notEqual">
      <formula>0</formula>
    </cfRule>
  </conditionalFormatting>
  <conditionalFormatting sqref="K52 K37 K24">
    <cfRule type="containsBlanks" dxfId="451" priority="16">
      <formula>LEN(TRIM(K24))=0</formula>
    </cfRule>
    <cfRule type="cellIs" dxfId="450" priority="17" operator="notEqual">
      <formula>0</formula>
    </cfRule>
  </conditionalFormatting>
  <conditionalFormatting sqref="K52 K37 K24">
    <cfRule type="cellIs" dxfId="449" priority="15" operator="notEqual">
      <formula>K33</formula>
    </cfRule>
  </conditionalFormatting>
  <conditionalFormatting sqref="K53:K55 K38:K45 K25:K30">
    <cfRule type="containsBlanks" dxfId="448" priority="13">
      <formula>LEN(TRIM(K25))=0</formula>
    </cfRule>
    <cfRule type="cellIs" dxfId="447" priority="14" operator="notEqual">
      <formula>0</formula>
    </cfRule>
  </conditionalFormatting>
  <conditionalFormatting sqref="K53:K55 K38:K45 K25:K30">
    <cfRule type="cellIs" dxfId="446" priority="12" operator="notEqual">
      <formula>K34</formula>
    </cfRule>
  </conditionalFormatting>
  <conditionalFormatting sqref="N17:N18">
    <cfRule type="containsBlanks" dxfId="445" priority="8">
      <formula>LEN(TRIM(N17))=0</formula>
    </cfRule>
    <cfRule type="cellIs" dxfId="444" priority="9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FCS!Print_Area</vt:lpstr>
      <vt:lpstr>'FCS SNP'!Print_Area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2017-10-05T19:29:34Z</cp:lastPrinted>
  <dcterms:created xsi:type="dcterms:W3CDTF">2014-12-18T21:45:41Z</dcterms:created>
  <dcterms:modified xsi:type="dcterms:W3CDTF">2020-02-13T15:10:48Z</dcterms:modified>
</cp:coreProperties>
</file>