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ink/ink1.xml" ContentType="application/inkml+xml"/>
  <Override PartName="/xl/ink/ink2.xml" ContentType="application/inkml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omments23.xml" ContentType="application/vnd.openxmlformats-officedocument.spreadsheetml.comments+xml"/>
  <Override PartName="/xl/comments24.xml" ContentType="application/vnd.openxmlformats-officedocument.spreadsheetml.comments+xml"/>
  <Override PartName="/xl/comments25.xml" ContentType="application/vnd.openxmlformats-officedocument.spreadsheetml.comments+xml"/>
  <Override PartName="/xl/comments26.xml" ContentType="application/vnd.openxmlformats-officedocument.spreadsheetml.comments+xml"/>
  <Override PartName="/xl/comments27.xml" ContentType="application/vnd.openxmlformats-officedocument.spreadsheetml.comments+xml"/>
  <Override PartName="/xl/comments28.xml" ContentType="application/vnd.openxmlformats-officedocument.spreadsheetml.comments+xml"/>
  <Override PartName="/xl/comments29.xml" ContentType="application/vnd.openxmlformats-officedocument.spreadsheetml.comments+xml"/>
  <Override PartName="/xl/comments30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Finance\Reports &amp; Surveys\AFR\Archive - AFR\2014-2015\2014-15 AFR Summaries\Consolidated 14-15 ADA Compliant\"/>
    </mc:Choice>
  </mc:AlternateContent>
  <bookViews>
    <workbookView xWindow="480" yWindow="150" windowWidth="27795" windowHeight="12270" tabRatio="931" activeTab="1"/>
  </bookViews>
  <sheets>
    <sheet name="FCS SNP" sheetId="31" r:id="rId1"/>
    <sheet name="FCS" sheetId="29" r:id="rId2"/>
    <sheet name="EASTERNFL" sheetId="1" r:id="rId3"/>
    <sheet name="BROWARD" sheetId="2" r:id="rId4"/>
    <sheet name="CENTRALFL" sheetId="3" r:id="rId5"/>
    <sheet name="CHIPOLA" sheetId="4" r:id="rId6"/>
    <sheet name="DAYTONA" sheetId="5" r:id="rId7"/>
    <sheet name="FLORIDASW" sheetId="6" r:id="rId8"/>
    <sheet name="FSCJ" sheetId="7" r:id="rId9"/>
    <sheet name="FLKEYS" sheetId="8" r:id="rId10"/>
    <sheet name="GULFCOAST" sheetId="9" r:id="rId11"/>
    <sheet name="HILLSBOROUGH" sheetId="10" r:id="rId12"/>
    <sheet name="INDIANRIVER" sheetId="11" r:id="rId13"/>
    <sheet name="GATEWAY" sheetId="12" r:id="rId14"/>
    <sheet name="LAKESUMTER" sheetId="13" r:id="rId15"/>
    <sheet name="MANATEE" sheetId="14" r:id="rId16"/>
    <sheet name="MIAMIDADE" sheetId="15" r:id="rId17"/>
    <sheet name="NORTHFL" sheetId="16" r:id="rId18"/>
    <sheet name="NORTHWEST" sheetId="17" r:id="rId19"/>
    <sheet name="PALMBEACH" sheetId="18" r:id="rId20"/>
    <sheet name="PASCOHERNANDO" sheetId="19" r:id="rId21"/>
    <sheet name="PENSACOLA" sheetId="20" r:id="rId22"/>
    <sheet name="POLK" sheetId="21" r:id="rId23"/>
    <sheet name="STJOHNS" sheetId="22" r:id="rId24"/>
    <sheet name="STPETE" sheetId="23" r:id="rId25"/>
    <sheet name="SANTAFE" sheetId="24" r:id="rId26"/>
    <sheet name="SEMINOLE" sheetId="25" r:id="rId27"/>
    <sheet name="SOUTHFLORIDA" sheetId="26" r:id="rId28"/>
    <sheet name="TALLAHASSEE" sheetId="27" r:id="rId29"/>
    <sheet name="VALENCIA" sheetId="28" r:id="rId30"/>
  </sheets>
  <externalReferences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</externalReferences>
  <definedNames>
    <definedName name="ARRA">[1]List!$C$1:$C$2</definedName>
    <definedName name="ff" localSheetId="1">#REF!</definedName>
    <definedName name="ff">#REF!</definedName>
    <definedName name="ga">#REF!</definedName>
    <definedName name="_xlnm.Print_Area" localSheetId="3">BROWARD!#REF!</definedName>
    <definedName name="_xlnm.Print_Area" localSheetId="4">CENTRALFL!#REF!</definedName>
    <definedName name="_xlnm.Print_Area" localSheetId="5">CHIPOLA!#REF!</definedName>
    <definedName name="_xlnm.Print_Area" localSheetId="6">DAYTONA!#REF!</definedName>
    <definedName name="_xlnm.Print_Area" localSheetId="2">EASTERNFL!#REF!</definedName>
    <definedName name="_xlnm.Print_Area" localSheetId="1">FCS!$C$1:$N$68</definedName>
    <definedName name="_xlnm.Print_Area" localSheetId="0">'FCS SNP'!$A$1:$O$125</definedName>
    <definedName name="_xlnm.Print_Area" localSheetId="9">FLKEYS!#REF!</definedName>
    <definedName name="_xlnm.Print_Area" localSheetId="7">FLORIDASW!#REF!</definedName>
    <definedName name="_xlnm.Print_Area" localSheetId="8">FSCJ!#REF!</definedName>
    <definedName name="_xlnm.Print_Area" localSheetId="13">GATEWAY!#REF!</definedName>
    <definedName name="_xlnm.Print_Area" localSheetId="10">GULFCOAST!#REF!</definedName>
    <definedName name="_xlnm.Print_Area" localSheetId="11">HILLSBOROUGH!#REF!</definedName>
    <definedName name="_xlnm.Print_Area" localSheetId="12">INDIANRIVER!#REF!</definedName>
    <definedName name="_xlnm.Print_Area" localSheetId="14">LAKESUMTER!#REF!</definedName>
    <definedName name="_xlnm.Print_Area" localSheetId="15">MANATEE!#REF!</definedName>
    <definedName name="_xlnm.Print_Area" localSheetId="16">MIAMIDADE!#REF!</definedName>
    <definedName name="_xlnm.Print_Area" localSheetId="17">NORTHFL!#REF!</definedName>
    <definedName name="_xlnm.Print_Area" localSheetId="18">NORTHWEST!#REF!</definedName>
    <definedName name="_xlnm.Print_Area" localSheetId="19">PALMBEACH!#REF!</definedName>
    <definedName name="_xlnm.Print_Area" localSheetId="20">PASCOHERNANDO!#REF!</definedName>
    <definedName name="_xlnm.Print_Area" localSheetId="21">PENSACOLA!#REF!</definedName>
    <definedName name="_xlnm.Print_Area" localSheetId="22">POLK!#REF!</definedName>
    <definedName name="_xlnm.Print_Area" localSheetId="25">SANTAFE!#REF!</definedName>
    <definedName name="_xlnm.Print_Area" localSheetId="26">SEMINOLE!#REF!</definedName>
    <definedName name="_xlnm.Print_Area" localSheetId="27">SOUTHFLORIDA!#REF!</definedName>
    <definedName name="_xlnm.Print_Area" localSheetId="23">STJOHNS!#REF!</definedName>
    <definedName name="_xlnm.Print_Area" localSheetId="24">STPETE!#REF!</definedName>
    <definedName name="_xlnm.Print_Area" localSheetId="28">TALLAHASSEE!#REF!</definedName>
    <definedName name="_xlnm.Print_Area" localSheetId="29">VALENCIA!#REF!</definedName>
    <definedName name="_xlnm.Print_Area">#REF!</definedName>
    <definedName name="RD">[2]List!$A$1:$A$2</definedName>
    <definedName name="rint" localSheetId="3">#REF!</definedName>
    <definedName name="rint" localSheetId="4">#REF!</definedName>
    <definedName name="rint" localSheetId="5">#REF!</definedName>
    <definedName name="rint" localSheetId="6">#REF!</definedName>
    <definedName name="rint" localSheetId="1">#REF!</definedName>
    <definedName name="rint" localSheetId="0">#REF!</definedName>
    <definedName name="rint" localSheetId="9">#REF!</definedName>
    <definedName name="rint" localSheetId="7">#REF!</definedName>
    <definedName name="rint" localSheetId="8">#REF!</definedName>
    <definedName name="rint" localSheetId="13">#REF!</definedName>
    <definedName name="rint" localSheetId="10">#REF!</definedName>
    <definedName name="rint" localSheetId="11">#REF!</definedName>
    <definedName name="rint" localSheetId="12">#REF!</definedName>
    <definedName name="rint" localSheetId="14">#REF!</definedName>
    <definedName name="rint" localSheetId="15">#REF!</definedName>
    <definedName name="rint" localSheetId="16">#REF!</definedName>
    <definedName name="rint" localSheetId="17">#REF!</definedName>
    <definedName name="rint" localSheetId="18">#REF!</definedName>
    <definedName name="rint" localSheetId="19">#REF!</definedName>
    <definedName name="rint" localSheetId="20">#REF!</definedName>
    <definedName name="rint" localSheetId="21">#REF!</definedName>
    <definedName name="rint" localSheetId="22">#REF!</definedName>
    <definedName name="rint" localSheetId="25">#REF!</definedName>
    <definedName name="rint" localSheetId="26">#REF!</definedName>
    <definedName name="rint" localSheetId="27">#REF!</definedName>
    <definedName name="rint" localSheetId="23">#REF!</definedName>
    <definedName name="rint" localSheetId="24">#REF!</definedName>
    <definedName name="rint" localSheetId="28">#REF!</definedName>
    <definedName name="rint" localSheetId="29">#REF!</definedName>
    <definedName name="rint">#REF!</definedName>
    <definedName name="SOF">[2]List!$B$1:$B$4</definedName>
    <definedName name="YesOrNo" localSheetId="3">#REF!</definedName>
    <definedName name="YesOrNo" localSheetId="4">#REF!</definedName>
    <definedName name="YesOrNo" localSheetId="5">#REF!</definedName>
    <definedName name="YesOrNo" localSheetId="6">#REF!</definedName>
    <definedName name="YesOrNo" localSheetId="1">#REF!</definedName>
    <definedName name="YesOrNo" localSheetId="0">#REF!</definedName>
    <definedName name="YesOrNo" localSheetId="9">#REF!</definedName>
    <definedName name="YesOrNo" localSheetId="7">#REF!</definedName>
    <definedName name="YesOrNo" localSheetId="8">#REF!</definedName>
    <definedName name="YesOrNo" localSheetId="13">#REF!</definedName>
    <definedName name="YesOrNo" localSheetId="10">#REF!</definedName>
    <definedName name="YesOrNo" localSheetId="11">#REF!</definedName>
    <definedName name="YesOrNo" localSheetId="12">#REF!</definedName>
    <definedName name="YesOrNo" localSheetId="14">#REF!</definedName>
    <definedName name="YesOrNo" localSheetId="15">#REF!</definedName>
    <definedName name="YesOrNo" localSheetId="16">#REF!</definedName>
    <definedName name="YesOrNo" localSheetId="17">#REF!</definedName>
    <definedName name="YesOrNo" localSheetId="18">#REF!</definedName>
    <definedName name="YesOrNo" localSheetId="19">#REF!</definedName>
    <definedName name="YesOrNo" localSheetId="20">#REF!</definedName>
    <definedName name="YesOrNo" localSheetId="21">#REF!</definedName>
    <definedName name="YesOrNo" localSheetId="22">#REF!</definedName>
    <definedName name="YesOrNo" localSheetId="25">#REF!</definedName>
    <definedName name="YesOrNo" localSheetId="26">#REF!</definedName>
    <definedName name="YesOrNo" localSheetId="27">#REF!</definedName>
    <definedName name="YesOrNo" localSheetId="23">#REF!</definedName>
    <definedName name="YesOrNo" localSheetId="24">#REF!</definedName>
    <definedName name="YesOrNo" localSheetId="28">#REF!</definedName>
    <definedName name="YesOrNo" localSheetId="29">#REF!</definedName>
    <definedName name="YesOrNo">#REF!</definedName>
  </definedNames>
  <calcPr calcId="162913"/>
</workbook>
</file>

<file path=xl/calcChain.xml><?xml version="1.0" encoding="utf-8"?>
<calcChain xmlns="http://schemas.openxmlformats.org/spreadsheetml/2006/main">
  <c r="N117" i="31" l="1"/>
  <c r="N116" i="31"/>
  <c r="N115" i="31"/>
  <c r="N111" i="31"/>
  <c r="N109" i="31"/>
  <c r="N106" i="31"/>
  <c r="N99" i="31"/>
  <c r="N98" i="31"/>
  <c r="N97" i="31"/>
  <c r="N89" i="31"/>
  <c r="N88" i="31"/>
  <c r="N87" i="31"/>
  <c r="N86" i="31"/>
  <c r="N85" i="31"/>
  <c r="N84" i="31"/>
  <c r="N83" i="31"/>
  <c r="N82" i="31"/>
  <c r="N69" i="31"/>
  <c r="N68" i="31"/>
  <c r="N66" i="31"/>
  <c r="N65" i="31"/>
  <c r="N64" i="31"/>
  <c r="N62" i="31"/>
  <c r="N61" i="31"/>
  <c r="N59" i="31"/>
  <c r="N58" i="31"/>
  <c r="N57" i="31"/>
  <c r="N55" i="31"/>
  <c r="N53" i="31"/>
  <c r="N52" i="31"/>
  <c r="N51" i="31"/>
  <c r="N43" i="31"/>
  <c r="N42" i="31"/>
  <c r="M41" i="31"/>
  <c r="K41" i="31"/>
  <c r="N33" i="31"/>
  <c r="N32" i="31"/>
  <c r="N30" i="31"/>
  <c r="N29" i="31"/>
  <c r="N22" i="31"/>
  <c r="N21" i="31"/>
  <c r="N19" i="31"/>
  <c r="N17" i="31"/>
  <c r="N15" i="31"/>
  <c r="N14" i="31"/>
  <c r="N13" i="31"/>
  <c r="N12" i="31"/>
  <c r="L103" i="31"/>
  <c r="N18" i="31" l="1"/>
  <c r="N20" i="31"/>
  <c r="N31" i="31"/>
  <c r="N44" i="31"/>
  <c r="S44" i="31" s="1"/>
  <c r="N54" i="31"/>
  <c r="N56" i="31"/>
  <c r="N28" i="31"/>
  <c r="N41" i="31"/>
  <c r="N63" i="31"/>
  <c r="N67" i="31"/>
  <c r="N113" i="31"/>
  <c r="N16" i="31"/>
  <c r="N23" i="31"/>
  <c r="N34" i="31"/>
  <c r="N81" i="31"/>
  <c r="N90" i="31"/>
  <c r="N100" i="31"/>
  <c r="N112" i="31"/>
  <c r="N114" i="31"/>
  <c r="K46" i="31"/>
  <c r="M46" i="31"/>
  <c r="K71" i="31" a="1"/>
  <c r="S69" i="31"/>
  <c r="T69" i="31" s="1"/>
  <c r="U69" i="31"/>
  <c r="V69" i="31" s="1"/>
  <c r="N46" i="31" l="1"/>
  <c r="S46" i="31" s="1"/>
  <c r="K71" i="31"/>
  <c r="J62" i="27" l="1"/>
  <c r="M62" i="27" s="1"/>
  <c r="L57" i="27" a="1"/>
  <c r="L57" i="27" s="1"/>
  <c r="J57" i="27" a="1"/>
  <c r="J57" i="27" s="1"/>
  <c r="M55" i="27"/>
  <c r="C55" i="27"/>
  <c r="M54" i="27"/>
  <c r="M53" i="27"/>
  <c r="M52" i="27"/>
  <c r="L47" i="27" a="1"/>
  <c r="L47" i="27" s="1"/>
  <c r="J47" i="27" a="1"/>
  <c r="J47" i="27" s="1"/>
  <c r="M45" i="27"/>
  <c r="M44" i="27"/>
  <c r="M43" i="27"/>
  <c r="C43" i="27"/>
  <c r="M42" i="27"/>
  <c r="M41" i="27"/>
  <c r="C41" i="27"/>
  <c r="M40" i="27"/>
  <c r="M39" i="27"/>
  <c r="M38" i="27"/>
  <c r="M37" i="27"/>
  <c r="L32" i="27" a="1"/>
  <c r="L32" i="27" s="1"/>
  <c r="J30" i="27"/>
  <c r="M30" i="27" s="1"/>
  <c r="M29" i="27"/>
  <c r="M28" i="27"/>
  <c r="M27" i="27"/>
  <c r="M26" i="27"/>
  <c r="M25" i="27"/>
  <c r="J24" i="27"/>
  <c r="J32" i="27" s="1" a="1"/>
  <c r="J32" i="27" s="1"/>
  <c r="L20" i="27" a="1"/>
  <c r="L20" i="27" s="1"/>
  <c r="J20" i="27" a="1"/>
  <c r="J20" i="27" s="1"/>
  <c r="M18" i="27"/>
  <c r="M17" i="27"/>
  <c r="M15" i="27"/>
  <c r="M14" i="27"/>
  <c r="M13" i="27"/>
  <c r="M12" i="27"/>
  <c r="M11" i="27"/>
  <c r="L7" i="27"/>
  <c r="N4" i="27"/>
  <c r="C1" i="27"/>
  <c r="J61" i="27" s="1"/>
  <c r="J64" i="27" s="1" a="1"/>
  <c r="J64" i="27" s="1"/>
  <c r="M24" i="27" l="1"/>
  <c r="L34" i="27"/>
  <c r="L50" i="27" s="1"/>
  <c r="L59" i="27" s="1"/>
  <c r="M47" i="27" a="1"/>
  <c r="M47" i="27" s="1"/>
  <c r="M20" i="27" a="1"/>
  <c r="M20" i="27" s="1"/>
  <c r="J34" i="27"/>
  <c r="M57" i="27" a="1"/>
  <c r="M57" i="27" s="1"/>
  <c r="M32" i="27" a="1"/>
  <c r="M32" i="27" s="1"/>
  <c r="M34" i="27" s="1"/>
  <c r="M50" i="27" s="1"/>
  <c r="M59" i="27" s="1"/>
  <c r="L61" i="27"/>
  <c r="D34" i="27" l="1"/>
  <c r="J50" i="27"/>
  <c r="J59" i="27" s="1"/>
  <c r="L64" i="27" a="1"/>
  <c r="L64" i="27" s="1"/>
  <c r="L66" i="27" s="1"/>
  <c r="L69" i="27" s="1"/>
  <c r="M61" i="27"/>
  <c r="M64" i="27" s="1" a="1"/>
  <c r="M64" i="27" s="1"/>
  <c r="M66" i="27" s="1"/>
  <c r="M69" i="27" s="1"/>
  <c r="C49" i="27" l="1"/>
  <c r="C59" i="27"/>
  <c r="J66" i="27"/>
  <c r="J69" i="27" s="1"/>
  <c r="M62" i="28" l="1"/>
  <c r="L57" i="28" a="1"/>
  <c r="L57" i="28" s="1"/>
  <c r="M55" i="28"/>
  <c r="C55" i="28"/>
  <c r="M54" i="28"/>
  <c r="J53" i="28"/>
  <c r="M53" i="28" s="1"/>
  <c r="J52" i="28"/>
  <c r="M52" i="28" s="1"/>
  <c r="M45" i="28"/>
  <c r="J44" i="28"/>
  <c r="M44" i="28" s="1"/>
  <c r="L43" i="28"/>
  <c r="J42" i="28"/>
  <c r="M42" i="28" s="1"/>
  <c r="M41" i="28"/>
  <c r="C41" i="28"/>
  <c r="L40" i="28"/>
  <c r="J40" i="28"/>
  <c r="M40" i="28" s="1"/>
  <c r="M39" i="28"/>
  <c r="M38" i="28"/>
  <c r="J37" i="28"/>
  <c r="L30" i="28"/>
  <c r="J30" i="28"/>
  <c r="L29" i="28"/>
  <c r="J29" i="28"/>
  <c r="L28" i="28"/>
  <c r="J28" i="28"/>
  <c r="L27" i="28"/>
  <c r="J27" i="28"/>
  <c r="J26" i="28"/>
  <c r="L25" i="28"/>
  <c r="M25" i="28" s="1"/>
  <c r="L24" i="28"/>
  <c r="M24" i="28" s="1"/>
  <c r="L18" i="28"/>
  <c r="M18" i="28" s="1"/>
  <c r="J18" i="28"/>
  <c r="M17" i="28"/>
  <c r="J15" i="28"/>
  <c r="L14" i="28"/>
  <c r="M14" i="28" s="1"/>
  <c r="J14" i="28"/>
  <c r="L13" i="28"/>
  <c r="M13" i="28" s="1"/>
  <c r="M12" i="28"/>
  <c r="M11" i="28"/>
  <c r="L7" i="28"/>
  <c r="N4" i="28"/>
  <c r="C1" i="28"/>
  <c r="L61" i="28" s="1"/>
  <c r="M27" i="28" l="1"/>
  <c r="M57" i="28" a="1"/>
  <c r="M57" i="28" s="1"/>
  <c r="J57" i="28" a="1"/>
  <c r="J57" i="28" s="1"/>
  <c r="M28" i="28"/>
  <c r="M30" i="28"/>
  <c r="J20" i="28" a="1"/>
  <c r="J20" i="28" s="1"/>
  <c r="M29" i="28"/>
  <c r="J47" i="28" a="1"/>
  <c r="J47" i="28" s="1"/>
  <c r="L47" i="28" a="1"/>
  <c r="L47" i="28" s="1"/>
  <c r="J32" i="28" a="1"/>
  <c r="J32" i="28" s="1"/>
  <c r="L64" i="28" a="1"/>
  <c r="L64" i="28" s="1"/>
  <c r="L20" i="28" a="1"/>
  <c r="L20" i="28" s="1"/>
  <c r="L32" i="28" a="1"/>
  <c r="L32" i="28" s="1"/>
  <c r="J61" i="28"/>
  <c r="J64" i="28" s="1" a="1"/>
  <c r="J64" i="28" s="1"/>
  <c r="M15" i="28"/>
  <c r="M20" i="28" s="1" a="1"/>
  <c r="M20" i="28" s="1"/>
  <c r="M26" i="28"/>
  <c r="M37" i="28"/>
  <c r="M43" i="28"/>
  <c r="C43" i="28"/>
  <c r="M32" i="28" l="1" a="1"/>
  <c r="M32" i="28"/>
  <c r="M34" i="28"/>
  <c r="J34" i="28"/>
  <c r="J50" i="28" s="1"/>
  <c r="M47" i="28" a="1"/>
  <c r="M47" i="28" s="1"/>
  <c r="J59" i="28"/>
  <c r="L34" i="28"/>
  <c r="M61" i="28"/>
  <c r="M64" i="28" s="1" a="1"/>
  <c r="M64" i="28" s="1"/>
  <c r="M50" i="28" l="1"/>
  <c r="M59" i="28" s="1"/>
  <c r="M66" i="28" s="1"/>
  <c r="M69" i="28" s="1"/>
  <c r="L50" i="28"/>
  <c r="D34" i="28"/>
  <c r="J66" i="28"/>
  <c r="J69" i="28" s="1"/>
  <c r="L59" i="28" l="1"/>
  <c r="C49" i="28"/>
  <c r="L66" i="28" l="1"/>
  <c r="L69" i="28" s="1"/>
  <c r="C59" i="28"/>
  <c r="M62" i="26" l="1"/>
  <c r="L57" i="26" a="1"/>
  <c r="L57" i="26" s="1"/>
  <c r="M55" i="26"/>
  <c r="C55" i="26"/>
  <c r="M54" i="26"/>
  <c r="M53" i="26"/>
  <c r="J52" i="26"/>
  <c r="J57" i="26" s="1" a="1"/>
  <c r="J57" i="26" s="1"/>
  <c r="L47" i="26" a="1"/>
  <c r="L47" i="26" s="1"/>
  <c r="J47" i="26" a="1"/>
  <c r="J47" i="26" s="1"/>
  <c r="M45" i="26"/>
  <c r="M44" i="26"/>
  <c r="M43" i="26"/>
  <c r="C43" i="26"/>
  <c r="M42" i="26"/>
  <c r="M41" i="26"/>
  <c r="C41" i="26"/>
  <c r="M40" i="26"/>
  <c r="M39" i="26"/>
  <c r="M38" i="26"/>
  <c r="M37" i="26"/>
  <c r="L32" i="26" a="1"/>
  <c r="L32" i="26" s="1"/>
  <c r="J30" i="26"/>
  <c r="M30" i="26" s="1"/>
  <c r="M29" i="26"/>
  <c r="J29" i="26"/>
  <c r="M28" i="26"/>
  <c r="J27" i="26"/>
  <c r="M27" i="26" s="1"/>
  <c r="M26" i="26"/>
  <c r="M25" i="26"/>
  <c r="M24" i="26"/>
  <c r="L20" i="26" a="1"/>
  <c r="L20" i="26" s="1"/>
  <c r="J18" i="26"/>
  <c r="M18" i="26" s="1"/>
  <c r="M17" i="26"/>
  <c r="M15" i="26"/>
  <c r="M14" i="26"/>
  <c r="M13" i="26"/>
  <c r="M12" i="26"/>
  <c r="J11" i="26"/>
  <c r="J20" i="26" s="1" a="1"/>
  <c r="J20" i="26" s="1"/>
  <c r="L7" i="26"/>
  <c r="N4" i="26"/>
  <c r="C1" i="26"/>
  <c r="L34" i="26" l="1"/>
  <c r="L50" i="26" s="1"/>
  <c r="L59" i="26" s="1"/>
  <c r="L61" i="26"/>
  <c r="J61" i="26"/>
  <c r="J64" i="26" s="1" a="1"/>
  <c r="J64" i="26" s="1"/>
  <c r="M47" i="26" a="1"/>
  <c r="M47" i="26" s="1"/>
  <c r="M32" i="26" a="1"/>
  <c r="M32" i="26" s="1"/>
  <c r="M11" i="26"/>
  <c r="M20" i="26" s="1" a="1"/>
  <c r="M20" i="26" s="1"/>
  <c r="J32" i="26" a="1"/>
  <c r="J32" i="26" s="1"/>
  <c r="J34" i="26" s="1"/>
  <c r="M52" i="26"/>
  <c r="M57" i="26" s="1" a="1"/>
  <c r="M57" i="26" s="1"/>
  <c r="M61" i="26" l="1"/>
  <c r="M64" i="26" s="1" a="1"/>
  <c r="M64" i="26" s="1"/>
  <c r="M34" i="26"/>
  <c r="M50" i="26" s="1"/>
  <c r="M59" i="26" s="1"/>
  <c r="M66" i="26" s="1"/>
  <c r="M69" i="26" s="1"/>
  <c r="L64" i="26" a="1"/>
  <c r="L64" i="26" s="1"/>
  <c r="L66" i="26" s="1"/>
  <c r="L69" i="26" s="1"/>
  <c r="D34" i="26"/>
  <c r="J50" i="26"/>
  <c r="C49" i="26" l="1"/>
  <c r="J59" i="26"/>
  <c r="C59" i="26" l="1"/>
  <c r="J66" i="26"/>
  <c r="J69" i="26" s="1"/>
  <c r="J62" i="25" l="1"/>
  <c r="M62" i="25" s="1"/>
  <c r="L57" i="25" a="1"/>
  <c r="L57" i="25" s="1"/>
  <c r="J57" i="25" a="1"/>
  <c r="J57" i="25" s="1"/>
  <c r="M55" i="25"/>
  <c r="C55" i="25"/>
  <c r="M54" i="25"/>
  <c r="M53" i="25"/>
  <c r="M52" i="25"/>
  <c r="L47" i="25"/>
  <c r="L47" i="25" a="1"/>
  <c r="J47" i="25" a="1"/>
  <c r="J47" i="25" s="1"/>
  <c r="M45" i="25"/>
  <c r="M44" i="25"/>
  <c r="M43" i="25"/>
  <c r="C43" i="25"/>
  <c r="M42" i="25"/>
  <c r="M41" i="25"/>
  <c r="C41" i="25"/>
  <c r="M40" i="25"/>
  <c r="M39" i="25"/>
  <c r="M38" i="25"/>
  <c r="M37" i="25"/>
  <c r="L32" i="25" a="1"/>
  <c r="L32" i="25" s="1"/>
  <c r="J30" i="25"/>
  <c r="M30" i="25" s="1"/>
  <c r="M29" i="25"/>
  <c r="M28" i="25"/>
  <c r="M27" i="25"/>
  <c r="M26" i="25"/>
  <c r="M25" i="25"/>
  <c r="M24" i="25"/>
  <c r="L20" i="25" a="1"/>
  <c r="L20" i="25" s="1"/>
  <c r="J20" i="25" a="1"/>
  <c r="J20" i="25" s="1"/>
  <c r="M18" i="25"/>
  <c r="M17" i="25"/>
  <c r="M15" i="25"/>
  <c r="M14" i="25"/>
  <c r="M13" i="25"/>
  <c r="M12" i="25"/>
  <c r="M11" i="25"/>
  <c r="L7" i="25"/>
  <c r="N4" i="25"/>
  <c r="C1" i="25"/>
  <c r="J61" i="25" s="1"/>
  <c r="J64" i="25" s="1" a="1"/>
  <c r="J64" i="25" s="1"/>
  <c r="J32" i="25" l="1" a="1"/>
  <c r="J32" i="25" s="1"/>
  <c r="J34" i="25" s="1"/>
  <c r="M47" i="25" a="1"/>
  <c r="M47" i="25" s="1"/>
  <c r="M32" i="25" a="1"/>
  <c r="M32" i="25" s="1"/>
  <c r="M57" i="25" a="1"/>
  <c r="M57" i="25" s="1"/>
  <c r="M20" i="25" a="1"/>
  <c r="M20" i="25" s="1"/>
  <c r="L34" i="25"/>
  <c r="L50" i="25" s="1"/>
  <c r="L59" i="25" s="1"/>
  <c r="L61" i="25"/>
  <c r="M34" i="25" l="1"/>
  <c r="M50" i="25" s="1"/>
  <c r="M59" i="25" s="1"/>
  <c r="J50" i="25"/>
  <c r="C49" i="25" s="1"/>
  <c r="D34" i="25"/>
  <c r="L64" i="25" a="1"/>
  <c r="L64" i="25" s="1"/>
  <c r="L66" i="25" s="1"/>
  <c r="L69" i="25" s="1"/>
  <c r="M61" i="25"/>
  <c r="M64" i="25" s="1" a="1"/>
  <c r="M64" i="25" s="1"/>
  <c r="M66" i="25" s="1"/>
  <c r="M69" i="25" s="1"/>
  <c r="J59" i="25" l="1"/>
  <c r="C59" i="25"/>
  <c r="J66" i="25"/>
  <c r="J69" i="25" l="1"/>
  <c r="M62" i="24"/>
  <c r="L57" i="24"/>
  <c r="L57" i="24" a="1"/>
  <c r="J57" i="24" a="1"/>
  <c r="J57" i="24" s="1"/>
  <c r="M55" i="24"/>
  <c r="C55" i="24"/>
  <c r="M54" i="24"/>
  <c r="M53" i="24"/>
  <c r="M52" i="24"/>
  <c r="L47" i="24" a="1"/>
  <c r="L47" i="24" s="1"/>
  <c r="J47" i="24" a="1"/>
  <c r="J47" i="24" s="1"/>
  <c r="M45" i="24"/>
  <c r="M44" i="24"/>
  <c r="M43" i="24"/>
  <c r="C43" i="24"/>
  <c r="M42" i="24"/>
  <c r="M41" i="24"/>
  <c r="C41" i="24"/>
  <c r="M40" i="24"/>
  <c r="M39" i="24"/>
  <c r="M38" i="24"/>
  <c r="M37" i="24"/>
  <c r="L32" i="24"/>
  <c r="L32" i="24" a="1"/>
  <c r="J30" i="24"/>
  <c r="J32" i="24" s="1" a="1"/>
  <c r="J32" i="24" s="1"/>
  <c r="M29" i="24"/>
  <c r="M28" i="24"/>
  <c r="M27" i="24"/>
  <c r="M26" i="24"/>
  <c r="M25" i="24"/>
  <c r="M24" i="24"/>
  <c r="L20" i="24" a="1"/>
  <c r="L20" i="24" s="1"/>
  <c r="J20" i="24" a="1"/>
  <c r="J20" i="24" s="1"/>
  <c r="M18" i="24"/>
  <c r="M17" i="24"/>
  <c r="M15" i="24"/>
  <c r="M14" i="24"/>
  <c r="M13" i="24"/>
  <c r="M12" i="24"/>
  <c r="M11" i="24"/>
  <c r="L7" i="24"/>
  <c r="N4" i="24"/>
  <c r="C1" i="24"/>
  <c r="L61" i="24" s="1"/>
  <c r="L34" i="24" l="1"/>
  <c r="M47" i="24" a="1"/>
  <c r="M47" i="24" s="1"/>
  <c r="M30" i="24"/>
  <c r="M57" i="24" a="1"/>
  <c r="M57" i="24" s="1"/>
  <c r="M32" i="24" a="1"/>
  <c r="M20" i="24" a="1"/>
  <c r="M20" i="24" s="1"/>
  <c r="J34" i="24"/>
  <c r="J50" i="24" s="1"/>
  <c r="L64" i="24" a="1"/>
  <c r="L64" i="24" s="1"/>
  <c r="L50" i="24"/>
  <c r="L59" i="24" s="1"/>
  <c r="D34" i="24"/>
  <c r="J61" i="24"/>
  <c r="J64" i="24" s="1" a="1"/>
  <c r="J64" i="24" s="1"/>
  <c r="M32" i="24" l="1"/>
  <c r="M34" i="24" s="1"/>
  <c r="M50" i="24" s="1"/>
  <c r="M59" i="24" s="1"/>
  <c r="M61" i="24"/>
  <c r="M64" i="24" s="1" a="1"/>
  <c r="M64" i="24" s="1"/>
  <c r="J59" i="24"/>
  <c r="C49" i="24"/>
  <c r="L66" i="24"/>
  <c r="L69" i="24" s="1"/>
  <c r="M66" i="24" l="1"/>
  <c r="M69" i="24" s="1"/>
  <c r="J66" i="24"/>
  <c r="J69" i="24" s="1"/>
  <c r="C59" i="24"/>
  <c r="M62" i="23" l="1"/>
  <c r="L57" i="23" a="1"/>
  <c r="L57" i="23" s="1"/>
  <c r="J57" i="23" a="1"/>
  <c r="J57" i="23" s="1"/>
  <c r="M55" i="23"/>
  <c r="C55" i="23"/>
  <c r="M54" i="23"/>
  <c r="M53" i="23"/>
  <c r="M52" i="23"/>
  <c r="L47" i="23" a="1"/>
  <c r="L47" i="23" s="1"/>
  <c r="J47" i="23" a="1"/>
  <c r="J47" i="23" s="1"/>
  <c r="M45" i="23"/>
  <c r="M44" i="23"/>
  <c r="M43" i="23"/>
  <c r="C43" i="23"/>
  <c r="M42" i="23"/>
  <c r="M41" i="23"/>
  <c r="C41" i="23"/>
  <c r="M40" i="23"/>
  <c r="M39" i="23"/>
  <c r="M38" i="23"/>
  <c r="M37" i="23"/>
  <c r="L32" i="23" a="1"/>
  <c r="L32" i="23" s="1"/>
  <c r="J30" i="23"/>
  <c r="M30" i="23" s="1"/>
  <c r="M29" i="23"/>
  <c r="M28" i="23"/>
  <c r="M27" i="23"/>
  <c r="M26" i="23"/>
  <c r="M25" i="23"/>
  <c r="M24" i="23"/>
  <c r="J24" i="23"/>
  <c r="L20" i="23" a="1"/>
  <c r="L20" i="23" s="1"/>
  <c r="J20" i="23" a="1"/>
  <c r="J20" i="23" s="1"/>
  <c r="M18" i="23"/>
  <c r="M17" i="23"/>
  <c r="M15" i="23"/>
  <c r="M14" i="23"/>
  <c r="M13" i="23"/>
  <c r="M12" i="23"/>
  <c r="M11" i="23"/>
  <c r="L7" i="23"/>
  <c r="N4" i="23"/>
  <c r="C1" i="23"/>
  <c r="L61" i="23" s="1"/>
  <c r="M20" i="23" l="1" a="1"/>
  <c r="M20" i="23" s="1"/>
  <c r="L34" i="23"/>
  <c r="L50" i="23" s="1"/>
  <c r="L59" i="23" s="1"/>
  <c r="J32" i="23" a="1"/>
  <c r="J32" i="23" s="1"/>
  <c r="J34" i="23" s="1"/>
  <c r="M57" i="23" a="1"/>
  <c r="M57" i="23" s="1"/>
  <c r="M47" i="23" a="1"/>
  <c r="M47" i="23" s="1"/>
  <c r="M32" i="23" a="1"/>
  <c r="M32" i="23" s="1"/>
  <c r="M34" i="23" s="1"/>
  <c r="L64" i="23" a="1"/>
  <c r="L64" i="23" s="1"/>
  <c r="L66" i="23" s="1"/>
  <c r="L69" i="23" s="1"/>
  <c r="J61" i="23"/>
  <c r="J64" i="23" s="1" a="1"/>
  <c r="J64" i="23" s="1"/>
  <c r="M50" i="23" l="1"/>
  <c r="M59" i="23" s="1"/>
  <c r="J50" i="23"/>
  <c r="D34" i="23"/>
  <c r="M61" i="23"/>
  <c r="M64" i="23" s="1" a="1"/>
  <c r="M64" i="23" s="1"/>
  <c r="M66" i="23" s="1"/>
  <c r="M69" i="23" s="1"/>
  <c r="J59" i="23" l="1"/>
  <c r="C49" i="23"/>
  <c r="J66" i="23" l="1"/>
  <c r="J69" i="23" s="1"/>
  <c r="C59" i="23"/>
  <c r="M62" i="22" l="1"/>
  <c r="L57" i="22" a="1"/>
  <c r="L57" i="22" s="1"/>
  <c r="J57" i="22" a="1"/>
  <c r="J57" i="22" s="1"/>
  <c r="M55" i="22"/>
  <c r="C55" i="22"/>
  <c r="M54" i="22"/>
  <c r="M53" i="22"/>
  <c r="M52" i="22"/>
  <c r="L47" i="22" a="1"/>
  <c r="L47" i="22" s="1"/>
  <c r="J47" i="22" a="1"/>
  <c r="J47" i="22" s="1"/>
  <c r="M45" i="22"/>
  <c r="M44" i="22"/>
  <c r="M43" i="22"/>
  <c r="C43" i="22"/>
  <c r="M42" i="22"/>
  <c r="M41" i="22"/>
  <c r="C41" i="22"/>
  <c r="M40" i="22"/>
  <c r="M39" i="22"/>
  <c r="M38" i="22"/>
  <c r="M37" i="22"/>
  <c r="L32" i="22" a="1"/>
  <c r="L32" i="22" s="1"/>
  <c r="J30" i="22"/>
  <c r="J32" i="22" s="1" a="1"/>
  <c r="J32" i="22" s="1"/>
  <c r="M29" i="22"/>
  <c r="M28" i="22"/>
  <c r="M27" i="22"/>
  <c r="M26" i="22"/>
  <c r="M25" i="22"/>
  <c r="M24" i="22"/>
  <c r="L20" i="22" a="1"/>
  <c r="L20" i="22" s="1"/>
  <c r="J20" i="22" a="1"/>
  <c r="J20" i="22" s="1"/>
  <c r="M18" i="22"/>
  <c r="M17" i="22"/>
  <c r="M15" i="22"/>
  <c r="M14" i="22"/>
  <c r="M13" i="22"/>
  <c r="M12" i="22"/>
  <c r="M11" i="22"/>
  <c r="L7" i="22"/>
  <c r="N4" i="22"/>
  <c r="C1" i="22"/>
  <c r="L61" i="22" s="1"/>
  <c r="M20" i="22" l="1" a="1"/>
  <c r="M20" i="22" s="1"/>
  <c r="L34" i="22"/>
  <c r="L50" i="22" s="1"/>
  <c r="L59" i="22" s="1"/>
  <c r="M30" i="22"/>
  <c r="M47" i="22" a="1"/>
  <c r="M47" i="22" s="1"/>
  <c r="M32" i="22" a="1"/>
  <c r="M57" i="22" a="1"/>
  <c r="M57" i="22" s="1"/>
  <c r="L64" i="22" a="1"/>
  <c r="L64" i="22" s="1"/>
  <c r="J34" i="22"/>
  <c r="J61" i="22"/>
  <c r="J64" i="22" s="1" a="1"/>
  <c r="J64" i="22" s="1"/>
  <c r="L66" i="22" l="1"/>
  <c r="L69" i="22" s="1"/>
  <c r="M32" i="22"/>
  <c r="M34" i="22" s="1"/>
  <c r="M50" i="22" s="1"/>
  <c r="M59" i="22" s="1"/>
  <c r="M61" i="22"/>
  <c r="M64" i="22" s="1" a="1"/>
  <c r="M64" i="22" s="1"/>
  <c r="M66" i="22" s="1"/>
  <c r="M69" i="22" s="1"/>
  <c r="J50" i="22"/>
  <c r="D34" i="22"/>
  <c r="J59" i="22" l="1"/>
  <c r="C49" i="22"/>
  <c r="J66" i="22" l="1"/>
  <c r="J69" i="22" s="1"/>
  <c r="C59" i="22"/>
  <c r="M62" i="21" l="1"/>
  <c r="L57" i="21" a="1"/>
  <c r="L57" i="21" s="1"/>
  <c r="J57" i="21" a="1"/>
  <c r="J57" i="21" s="1"/>
  <c r="M55" i="21"/>
  <c r="C55" i="21"/>
  <c r="M54" i="21"/>
  <c r="M53" i="21"/>
  <c r="M52" i="21"/>
  <c r="J47" i="21" a="1"/>
  <c r="J47" i="21" s="1"/>
  <c r="M45" i="21"/>
  <c r="M44" i="21"/>
  <c r="M43" i="21"/>
  <c r="C43" i="21"/>
  <c r="M42" i="21"/>
  <c r="M41" i="21"/>
  <c r="C41" i="21"/>
  <c r="M40" i="21"/>
  <c r="L39" i="21"/>
  <c r="L47" i="21" s="1" a="1"/>
  <c r="L47" i="21" s="1"/>
  <c r="M38" i="21"/>
  <c r="M37" i="21"/>
  <c r="J30" i="21"/>
  <c r="J32" i="21" s="1" a="1"/>
  <c r="J32" i="21" s="1"/>
  <c r="M29" i="21"/>
  <c r="L28" i="21"/>
  <c r="L32" i="21" s="1" a="1"/>
  <c r="L32" i="21" s="1"/>
  <c r="M27" i="21"/>
  <c r="M26" i="21"/>
  <c r="M25" i="21"/>
  <c r="M24" i="21"/>
  <c r="L20" i="21" a="1"/>
  <c r="L20" i="21" s="1"/>
  <c r="J20" i="21" a="1"/>
  <c r="J20" i="21" s="1"/>
  <c r="M18" i="21"/>
  <c r="M17" i="21"/>
  <c r="M15" i="21"/>
  <c r="M14" i="21"/>
  <c r="M13" i="21"/>
  <c r="M12" i="21"/>
  <c r="M11" i="21"/>
  <c r="L7" i="21"/>
  <c r="N4" i="21"/>
  <c r="C1" i="21"/>
  <c r="L61" i="21" s="1"/>
  <c r="M28" i="21" l="1"/>
  <c r="M57" i="21" a="1"/>
  <c r="M57" i="21" s="1"/>
  <c r="L34" i="21"/>
  <c r="L50" i="21" s="1"/>
  <c r="L59" i="21" s="1"/>
  <c r="M39" i="21"/>
  <c r="J34" i="21"/>
  <c r="J50" i="21" s="1"/>
  <c r="M47" i="21" a="1"/>
  <c r="M47" i="21" s="1"/>
  <c r="M20" i="21" a="1"/>
  <c r="M20" i="21" s="1"/>
  <c r="L64" i="21" a="1"/>
  <c r="L64" i="21" s="1"/>
  <c r="M30" i="21"/>
  <c r="M32" i="21" s="1" a="1"/>
  <c r="M32" i="21" s="1"/>
  <c r="J61" i="21"/>
  <c r="J64" i="21" s="1" a="1"/>
  <c r="J64" i="21" s="1"/>
  <c r="L66" i="21" l="1"/>
  <c r="L69" i="21" s="1"/>
  <c r="M34" i="21"/>
  <c r="M50" i="21" s="1"/>
  <c r="M59" i="21" s="1"/>
  <c r="D34" i="21"/>
  <c r="J59" i="21"/>
  <c r="C49" i="21"/>
  <c r="M61" i="21"/>
  <c r="M64" i="21" s="1" a="1"/>
  <c r="M64" i="21" s="1"/>
  <c r="M66" i="21" l="1"/>
  <c r="M69" i="21" s="1"/>
  <c r="J66" i="21"/>
  <c r="J69" i="21" s="1"/>
  <c r="C59" i="21"/>
  <c r="J62" i="20" l="1"/>
  <c r="M62" i="20" s="1"/>
  <c r="L57" i="20" a="1"/>
  <c r="L57" i="20" s="1"/>
  <c r="J57" i="20" a="1"/>
  <c r="J57" i="20" s="1"/>
  <c r="M55" i="20"/>
  <c r="C55" i="20"/>
  <c r="M54" i="20"/>
  <c r="M53" i="20"/>
  <c r="M52" i="20"/>
  <c r="L47" i="20" a="1"/>
  <c r="L47" i="20" s="1"/>
  <c r="M45" i="20"/>
  <c r="M44" i="20"/>
  <c r="J43" i="20"/>
  <c r="J47" i="20" s="1" a="1"/>
  <c r="J47" i="20" s="1"/>
  <c r="C43" i="20"/>
  <c r="M42" i="20"/>
  <c r="M41" i="20"/>
  <c r="C41" i="20"/>
  <c r="M40" i="20"/>
  <c r="M39" i="20"/>
  <c r="M38" i="20"/>
  <c r="M37" i="20"/>
  <c r="L32" i="20"/>
  <c r="J30" i="20"/>
  <c r="M30" i="20" s="1"/>
  <c r="M29" i="20"/>
  <c r="M28" i="20"/>
  <c r="M27" i="20"/>
  <c r="M26" i="20"/>
  <c r="M25" i="20"/>
  <c r="J24" i="20"/>
  <c r="M24" i="20" s="1"/>
  <c r="L20" i="20"/>
  <c r="L34" i="20" s="1"/>
  <c r="J20" i="20"/>
  <c r="M18" i="20"/>
  <c r="M17" i="20"/>
  <c r="M16" i="20"/>
  <c r="M15" i="20"/>
  <c r="M14" i="20"/>
  <c r="M13" i="20"/>
  <c r="M12" i="20"/>
  <c r="M11" i="20"/>
  <c r="L7" i="20"/>
  <c r="C1" i="20"/>
  <c r="J61" i="20" s="1"/>
  <c r="J64" i="20" s="1" a="1"/>
  <c r="J64" i="20" s="1"/>
  <c r="M57" i="20" l="1" a="1"/>
  <c r="M57" i="20" s="1"/>
  <c r="M20" i="20"/>
  <c r="M43" i="20"/>
  <c r="M47" i="20" s="1" a="1"/>
  <c r="M47" i="20" s="1"/>
  <c r="L50" i="20"/>
  <c r="L59" i="20" s="1"/>
  <c r="M32" i="20"/>
  <c r="M34" i="20" s="1"/>
  <c r="J32" i="20"/>
  <c r="J34" i="20" s="1"/>
  <c r="L61" i="20"/>
  <c r="M50" i="20" l="1"/>
  <c r="M59" i="20" s="1"/>
  <c r="D34" i="20"/>
  <c r="J50" i="20"/>
  <c r="L64" i="20" a="1"/>
  <c r="L64" i="20" s="1"/>
  <c r="L66" i="20" s="1"/>
  <c r="L69" i="20" s="1"/>
  <c r="M61" i="20"/>
  <c r="M64" i="20" s="1" a="1"/>
  <c r="M64" i="20" s="1"/>
  <c r="M66" i="20" s="1"/>
  <c r="M69" i="20" s="1"/>
  <c r="J59" i="20" l="1"/>
  <c r="C49" i="20"/>
  <c r="C59" i="20" l="1"/>
  <c r="J66" i="20"/>
  <c r="J69" i="20" s="1"/>
  <c r="M62" i="19" l="1"/>
  <c r="L57" i="19" a="1"/>
  <c r="L57" i="19" s="1"/>
  <c r="M55" i="19"/>
  <c r="C55" i="19"/>
  <c r="M54" i="19"/>
  <c r="J53" i="19"/>
  <c r="M53" i="19" s="1"/>
  <c r="M57" i="19" s="1" a="1"/>
  <c r="M57" i="19" s="1"/>
  <c r="M52" i="19"/>
  <c r="L47" i="19" a="1"/>
  <c r="L47" i="19" s="1"/>
  <c r="J47" i="19" a="1"/>
  <c r="J47" i="19" s="1"/>
  <c r="M45" i="19"/>
  <c r="M44" i="19"/>
  <c r="M43" i="19"/>
  <c r="C43" i="19"/>
  <c r="M42" i="19"/>
  <c r="M41" i="19"/>
  <c r="C41" i="19"/>
  <c r="M40" i="19"/>
  <c r="M39" i="19"/>
  <c r="M38" i="19"/>
  <c r="M37" i="19"/>
  <c r="L32" i="19" a="1"/>
  <c r="L32" i="19" s="1"/>
  <c r="J30" i="19"/>
  <c r="M30" i="19" s="1"/>
  <c r="M29" i="19"/>
  <c r="M28" i="19"/>
  <c r="M27" i="19"/>
  <c r="M26" i="19"/>
  <c r="M25" i="19"/>
  <c r="M24" i="19"/>
  <c r="L20" i="19" a="1"/>
  <c r="L20" i="19" s="1"/>
  <c r="J20" i="19" a="1"/>
  <c r="J20" i="19" s="1"/>
  <c r="M18" i="19"/>
  <c r="M17" i="19"/>
  <c r="M15" i="19"/>
  <c r="M14" i="19"/>
  <c r="M13" i="19"/>
  <c r="M12" i="19"/>
  <c r="M11" i="19"/>
  <c r="L7" i="19"/>
  <c r="N4" i="19"/>
  <c r="C1" i="19"/>
  <c r="L61" i="19" s="1"/>
  <c r="J57" i="19" l="1" a="1"/>
  <c r="J57" i="19" s="1"/>
  <c r="M47" i="19" a="1"/>
  <c r="M47" i="19" s="1"/>
  <c r="M20" i="19" a="1"/>
  <c r="M20" i="19" s="1"/>
  <c r="L34" i="19"/>
  <c r="L50" i="19" s="1"/>
  <c r="L59" i="19" s="1"/>
  <c r="J32" i="19" a="1"/>
  <c r="J32" i="19" s="1"/>
  <c r="J34" i="19" s="1"/>
  <c r="D34" i="19" s="1"/>
  <c r="L64" i="19" a="1"/>
  <c r="L64" i="19" s="1"/>
  <c r="M32" i="19" a="1"/>
  <c r="M32" i="19" s="1"/>
  <c r="J61" i="19"/>
  <c r="J64" i="19" s="1" a="1"/>
  <c r="J64" i="19" s="1"/>
  <c r="L66" i="19" l="1"/>
  <c r="L69" i="19" s="1"/>
  <c r="J50" i="19"/>
  <c r="J59" i="19" s="1"/>
  <c r="M34" i="19"/>
  <c r="M50" i="19" s="1"/>
  <c r="M59" i="19" s="1"/>
  <c r="M61" i="19"/>
  <c r="M64" i="19" s="1" a="1"/>
  <c r="M64" i="19" s="1"/>
  <c r="C49" i="19" l="1"/>
  <c r="M66" i="19"/>
  <c r="M69" i="19" s="1"/>
  <c r="J66" i="19"/>
  <c r="J69" i="19" s="1"/>
  <c r="C59" i="19"/>
  <c r="K62" i="18" l="1"/>
  <c r="J57" i="18" a="1"/>
  <c r="J57" i="18" s="1"/>
  <c r="H57" i="18" a="1"/>
  <c r="H57" i="18" s="1"/>
  <c r="K55" i="18"/>
  <c r="A55" i="18"/>
  <c r="K54" i="18"/>
  <c r="K53" i="18"/>
  <c r="K52" i="18"/>
  <c r="J47" i="18" a="1"/>
  <c r="J47" i="18" s="1"/>
  <c r="H47" i="18" a="1"/>
  <c r="H47" i="18" s="1"/>
  <c r="K45" i="18"/>
  <c r="K44" i="18"/>
  <c r="K43" i="18"/>
  <c r="A43" i="18"/>
  <c r="K42" i="18"/>
  <c r="K41" i="18"/>
  <c r="A41" i="18"/>
  <c r="K40" i="18"/>
  <c r="K39" i="18"/>
  <c r="K38" i="18"/>
  <c r="K37" i="18"/>
  <c r="J32" i="18" a="1"/>
  <c r="J32" i="18" s="1"/>
  <c r="H30" i="18"/>
  <c r="H32" i="18" s="1" a="1"/>
  <c r="H32" i="18" s="1"/>
  <c r="K29" i="18"/>
  <c r="K28" i="18"/>
  <c r="K27" i="18"/>
  <c r="K26" i="18"/>
  <c r="K25" i="18"/>
  <c r="K24" i="18"/>
  <c r="J20" i="18" a="1"/>
  <c r="J20" i="18" s="1"/>
  <c r="H20" i="18" a="1"/>
  <c r="H20" i="18" s="1"/>
  <c r="K18" i="18"/>
  <c r="K17" i="18"/>
  <c r="K15" i="18"/>
  <c r="K14" i="18"/>
  <c r="K13" i="18"/>
  <c r="K12" i="18"/>
  <c r="K11" i="18"/>
  <c r="J7" i="18"/>
  <c r="L4" i="18"/>
  <c r="A1" i="18"/>
  <c r="J61" i="18" s="1"/>
  <c r="J34" i="18" l="1"/>
  <c r="J50" i="18" s="1"/>
  <c r="J59" i="18" s="1"/>
  <c r="K47" i="18" a="1"/>
  <c r="K47" i="18" s="1"/>
  <c r="K57" i="18" a="1"/>
  <c r="K57" i="18" s="1"/>
  <c r="K20" i="18" a="1"/>
  <c r="K20" i="18" s="1"/>
  <c r="H34" i="18"/>
  <c r="J64" i="18" a="1"/>
  <c r="J64" i="18" s="1"/>
  <c r="J66" i="18" s="1"/>
  <c r="J69" i="18" s="1"/>
  <c r="H61" i="18"/>
  <c r="H64" i="18" s="1" a="1"/>
  <c r="H64" i="18" s="1"/>
  <c r="K30" i="18"/>
  <c r="K32" i="18" s="1" a="1"/>
  <c r="K32" i="18" s="1"/>
  <c r="K34" i="18" s="1"/>
  <c r="K50" i="18" l="1"/>
  <c r="K59" i="18" s="1"/>
  <c r="K61" i="18"/>
  <c r="K64" i="18" s="1" a="1"/>
  <c r="K64" i="18" s="1"/>
  <c r="B34" i="18"/>
  <c r="H50" i="18"/>
  <c r="K66" i="18" l="1"/>
  <c r="K69" i="18" s="1"/>
  <c r="H59" i="18"/>
  <c r="A49" i="18"/>
  <c r="H66" i="18" l="1"/>
  <c r="H69" i="18" s="1"/>
  <c r="A59" i="18"/>
  <c r="J62" i="17" l="1"/>
  <c r="K62" i="17" s="1"/>
  <c r="J57" i="17" a="1"/>
  <c r="J57" i="17" s="1"/>
  <c r="K55" i="17"/>
  <c r="A55" i="17"/>
  <c r="K54" i="17"/>
  <c r="H53" i="17"/>
  <c r="H57" i="17" s="1" a="1"/>
  <c r="H57" i="17" s="1"/>
  <c r="K52" i="17"/>
  <c r="K45" i="17"/>
  <c r="K44" i="17"/>
  <c r="K43" i="17"/>
  <c r="A43" i="17"/>
  <c r="K42" i="17"/>
  <c r="J41" i="17"/>
  <c r="J47" i="17" s="1" a="1"/>
  <c r="J47" i="17" s="1"/>
  <c r="K40" i="17"/>
  <c r="H39" i="17"/>
  <c r="K39" i="17" s="1"/>
  <c r="K38" i="17"/>
  <c r="K37" i="17"/>
  <c r="J32" i="17" a="1"/>
  <c r="J32" i="17" s="1"/>
  <c r="H30" i="17"/>
  <c r="K30" i="17" s="1"/>
  <c r="K29" i="17"/>
  <c r="K28" i="17"/>
  <c r="K27" i="17"/>
  <c r="K26" i="17"/>
  <c r="K25" i="17"/>
  <c r="H24" i="17"/>
  <c r="H32" i="17" s="1" a="1"/>
  <c r="H32" i="17" s="1"/>
  <c r="J20" i="17" a="1"/>
  <c r="J20" i="17" s="1"/>
  <c r="K18" i="17"/>
  <c r="K17" i="17"/>
  <c r="K15" i="17"/>
  <c r="K14" i="17"/>
  <c r="K13" i="17"/>
  <c r="K12" i="17"/>
  <c r="H11" i="17"/>
  <c r="H20" i="17" s="1" a="1"/>
  <c r="H20" i="17" s="1"/>
  <c r="J7" i="17"/>
  <c r="L4" i="17"/>
  <c r="A1" i="17"/>
  <c r="H61" i="17" s="1"/>
  <c r="H64" i="17" s="1" a="1"/>
  <c r="H64" i="17" s="1"/>
  <c r="K24" i="17" l="1"/>
  <c r="K32" i="17" s="1" a="1"/>
  <c r="K32" i="17" s="1"/>
  <c r="H34" i="17"/>
  <c r="J34" i="17"/>
  <c r="J50" i="17" s="1"/>
  <c r="J59" i="17"/>
  <c r="B34" i="17"/>
  <c r="K11" i="17"/>
  <c r="K20" i="17" s="1" a="1"/>
  <c r="K20" i="17" s="1"/>
  <c r="J61" i="17"/>
  <c r="A41" i="17"/>
  <c r="H47" i="17" a="1"/>
  <c r="H47" i="17" s="1"/>
  <c r="H50" i="17" s="1"/>
  <c r="K53" i="17"/>
  <c r="K57" i="17" s="1" a="1"/>
  <c r="K57" i="17" s="1"/>
  <c r="K41" i="17"/>
  <c r="K47" i="17" s="1" a="1"/>
  <c r="K47" i="17" s="1"/>
  <c r="K34" i="17" l="1"/>
  <c r="K50" i="17" s="1"/>
  <c r="K59" i="17" s="1"/>
  <c r="A49" i="17"/>
  <c r="H59" i="17"/>
  <c r="J64" i="17" a="1"/>
  <c r="J64" i="17" s="1"/>
  <c r="J66" i="17" s="1"/>
  <c r="J69" i="17" s="1"/>
  <c r="K61" i="17"/>
  <c r="K64" i="17" s="1" a="1"/>
  <c r="K64" i="17" s="1"/>
  <c r="K66" i="17" l="1"/>
  <c r="K69" i="17" s="1"/>
  <c r="A59" i="17"/>
  <c r="H66" i="17"/>
  <c r="H69" i="17" s="1"/>
  <c r="H62" i="16" l="1"/>
  <c r="K62" i="16" s="1"/>
  <c r="J57" i="16" a="1"/>
  <c r="J57" i="16" s="1"/>
  <c r="K55" i="16"/>
  <c r="A55" i="16"/>
  <c r="K54" i="16"/>
  <c r="K53" i="16"/>
  <c r="H52" i="16"/>
  <c r="H57" i="16" s="1" a="1"/>
  <c r="H57" i="16" s="1"/>
  <c r="J47" i="16" a="1"/>
  <c r="J47" i="16" s="1"/>
  <c r="K45" i="16"/>
  <c r="K44" i="16"/>
  <c r="K43" i="16"/>
  <c r="A43" i="16"/>
  <c r="K42" i="16"/>
  <c r="K41" i="16"/>
  <c r="A41" i="16"/>
  <c r="H40" i="16"/>
  <c r="H47" i="16" s="1" a="1"/>
  <c r="H47" i="16" s="1"/>
  <c r="K39" i="16"/>
  <c r="K38" i="16"/>
  <c r="K37" i="16"/>
  <c r="H30" i="16"/>
  <c r="K30" i="16" s="1"/>
  <c r="J29" i="16"/>
  <c r="K29" i="16" s="1"/>
  <c r="J28" i="16"/>
  <c r="H28" i="16"/>
  <c r="K27" i="16"/>
  <c r="J26" i="16"/>
  <c r="K26" i="16" s="1"/>
  <c r="K25" i="16"/>
  <c r="H24" i="16"/>
  <c r="K24" i="16" s="1"/>
  <c r="J20" i="16" a="1"/>
  <c r="J20" i="16" s="1"/>
  <c r="H20" i="16" a="1"/>
  <c r="H20" i="16" s="1"/>
  <c r="K18" i="16"/>
  <c r="K17" i="16"/>
  <c r="K15" i="16"/>
  <c r="K14" i="16"/>
  <c r="K13" i="16"/>
  <c r="K12" i="16"/>
  <c r="K11" i="16"/>
  <c r="J7" i="16"/>
  <c r="L4" i="16"/>
  <c r="A1" i="16"/>
  <c r="H61" i="16" s="1"/>
  <c r="H64" i="16" s="1" a="1"/>
  <c r="H64" i="16" s="1"/>
  <c r="K40" i="16" l="1"/>
  <c r="K28" i="16"/>
  <c r="H32" i="16" a="1"/>
  <c r="H32" i="16" s="1"/>
  <c r="H34" i="16" s="1"/>
  <c r="H50" i="16" s="1"/>
  <c r="K20" i="16" a="1"/>
  <c r="K20" i="16" s="1"/>
  <c r="K32" i="16" a="1"/>
  <c r="K32" i="16" s="1"/>
  <c r="K47" i="16" a="1"/>
  <c r="K47" i="16" s="1"/>
  <c r="K52" i="16"/>
  <c r="K57" i="16" s="1" a="1"/>
  <c r="K57" i="16" s="1"/>
  <c r="J61" i="16"/>
  <c r="J32" i="16" a="1"/>
  <c r="J32" i="16" s="1"/>
  <c r="J34" i="16" s="1"/>
  <c r="K34" i="16" l="1"/>
  <c r="K50" i="16" s="1"/>
  <c r="K59" i="16" s="1"/>
  <c r="J50" i="16"/>
  <c r="J59" i="16" s="1"/>
  <c r="B34" i="16"/>
  <c r="H59" i="16"/>
  <c r="J64" i="16" a="1"/>
  <c r="J64" i="16" s="1"/>
  <c r="K61" i="16"/>
  <c r="K64" i="16" s="1" a="1"/>
  <c r="K64" i="16" s="1"/>
  <c r="K66" i="16" s="1"/>
  <c r="K69" i="16" s="1"/>
  <c r="A59" i="16" l="1"/>
  <c r="H66" i="16"/>
  <c r="H69" i="16" s="1"/>
  <c r="J66" i="16"/>
  <c r="J69" i="16" s="1"/>
  <c r="A49" i="16"/>
  <c r="K62" i="15" l="1"/>
  <c r="J57" i="15" a="1"/>
  <c r="J57" i="15" s="1"/>
  <c r="H57" i="15" a="1"/>
  <c r="H57" i="15" s="1"/>
  <c r="K55" i="15"/>
  <c r="A55" i="15"/>
  <c r="K54" i="15"/>
  <c r="K53" i="15"/>
  <c r="K52" i="15"/>
  <c r="H47" i="15" a="1"/>
  <c r="H47" i="15" s="1"/>
  <c r="K45" i="15"/>
  <c r="K44" i="15"/>
  <c r="K43" i="15"/>
  <c r="A43" i="15"/>
  <c r="K42" i="15"/>
  <c r="J40" i="15"/>
  <c r="J41" i="15" s="1"/>
  <c r="K41" i="15" s="1"/>
  <c r="K39" i="15"/>
  <c r="K38" i="15"/>
  <c r="K37" i="15"/>
  <c r="H32" i="15" a="1"/>
  <c r="H32" i="15" s="1"/>
  <c r="K30" i="15"/>
  <c r="K29" i="15"/>
  <c r="J28" i="15"/>
  <c r="J32" i="15" s="1" a="1"/>
  <c r="J32" i="15" s="1"/>
  <c r="K27" i="15"/>
  <c r="K26" i="15"/>
  <c r="K25" i="15"/>
  <c r="K24" i="15"/>
  <c r="H20" i="15" a="1"/>
  <c r="H20" i="15" s="1"/>
  <c r="H34" i="15" s="1"/>
  <c r="J18" i="15"/>
  <c r="K18" i="15" s="1"/>
  <c r="K17" i="15"/>
  <c r="K15" i="15"/>
  <c r="K14" i="15"/>
  <c r="K13" i="15"/>
  <c r="K12" i="15"/>
  <c r="K11" i="15"/>
  <c r="J7" i="15"/>
  <c r="L4" i="15"/>
  <c r="A1" i="15"/>
  <c r="J61" i="15" s="1"/>
  <c r="K40" i="15" l="1"/>
  <c r="K57" i="15" a="1"/>
  <c r="K57" i="15" s="1"/>
  <c r="J47" i="15" a="1"/>
  <c r="J47" i="15" s="1"/>
  <c r="A41" i="15"/>
  <c r="K20" i="15" a="1"/>
  <c r="K20" i="15" s="1"/>
  <c r="H50" i="15"/>
  <c r="J64" i="15" a="1"/>
  <c r="J64" i="15" s="1"/>
  <c r="K47" i="15" a="1"/>
  <c r="K47" i="15" s="1"/>
  <c r="J20" i="15" a="1"/>
  <c r="J20" i="15" s="1"/>
  <c r="J34" i="15" s="1"/>
  <c r="J50" i="15" s="1"/>
  <c r="J59" i="15" s="1"/>
  <c r="H61" i="15"/>
  <c r="H64" i="15" s="1" a="1"/>
  <c r="H64" i="15" s="1"/>
  <c r="K28" i="15"/>
  <c r="K32" i="15" s="1" a="1"/>
  <c r="K32" i="15" s="1"/>
  <c r="J66" i="15" l="1"/>
  <c r="J69" i="15" s="1"/>
  <c r="K61" i="15"/>
  <c r="K64" i="15" s="1" a="1"/>
  <c r="K64" i="15" s="1"/>
  <c r="B34" i="15"/>
  <c r="H59" i="15"/>
  <c r="A49" i="15"/>
  <c r="K34" i="15"/>
  <c r="K50" i="15" s="1"/>
  <c r="K59" i="15" s="1"/>
  <c r="K66" i="15" l="1"/>
  <c r="K69" i="15" s="1"/>
  <c r="H66" i="15"/>
  <c r="H69" i="15" s="1"/>
  <c r="A59" i="15"/>
  <c r="H62" i="14" l="1"/>
  <c r="K62" i="14" s="1"/>
  <c r="J57" i="14" a="1"/>
  <c r="J57" i="14" s="1"/>
  <c r="H57" i="14" a="1"/>
  <c r="H57" i="14" s="1"/>
  <c r="K55" i="14"/>
  <c r="A55" i="14"/>
  <c r="K54" i="14"/>
  <c r="K53" i="14"/>
  <c r="K52" i="14"/>
  <c r="J47" i="14" a="1"/>
  <c r="J47" i="14" s="1"/>
  <c r="H45" i="14"/>
  <c r="K45" i="14" s="1"/>
  <c r="K44" i="14"/>
  <c r="H43" i="14"/>
  <c r="K43" i="14" s="1"/>
  <c r="K42" i="14"/>
  <c r="K41" i="14"/>
  <c r="A41" i="14"/>
  <c r="H40" i="14"/>
  <c r="K39" i="14"/>
  <c r="K38" i="14"/>
  <c r="K37" i="14"/>
  <c r="J32" i="14" a="1"/>
  <c r="J32" i="14" s="1"/>
  <c r="H30" i="14"/>
  <c r="K30" i="14" s="1"/>
  <c r="K29" i="14"/>
  <c r="K28" i="14"/>
  <c r="H27" i="14"/>
  <c r="K27" i="14" s="1"/>
  <c r="K26" i="14"/>
  <c r="H25" i="14"/>
  <c r="K25" i="14" s="1"/>
  <c r="K24" i="14"/>
  <c r="H24" i="14"/>
  <c r="J20" i="14" a="1"/>
  <c r="J20" i="14" s="1"/>
  <c r="H20" i="14" a="1"/>
  <c r="H20" i="14" s="1"/>
  <c r="K18" i="14"/>
  <c r="K17" i="14"/>
  <c r="K15" i="14"/>
  <c r="K14" i="14"/>
  <c r="K13" i="14"/>
  <c r="K12" i="14"/>
  <c r="K11" i="14"/>
  <c r="J7" i="14"/>
  <c r="L4" i="14"/>
  <c r="A1" i="14"/>
  <c r="H61" i="14" s="1"/>
  <c r="H64" i="14" s="1" a="1"/>
  <c r="H64" i="14" s="1"/>
  <c r="K32" i="14" l="1" a="1"/>
  <c r="K32" i="14" s="1"/>
  <c r="J34" i="14"/>
  <c r="J50" i="14" s="1"/>
  <c r="J59" i="14" s="1"/>
  <c r="K20" i="14" a="1"/>
  <c r="K20" i="14" s="1"/>
  <c r="H32" i="14" a="1"/>
  <c r="H32" i="14" s="1"/>
  <c r="H34" i="14" s="1"/>
  <c r="K57" i="14" a="1"/>
  <c r="K57" i="14" s="1"/>
  <c r="H47" i="14" a="1"/>
  <c r="H47" i="14" s="1"/>
  <c r="K40" i="14"/>
  <c r="K47" i="14" s="1" a="1"/>
  <c r="K47" i="14" s="1"/>
  <c r="A43" i="14"/>
  <c r="J61" i="14"/>
  <c r="K34" i="14" l="1"/>
  <c r="K50" i="14"/>
  <c r="K59" i="14" s="1"/>
  <c r="J64" i="14" a="1"/>
  <c r="J64" i="14" s="1"/>
  <c r="J66" i="14" s="1"/>
  <c r="J69" i="14" s="1"/>
  <c r="K61" i="14"/>
  <c r="K64" i="14" s="1" a="1"/>
  <c r="K64" i="14" s="1"/>
  <c r="B34" i="14"/>
  <c r="H50" i="14"/>
  <c r="K66" i="14" l="1"/>
  <c r="K69" i="14" s="1"/>
  <c r="H59" i="14"/>
  <c r="A49" i="14"/>
  <c r="A59" i="14" l="1"/>
  <c r="H66" i="14"/>
  <c r="H69" i="14" s="1"/>
  <c r="M62" i="13" l="1"/>
  <c r="L57" i="13" a="1"/>
  <c r="L57" i="13" s="1"/>
  <c r="J57" i="13" a="1"/>
  <c r="J57" i="13" s="1"/>
  <c r="M55" i="13"/>
  <c r="C55" i="13"/>
  <c r="M54" i="13"/>
  <c r="M53" i="13"/>
  <c r="M52" i="13"/>
  <c r="L47" i="13" a="1"/>
  <c r="L47" i="13" s="1"/>
  <c r="M45" i="13"/>
  <c r="M44" i="13"/>
  <c r="M43" i="13"/>
  <c r="C43" i="13"/>
  <c r="M42" i="13"/>
  <c r="M41" i="13"/>
  <c r="C41" i="13"/>
  <c r="M40" i="13"/>
  <c r="M39" i="13"/>
  <c r="J39" i="13"/>
  <c r="J47" i="13" s="1" a="1"/>
  <c r="J47" i="13" s="1"/>
  <c r="M38" i="13"/>
  <c r="M37" i="13"/>
  <c r="J30" i="13"/>
  <c r="M30" i="13" s="1"/>
  <c r="M29" i="13"/>
  <c r="L28" i="13"/>
  <c r="L32" i="13" s="1" a="1"/>
  <c r="L32" i="13" s="1"/>
  <c r="M27" i="13"/>
  <c r="M26" i="13"/>
  <c r="J25" i="13"/>
  <c r="M25" i="13" s="1"/>
  <c r="J24" i="13"/>
  <c r="M24" i="13" s="1"/>
  <c r="L20" i="13" a="1"/>
  <c r="L20" i="13" s="1"/>
  <c r="M18" i="13"/>
  <c r="M17" i="13"/>
  <c r="M15" i="13"/>
  <c r="M14" i="13"/>
  <c r="M13" i="13"/>
  <c r="M12" i="13"/>
  <c r="J11" i="13"/>
  <c r="J20" i="13" s="1" a="1"/>
  <c r="J20" i="13" s="1"/>
  <c r="L7" i="13"/>
  <c r="N4" i="13"/>
  <c r="C1" i="13"/>
  <c r="L61" i="13" s="1"/>
  <c r="M57" i="13" l="1" a="1"/>
  <c r="M57" i="13" s="1"/>
  <c r="M47" i="13" a="1"/>
  <c r="M47" i="13" s="1"/>
  <c r="J61" i="13"/>
  <c r="J64" i="13" s="1" a="1"/>
  <c r="J64" i="13" s="1"/>
  <c r="L34" i="13"/>
  <c r="L50" i="13" s="1"/>
  <c r="L59" i="13" s="1"/>
  <c r="L64" i="13" a="1"/>
  <c r="L64" i="13" s="1"/>
  <c r="M11" i="13"/>
  <c r="M20" i="13" s="1" a="1"/>
  <c r="M20" i="13" s="1"/>
  <c r="M28" i="13"/>
  <c r="M32" i="13" s="1" a="1"/>
  <c r="M32" i="13" s="1"/>
  <c r="J32" i="13" a="1"/>
  <c r="J32" i="13" s="1"/>
  <c r="J34" i="13" s="1"/>
  <c r="M61" i="13" l="1"/>
  <c r="M64" i="13" s="1" a="1"/>
  <c r="M64" i="13" s="1"/>
  <c r="L66" i="13"/>
  <c r="L69" i="13" s="1"/>
  <c r="D34" i="13"/>
  <c r="J50" i="13"/>
  <c r="M34" i="13"/>
  <c r="M50" i="13" s="1"/>
  <c r="M59" i="13" s="1"/>
  <c r="M66" i="13" s="1"/>
  <c r="M69" i="13" s="1"/>
  <c r="J59" i="13" l="1"/>
  <c r="C49" i="13"/>
  <c r="J66" i="13" l="1"/>
  <c r="J69" i="13" s="1"/>
  <c r="C59" i="13"/>
  <c r="K62" i="12" l="1"/>
  <c r="J57" i="12"/>
  <c r="H57" i="12"/>
  <c r="K55" i="12"/>
  <c r="A55" i="12"/>
  <c r="K54" i="12"/>
  <c r="K53" i="12"/>
  <c r="K52" i="12"/>
  <c r="J47" i="12"/>
  <c r="H47" i="12"/>
  <c r="K45" i="12"/>
  <c r="K44" i="12"/>
  <c r="K43" i="12"/>
  <c r="A43" i="12"/>
  <c r="K42" i="12"/>
  <c r="K41" i="12"/>
  <c r="A41" i="12"/>
  <c r="K40" i="12"/>
  <c r="K39" i="12"/>
  <c r="K38" i="12"/>
  <c r="K37" i="12"/>
  <c r="J32" i="12"/>
  <c r="H30" i="12"/>
  <c r="H32" i="12" s="1"/>
  <c r="K29" i="12"/>
  <c r="K28" i="12"/>
  <c r="K27" i="12"/>
  <c r="K26" i="12"/>
  <c r="K25" i="12"/>
  <c r="K24" i="12"/>
  <c r="J20" i="12"/>
  <c r="J34" i="12" s="1"/>
  <c r="H20" i="12"/>
  <c r="K18" i="12"/>
  <c r="K17" i="12"/>
  <c r="K16" i="12"/>
  <c r="K15" i="12"/>
  <c r="K14" i="12"/>
  <c r="K13" i="12"/>
  <c r="K12" i="12"/>
  <c r="K11" i="12"/>
  <c r="J7" i="12"/>
  <c r="L4" i="12"/>
  <c r="A1" i="12"/>
  <c r="H61" i="12" s="1"/>
  <c r="H64" i="12" s="1"/>
  <c r="K47" i="12" l="1"/>
  <c r="H34" i="12"/>
  <c r="H50" i="12" s="1"/>
  <c r="K20" i="12"/>
  <c r="J50" i="12"/>
  <c r="J59" i="12" s="1"/>
  <c r="K57" i="12"/>
  <c r="B34" i="12"/>
  <c r="J61" i="12"/>
  <c r="K30" i="12"/>
  <c r="K32" i="12" s="1"/>
  <c r="K34" i="12" l="1"/>
  <c r="K50" i="12" s="1"/>
  <c r="K59" i="12" s="1"/>
  <c r="K61" i="12"/>
  <c r="K64" i="12" s="1"/>
  <c r="K66" i="12" s="1"/>
  <c r="K69" i="12" s="1"/>
  <c r="J64" i="12"/>
  <c r="J66" i="12" s="1"/>
  <c r="J69" i="12" s="1"/>
  <c r="A49" i="12"/>
  <c r="H59" i="12"/>
  <c r="A59" i="12" l="1"/>
  <c r="H66" i="12"/>
  <c r="H69" i="12" s="1"/>
  <c r="K62" i="11" l="1"/>
  <c r="J57" i="11" a="1"/>
  <c r="J57" i="11" s="1"/>
  <c r="H57" i="11" a="1"/>
  <c r="H57" i="11" s="1"/>
  <c r="K55" i="11"/>
  <c r="A55" i="11"/>
  <c r="K54" i="11"/>
  <c r="K53" i="11"/>
  <c r="K52" i="11"/>
  <c r="J47" i="11" a="1"/>
  <c r="J47" i="11" s="1"/>
  <c r="H47" i="11" a="1"/>
  <c r="H47" i="11" s="1"/>
  <c r="K45" i="11"/>
  <c r="K44" i="11"/>
  <c r="K43" i="11"/>
  <c r="A43" i="11"/>
  <c r="K42" i="11"/>
  <c r="K41" i="11"/>
  <c r="A41" i="11"/>
  <c r="K40" i="11"/>
  <c r="K39" i="11"/>
  <c r="K38" i="11"/>
  <c r="K37" i="11"/>
  <c r="J32" i="11" a="1"/>
  <c r="J32" i="11" s="1"/>
  <c r="H30" i="11"/>
  <c r="K30" i="11" s="1"/>
  <c r="K29" i="11"/>
  <c r="K28" i="11"/>
  <c r="K27" i="11"/>
  <c r="K26" i="11"/>
  <c r="K25" i="11"/>
  <c r="H24" i="11"/>
  <c r="J20" i="11" a="1"/>
  <c r="J20" i="11" s="1"/>
  <c r="J34" i="11" s="1"/>
  <c r="H20" i="11" a="1"/>
  <c r="H20" i="11" s="1"/>
  <c r="K18" i="11"/>
  <c r="K17" i="11"/>
  <c r="K15" i="11"/>
  <c r="K14" i="11"/>
  <c r="K13" i="11"/>
  <c r="K12" i="11"/>
  <c r="K11" i="11"/>
  <c r="J7" i="11"/>
  <c r="L4" i="11"/>
  <c r="A1" i="11"/>
  <c r="J61" i="11" s="1"/>
  <c r="H32" i="11" l="1" a="1"/>
  <c r="K57" i="11" a="1"/>
  <c r="K57" i="11" s="1"/>
  <c r="H32" i="11"/>
  <c r="H34" i="11" s="1"/>
  <c r="J50" i="11"/>
  <c r="J59" i="11" s="1"/>
  <c r="K47" i="11" a="1"/>
  <c r="K47" i="11" s="1"/>
  <c r="K24" i="11"/>
  <c r="K32" i="11" s="1" a="1"/>
  <c r="K32" i="11" s="1"/>
  <c r="K20" i="11" a="1"/>
  <c r="K20" i="11" s="1"/>
  <c r="J64" i="11" a="1"/>
  <c r="J64" i="11" s="1"/>
  <c r="H61" i="11"/>
  <c r="H64" i="11" s="1" a="1"/>
  <c r="H64" i="11" s="1"/>
  <c r="H50" i="11" l="1"/>
  <c r="H59" i="11" s="1"/>
  <c r="B34" i="11"/>
  <c r="K34" i="11"/>
  <c r="K50" i="11" s="1"/>
  <c r="K59" i="11" s="1"/>
  <c r="J66" i="11"/>
  <c r="J69" i="11" s="1"/>
  <c r="K61" i="11"/>
  <c r="K64" i="11" s="1" a="1"/>
  <c r="K64" i="11" s="1"/>
  <c r="K66" i="11" s="1"/>
  <c r="K69" i="11" s="1"/>
  <c r="A49" i="11" l="1"/>
  <c r="H66" i="11"/>
  <c r="H69" i="11" s="1"/>
  <c r="A59" i="11"/>
  <c r="K62" i="10" l="1"/>
  <c r="J57" i="10" a="1"/>
  <c r="J57" i="10" s="1"/>
  <c r="H57" i="10" a="1"/>
  <c r="H57" i="10" s="1"/>
  <c r="K55" i="10"/>
  <c r="A55" i="10"/>
  <c r="K54" i="10"/>
  <c r="K53" i="10"/>
  <c r="K52" i="10"/>
  <c r="J47" i="10" a="1"/>
  <c r="J47" i="10" s="1"/>
  <c r="H47" i="10" a="1"/>
  <c r="H47" i="10" s="1"/>
  <c r="K45" i="10"/>
  <c r="K44" i="10"/>
  <c r="K43" i="10"/>
  <c r="A43" i="10"/>
  <c r="K42" i="10"/>
  <c r="K41" i="10"/>
  <c r="A41" i="10"/>
  <c r="K40" i="10"/>
  <c r="K39" i="10"/>
  <c r="K38" i="10"/>
  <c r="K37" i="10"/>
  <c r="J32" i="10" a="1"/>
  <c r="J32" i="10" s="1"/>
  <c r="H30" i="10"/>
  <c r="K30" i="10" s="1"/>
  <c r="K29" i="10"/>
  <c r="K28" i="10"/>
  <c r="K27" i="10"/>
  <c r="K26" i="10"/>
  <c r="H25" i="10"/>
  <c r="K25" i="10" s="1"/>
  <c r="K24" i="10"/>
  <c r="J20" i="10" a="1"/>
  <c r="J20" i="10" s="1"/>
  <c r="H20" i="10" a="1"/>
  <c r="H20" i="10" s="1"/>
  <c r="K18" i="10"/>
  <c r="K17" i="10"/>
  <c r="K15" i="10"/>
  <c r="K14" i="10"/>
  <c r="K13" i="10"/>
  <c r="K12" i="10"/>
  <c r="K11" i="10"/>
  <c r="J7" i="10"/>
  <c r="L4" i="10"/>
  <c r="A1" i="10"/>
  <c r="J61" i="10" s="1"/>
  <c r="K20" i="10" l="1" a="1"/>
  <c r="K20" i="10" s="1"/>
  <c r="J34" i="10"/>
  <c r="J50" i="10" s="1"/>
  <c r="K57" i="10" a="1"/>
  <c r="K57" i="10" s="1"/>
  <c r="K47" i="10" a="1"/>
  <c r="K47" i="10" s="1"/>
  <c r="K32" i="10" a="1"/>
  <c r="K32" i="10" s="1"/>
  <c r="K34" i="10" s="1"/>
  <c r="K50" i="10" s="1"/>
  <c r="J64" i="10" a="1"/>
  <c r="J64" i="10" s="1"/>
  <c r="J59" i="10"/>
  <c r="H61" i="10"/>
  <c r="H64" i="10" s="1" a="1"/>
  <c r="H64" i="10" s="1"/>
  <c r="H32" i="10" a="1"/>
  <c r="H32" i="10" s="1"/>
  <c r="H34" i="10" s="1"/>
  <c r="K59" i="10" l="1"/>
  <c r="H50" i="10"/>
  <c r="B34" i="10"/>
  <c r="J66" i="10"/>
  <c r="J69" i="10" s="1"/>
  <c r="K61" i="10"/>
  <c r="K64" i="10" s="1" a="1"/>
  <c r="K64" i="10" s="1"/>
  <c r="K66" i="10" s="1"/>
  <c r="K69" i="10" s="1"/>
  <c r="H59" i="10" l="1"/>
  <c r="A49" i="10"/>
  <c r="H66" i="10" l="1"/>
  <c r="H69" i="10" s="1"/>
  <c r="A59" i="10"/>
  <c r="K62" i="9" l="1"/>
  <c r="J57" i="9" a="1"/>
  <c r="J57" i="9" s="1"/>
  <c r="H57" i="9" a="1"/>
  <c r="H57" i="9" s="1"/>
  <c r="K55" i="9"/>
  <c r="A55" i="9"/>
  <c r="K54" i="9"/>
  <c r="K53" i="9"/>
  <c r="K52" i="9"/>
  <c r="J47" i="9" a="1"/>
  <c r="J47" i="9" s="1"/>
  <c r="H47" i="9" a="1"/>
  <c r="H47" i="9" s="1"/>
  <c r="K45" i="9"/>
  <c r="K44" i="9"/>
  <c r="K43" i="9"/>
  <c r="A43" i="9"/>
  <c r="K42" i="9"/>
  <c r="K41" i="9"/>
  <c r="A41" i="9"/>
  <c r="K40" i="9"/>
  <c r="K39" i="9"/>
  <c r="K38" i="9"/>
  <c r="K37" i="9"/>
  <c r="J32" i="9" a="1"/>
  <c r="J32" i="9" s="1"/>
  <c r="H30" i="9"/>
  <c r="K30" i="9" s="1"/>
  <c r="K29" i="9"/>
  <c r="K28" i="9"/>
  <c r="K27" i="9"/>
  <c r="K26" i="9"/>
  <c r="K25" i="9"/>
  <c r="K24" i="9"/>
  <c r="J20" i="9" a="1"/>
  <c r="J20" i="9" s="1"/>
  <c r="H20" i="9" a="1"/>
  <c r="H20" i="9" s="1"/>
  <c r="K18" i="9"/>
  <c r="K17" i="9"/>
  <c r="K15" i="9"/>
  <c r="K14" i="9"/>
  <c r="K13" i="9"/>
  <c r="K12" i="9"/>
  <c r="K11" i="9"/>
  <c r="J7" i="9"/>
  <c r="L4" i="9"/>
  <c r="A1" i="9"/>
  <c r="J61" i="9" s="1"/>
  <c r="K47" i="9" l="1" a="1"/>
  <c r="K47" i="9" s="1"/>
  <c r="K57" i="9" a="1"/>
  <c r="K57" i="9" s="1"/>
  <c r="K20" i="9" a="1"/>
  <c r="K20" i="9" s="1"/>
  <c r="J34" i="9"/>
  <c r="J50" i="9" s="1"/>
  <c r="J59" i="9" s="1"/>
  <c r="H32" i="9" a="1"/>
  <c r="H32" i="9" s="1"/>
  <c r="H34" i="9" s="1"/>
  <c r="J64" i="9" a="1"/>
  <c r="J64" i="9" s="1"/>
  <c r="K32" i="9" a="1"/>
  <c r="K32" i="9" s="1"/>
  <c r="H61" i="9"/>
  <c r="H64" i="9" s="1" a="1"/>
  <c r="H64" i="9" s="1"/>
  <c r="K34" i="9" l="1"/>
  <c r="K50" i="9" s="1"/>
  <c r="K59" i="9" s="1"/>
  <c r="K61" i="9"/>
  <c r="K64" i="9" s="1" a="1"/>
  <c r="K64" i="9" s="1"/>
  <c r="K66" i="9" s="1"/>
  <c r="K69" i="9" s="1"/>
  <c r="J66" i="9"/>
  <c r="J69" i="9" s="1"/>
  <c r="H50" i="9"/>
  <c r="B34" i="9"/>
  <c r="H59" i="9" l="1"/>
  <c r="A49" i="9"/>
  <c r="H66" i="9" l="1"/>
  <c r="H69" i="9" s="1"/>
  <c r="A59" i="9"/>
  <c r="H62" i="8" l="1"/>
  <c r="K62" i="8" s="1"/>
  <c r="J57" i="8" a="1"/>
  <c r="J57" i="8" s="1"/>
  <c r="H57" i="8" a="1"/>
  <c r="H57" i="8" s="1"/>
  <c r="K55" i="8"/>
  <c r="A55" i="8"/>
  <c r="K54" i="8"/>
  <c r="K53" i="8"/>
  <c r="K52" i="8"/>
  <c r="J47" i="8" a="1"/>
  <c r="J47" i="8" s="1"/>
  <c r="H47" i="8" a="1"/>
  <c r="H47" i="8" s="1"/>
  <c r="K45" i="8"/>
  <c r="K44" i="8"/>
  <c r="K43" i="8"/>
  <c r="A43" i="8"/>
  <c r="K42" i="8"/>
  <c r="K41" i="8"/>
  <c r="A41" i="8"/>
  <c r="K40" i="8"/>
  <c r="K39" i="8"/>
  <c r="K38" i="8"/>
  <c r="K37" i="8"/>
  <c r="J32" i="8" a="1"/>
  <c r="J32" i="8" s="1"/>
  <c r="H30" i="8"/>
  <c r="H32" i="8" s="1" a="1"/>
  <c r="H32" i="8" s="1"/>
  <c r="K29" i="8"/>
  <c r="K28" i="8"/>
  <c r="K27" i="8"/>
  <c r="K26" i="8"/>
  <c r="K25" i="8"/>
  <c r="K24" i="8"/>
  <c r="J20" i="8" a="1"/>
  <c r="J20" i="8" s="1"/>
  <c r="J34" i="8" s="1"/>
  <c r="J50" i="8" s="1"/>
  <c r="J59" i="8" s="1"/>
  <c r="H20" i="8" a="1"/>
  <c r="H20" i="8" s="1"/>
  <c r="K18" i="8"/>
  <c r="K17" i="8"/>
  <c r="K15" i="8"/>
  <c r="K14" i="8"/>
  <c r="K13" i="8"/>
  <c r="K12" i="8"/>
  <c r="K11" i="8"/>
  <c r="J7" i="8"/>
  <c r="L4" i="8"/>
  <c r="A1" i="8"/>
  <c r="H61" i="8" s="1"/>
  <c r="H64" i="8" s="1" a="1"/>
  <c r="H64" i="8" s="1"/>
  <c r="K20" i="8" l="1" a="1"/>
  <c r="K20" i="8" s="1"/>
  <c r="K47" i="8" a="1"/>
  <c r="K47" i="8" s="1"/>
  <c r="H34" i="8"/>
  <c r="H50" i="8" s="1"/>
  <c r="K57" i="8" a="1"/>
  <c r="K57" i="8" s="1"/>
  <c r="K30" i="8"/>
  <c r="K32" i="8" s="1" a="1"/>
  <c r="K32" i="8" s="1"/>
  <c r="J61" i="8"/>
  <c r="B34" i="8" l="1"/>
  <c r="K34" i="8"/>
  <c r="K50" i="8" s="1"/>
  <c r="K59" i="8" s="1"/>
  <c r="H59" i="8"/>
  <c r="A49" i="8"/>
  <c r="J64" i="8" a="1"/>
  <c r="J64" i="8" s="1"/>
  <c r="J66" i="8" s="1"/>
  <c r="J69" i="8" s="1"/>
  <c r="K61" i="8"/>
  <c r="K64" i="8" s="1" a="1"/>
  <c r="K64" i="8" s="1"/>
  <c r="K66" i="8" s="1"/>
  <c r="K69" i="8" s="1"/>
  <c r="A59" i="8" l="1"/>
  <c r="H66" i="8"/>
  <c r="H69" i="8" s="1"/>
  <c r="K62" i="7" l="1"/>
  <c r="J57" i="7" a="1"/>
  <c r="J57" i="7" s="1"/>
  <c r="H57" i="7" a="1"/>
  <c r="H57" i="7" s="1"/>
  <c r="K55" i="7"/>
  <c r="A55" i="7"/>
  <c r="K54" i="7"/>
  <c r="K53" i="7"/>
  <c r="K52" i="7"/>
  <c r="J47" i="7" a="1"/>
  <c r="J47" i="7" s="1"/>
  <c r="H47" i="7" a="1"/>
  <c r="H47" i="7" s="1"/>
  <c r="K45" i="7"/>
  <c r="K44" i="7"/>
  <c r="K43" i="7"/>
  <c r="A43" i="7"/>
  <c r="K42" i="7"/>
  <c r="K41" i="7"/>
  <c r="A41" i="7"/>
  <c r="K40" i="7"/>
  <c r="K39" i="7"/>
  <c r="K38" i="7"/>
  <c r="K37" i="7"/>
  <c r="J32" i="7" a="1"/>
  <c r="J32" i="7" s="1"/>
  <c r="H30" i="7"/>
  <c r="K30" i="7" s="1"/>
  <c r="K29" i="7"/>
  <c r="K28" i="7"/>
  <c r="K27" i="7"/>
  <c r="K26" i="7"/>
  <c r="K25" i="7"/>
  <c r="H24" i="7"/>
  <c r="H32" i="7" s="1" a="1"/>
  <c r="J20" i="7" a="1"/>
  <c r="J20" i="7" s="1"/>
  <c r="H20" i="7" a="1"/>
  <c r="H20" i="7" s="1"/>
  <c r="K18" i="7"/>
  <c r="K17" i="7"/>
  <c r="K15" i="7"/>
  <c r="K14" i="7"/>
  <c r="K13" i="7"/>
  <c r="K12" i="7"/>
  <c r="K11" i="7"/>
  <c r="J7" i="7"/>
  <c r="L4" i="7"/>
  <c r="A1" i="7"/>
  <c r="J61" i="7" s="1"/>
  <c r="K20" i="7" l="1" a="1"/>
  <c r="K20" i="7" s="1"/>
  <c r="H32" i="7"/>
  <c r="H34" i="7" s="1"/>
  <c r="K47" i="7" a="1"/>
  <c r="K47" i="7" s="1"/>
  <c r="J34" i="7"/>
  <c r="J50" i="7" s="1"/>
  <c r="J59" i="7" s="1"/>
  <c r="K57" i="7" a="1"/>
  <c r="K57" i="7" s="1"/>
  <c r="J64" i="7" a="1"/>
  <c r="J64" i="7" s="1"/>
  <c r="H61" i="7"/>
  <c r="H64" i="7" s="1" a="1"/>
  <c r="H64" i="7" s="1"/>
  <c r="K24" i="7"/>
  <c r="K32" i="7" s="1" a="1"/>
  <c r="K32" i="7" s="1"/>
  <c r="K34" i="7" s="1"/>
  <c r="H50" i="7" l="1"/>
  <c r="H59" i="7" s="1"/>
  <c r="B34" i="7"/>
  <c r="K50" i="7"/>
  <c r="K59" i="7" s="1"/>
  <c r="A49" i="7"/>
  <c r="K61" i="7"/>
  <c r="K64" i="7" s="1" a="1"/>
  <c r="K64" i="7" s="1"/>
  <c r="K66" i="7" s="1"/>
  <c r="K69" i="7" s="1"/>
  <c r="J66" i="7"/>
  <c r="J69" i="7" s="1"/>
  <c r="H66" i="7" l="1"/>
  <c r="H69" i="7" s="1"/>
  <c r="A59" i="7"/>
  <c r="J62" i="6" l="1"/>
  <c r="M62" i="6" s="1"/>
  <c r="L57" i="6" a="1"/>
  <c r="L57" i="6" s="1"/>
  <c r="J57" i="6" a="1"/>
  <c r="J57" i="6" s="1"/>
  <c r="M55" i="6"/>
  <c r="C55" i="6"/>
  <c r="M54" i="6"/>
  <c r="M53" i="6"/>
  <c r="M52" i="6"/>
  <c r="L47" i="6" a="1"/>
  <c r="L47" i="6" s="1"/>
  <c r="J47" i="6" a="1"/>
  <c r="J47" i="6" s="1"/>
  <c r="M45" i="6"/>
  <c r="M44" i="6"/>
  <c r="M43" i="6"/>
  <c r="C43" i="6"/>
  <c r="M42" i="6"/>
  <c r="M41" i="6"/>
  <c r="C41" i="6"/>
  <c r="M40" i="6"/>
  <c r="M39" i="6"/>
  <c r="M38" i="6"/>
  <c r="M37" i="6"/>
  <c r="L32" i="6" a="1"/>
  <c r="L32" i="6" s="1"/>
  <c r="J30" i="6"/>
  <c r="J32" i="6" s="1" a="1"/>
  <c r="J32" i="6" s="1"/>
  <c r="M29" i="6"/>
  <c r="M28" i="6"/>
  <c r="M27" i="6"/>
  <c r="M26" i="6"/>
  <c r="M25" i="6"/>
  <c r="M24" i="6"/>
  <c r="L20" i="6" a="1"/>
  <c r="L20" i="6" s="1"/>
  <c r="J20" i="6" a="1"/>
  <c r="J20" i="6" s="1"/>
  <c r="M18" i="6"/>
  <c r="M17" i="6"/>
  <c r="M15" i="6"/>
  <c r="M14" i="6"/>
  <c r="M20" i="6" s="1" a="1"/>
  <c r="M20" i="6" s="1"/>
  <c r="M13" i="6"/>
  <c r="M12" i="6"/>
  <c r="M11" i="6"/>
  <c r="L7" i="6"/>
  <c r="N4" i="6"/>
  <c r="C1" i="6"/>
  <c r="L61" i="6" s="1"/>
  <c r="L34" i="6" l="1"/>
  <c r="M47" i="6" a="1"/>
  <c r="M47" i="6" s="1"/>
  <c r="M57" i="6" a="1"/>
  <c r="M57" i="6" s="1"/>
  <c r="J34" i="6"/>
  <c r="L50" i="6"/>
  <c r="L59" i="6" s="1"/>
  <c r="L64" i="6" a="1"/>
  <c r="L64" i="6" s="1"/>
  <c r="J61" i="6"/>
  <c r="J64" i="6" s="1" a="1"/>
  <c r="J64" i="6" s="1"/>
  <c r="M30" i="6"/>
  <c r="M32" i="6" s="1" a="1"/>
  <c r="M32" i="6" s="1"/>
  <c r="M34" i="6" s="1"/>
  <c r="M50" i="6" l="1"/>
  <c r="M59" i="6" s="1"/>
  <c r="J50" i="6"/>
  <c r="D34" i="6"/>
  <c r="L66" i="6"/>
  <c r="L69" i="6" s="1"/>
  <c r="M61" i="6"/>
  <c r="M64" i="6" s="1" a="1"/>
  <c r="M64" i="6" s="1"/>
  <c r="M66" i="6" s="1"/>
  <c r="M69" i="6" s="1"/>
  <c r="J59" i="6" l="1"/>
  <c r="C49" i="6"/>
  <c r="J66" i="6" l="1"/>
  <c r="J69" i="6" s="1"/>
  <c r="C59" i="6"/>
  <c r="J62" i="5" l="1"/>
  <c r="M62" i="5" s="1"/>
  <c r="L57" i="5" a="1"/>
  <c r="L57" i="5" s="1"/>
  <c r="J57" i="5" a="1"/>
  <c r="J57" i="5" s="1"/>
  <c r="M55" i="5"/>
  <c r="C55" i="5"/>
  <c r="M54" i="5"/>
  <c r="M53" i="5"/>
  <c r="M52" i="5"/>
  <c r="L47" i="5" a="1"/>
  <c r="L47" i="5" s="1"/>
  <c r="J47" i="5" a="1"/>
  <c r="J47" i="5" s="1"/>
  <c r="M45" i="5"/>
  <c r="M44" i="5"/>
  <c r="M43" i="5"/>
  <c r="C43" i="5"/>
  <c r="M42" i="5"/>
  <c r="M41" i="5"/>
  <c r="C41" i="5"/>
  <c r="M40" i="5"/>
  <c r="M39" i="5"/>
  <c r="M38" i="5"/>
  <c r="M37" i="5"/>
  <c r="L32" i="5" a="1"/>
  <c r="L32" i="5" s="1"/>
  <c r="J32" i="5" a="1"/>
  <c r="J30" i="5"/>
  <c r="M30" i="5" s="1"/>
  <c r="M29" i="5"/>
  <c r="M28" i="5"/>
  <c r="M27" i="5"/>
  <c r="M26" i="5"/>
  <c r="M25" i="5"/>
  <c r="M24" i="5"/>
  <c r="L20" i="5" a="1"/>
  <c r="L20" i="5" s="1"/>
  <c r="J20" i="5" a="1"/>
  <c r="J20" i="5" s="1"/>
  <c r="M18" i="5"/>
  <c r="M17" i="5"/>
  <c r="M15" i="5"/>
  <c r="M14" i="5"/>
  <c r="M13" i="5"/>
  <c r="M12" i="5"/>
  <c r="M11" i="5"/>
  <c r="L7" i="5"/>
  <c r="N4" i="5"/>
  <c r="C1" i="5"/>
  <c r="J61" i="5" s="1"/>
  <c r="J64" i="5" s="1" a="1"/>
  <c r="J64" i="5" s="1"/>
  <c r="J32" i="5" l="1"/>
  <c r="M32" i="5" a="1"/>
  <c r="M32" i="5" s="1"/>
  <c r="M57" i="5" a="1"/>
  <c r="M57" i="5" s="1"/>
  <c r="M20" i="5" a="1"/>
  <c r="M20" i="5" s="1"/>
  <c r="M47" i="5" a="1"/>
  <c r="M47" i="5" s="1"/>
  <c r="J34" i="5"/>
  <c r="J50" i="5" s="1"/>
  <c r="L34" i="5"/>
  <c r="L50" i="5" s="1"/>
  <c r="L59" i="5" s="1"/>
  <c r="L61" i="5"/>
  <c r="M34" i="5" l="1"/>
  <c r="M50" i="5" s="1"/>
  <c r="M59" i="5" s="1"/>
  <c r="L64" i="5" a="1"/>
  <c r="L64" i="5" s="1"/>
  <c r="L66" i="5" s="1"/>
  <c r="L69" i="5" s="1"/>
  <c r="M61" i="5"/>
  <c r="M64" i="5" s="1" a="1"/>
  <c r="M64" i="5" s="1"/>
  <c r="J59" i="5"/>
  <c r="C49" i="5"/>
  <c r="D34" i="5"/>
  <c r="M66" i="5" l="1"/>
  <c r="M69" i="5" s="1"/>
  <c r="C59" i="5"/>
  <c r="J66" i="5"/>
  <c r="J69" i="5" s="1"/>
  <c r="K62" i="4" l="1"/>
  <c r="J57" i="4" a="1"/>
  <c r="J57" i="4" s="1"/>
  <c r="H57" i="4" a="1"/>
  <c r="H57" i="4" s="1"/>
  <c r="K55" i="4"/>
  <c r="A55" i="4"/>
  <c r="K54" i="4"/>
  <c r="K53" i="4"/>
  <c r="K52" i="4"/>
  <c r="J47" i="4" a="1"/>
  <c r="J47" i="4" s="1"/>
  <c r="H47" i="4" a="1"/>
  <c r="H47" i="4" s="1"/>
  <c r="K45" i="4"/>
  <c r="K44" i="4"/>
  <c r="K43" i="4"/>
  <c r="A43" i="4"/>
  <c r="K42" i="4"/>
  <c r="K41" i="4"/>
  <c r="A41" i="4"/>
  <c r="K40" i="4"/>
  <c r="K39" i="4"/>
  <c r="K38" i="4"/>
  <c r="K37" i="4"/>
  <c r="H30" i="4"/>
  <c r="K30" i="4" s="1"/>
  <c r="K29" i="4"/>
  <c r="J28" i="4"/>
  <c r="K28" i="4" s="1"/>
  <c r="K27" i="4"/>
  <c r="K26" i="4"/>
  <c r="K25" i="4"/>
  <c r="H24" i="4"/>
  <c r="H20" i="4" a="1"/>
  <c r="H20" i="4" s="1"/>
  <c r="K18" i="4"/>
  <c r="K17" i="4"/>
  <c r="K15" i="4"/>
  <c r="J14" i="4"/>
  <c r="K14" i="4" s="1"/>
  <c r="K13" i="4"/>
  <c r="K12" i="4"/>
  <c r="K11" i="4"/>
  <c r="J7" i="4"/>
  <c r="L4" i="4"/>
  <c r="A1" i="4"/>
  <c r="J61" i="4" s="1"/>
  <c r="J20" i="4" l="1" a="1"/>
  <c r="J20" i="4" s="1"/>
  <c r="K57" i="4" a="1"/>
  <c r="K57" i="4" s="1"/>
  <c r="K20" i="4" a="1"/>
  <c r="K20" i="4" s="1"/>
  <c r="H32" i="4" a="1"/>
  <c r="H32" i="4" s="1"/>
  <c r="H34" i="4" s="1"/>
  <c r="J32" i="4" a="1"/>
  <c r="J32" i="4" s="1"/>
  <c r="J34" i="4" s="1"/>
  <c r="J50" i="4" s="1"/>
  <c r="J59" i="4" s="1"/>
  <c r="K47" i="4" a="1"/>
  <c r="K47" i="4" s="1"/>
  <c r="J64" i="4" a="1"/>
  <c r="J64" i="4" s="1"/>
  <c r="H61" i="4"/>
  <c r="H64" i="4" s="1" a="1"/>
  <c r="H64" i="4" s="1"/>
  <c r="K24" i="4"/>
  <c r="K32" i="4" s="1" a="1"/>
  <c r="K32" i="4" s="1"/>
  <c r="K34" i="4" s="1"/>
  <c r="K50" i="4" l="1"/>
  <c r="K59" i="4" s="1"/>
  <c r="K61" i="4"/>
  <c r="K64" i="4" s="1" a="1"/>
  <c r="K64" i="4" s="1"/>
  <c r="K66" i="4" s="1"/>
  <c r="K69" i="4" s="1"/>
  <c r="H50" i="4"/>
  <c r="B34" i="4"/>
  <c r="J66" i="4"/>
  <c r="J69" i="4" s="1"/>
  <c r="H59" i="4" l="1"/>
  <c r="A49" i="4"/>
  <c r="H66" i="4" l="1"/>
  <c r="H69" i="4" s="1"/>
  <c r="A59" i="4"/>
  <c r="K62" i="3" l="1"/>
  <c r="J57" i="3" a="1"/>
  <c r="J57" i="3" s="1"/>
  <c r="H57" i="3" a="1"/>
  <c r="H57" i="3" s="1"/>
  <c r="K55" i="3"/>
  <c r="A55" i="3"/>
  <c r="K54" i="3"/>
  <c r="K53" i="3"/>
  <c r="K52" i="3"/>
  <c r="J47" i="3" a="1"/>
  <c r="J47" i="3" s="1"/>
  <c r="K45" i="3"/>
  <c r="K44" i="3"/>
  <c r="K43" i="3"/>
  <c r="A43" i="3"/>
  <c r="K42" i="3"/>
  <c r="H41" i="3"/>
  <c r="H47" i="3" s="1" a="1"/>
  <c r="H47" i="3" s="1"/>
  <c r="K40" i="3"/>
  <c r="K39" i="3"/>
  <c r="K38" i="3"/>
  <c r="K37" i="3"/>
  <c r="J32" i="3" a="1"/>
  <c r="J32" i="3" s="1"/>
  <c r="H30" i="3"/>
  <c r="H32" i="3" s="1" a="1"/>
  <c r="H32" i="3" s="1"/>
  <c r="K29" i="3"/>
  <c r="K28" i="3"/>
  <c r="K27" i="3"/>
  <c r="K26" i="3"/>
  <c r="K25" i="3"/>
  <c r="K24" i="3"/>
  <c r="J20" i="3" a="1"/>
  <c r="J20" i="3" s="1"/>
  <c r="H20" i="3" a="1"/>
  <c r="H20" i="3" s="1"/>
  <c r="K18" i="3"/>
  <c r="K17" i="3"/>
  <c r="K15" i="3"/>
  <c r="K14" i="3"/>
  <c r="K13" i="3"/>
  <c r="K12" i="3"/>
  <c r="K11" i="3"/>
  <c r="J7" i="3"/>
  <c r="L4" i="3"/>
  <c r="A1" i="3"/>
  <c r="J61" i="3" s="1"/>
  <c r="H34" i="3" l="1"/>
  <c r="J34" i="3"/>
  <c r="J50" i="3"/>
  <c r="J59" i="3" s="1"/>
  <c r="K57" i="3" a="1"/>
  <c r="K57" i="3" s="1"/>
  <c r="K20" i="3" a="1"/>
  <c r="K20" i="3" s="1"/>
  <c r="A41" i="3"/>
  <c r="J64" i="3" a="1"/>
  <c r="J64" i="3" s="1"/>
  <c r="J66" i="3" s="1"/>
  <c r="J69" i="3" s="1"/>
  <c r="B34" i="3"/>
  <c r="H50" i="3"/>
  <c r="K30" i="3"/>
  <c r="K32" i="3" s="1" a="1"/>
  <c r="K32" i="3" s="1"/>
  <c r="H61" i="3"/>
  <c r="H64" i="3" s="1" a="1"/>
  <c r="H64" i="3" s="1"/>
  <c r="K41" i="3"/>
  <c r="K47" i="3" s="1" a="1"/>
  <c r="K47" i="3" s="1"/>
  <c r="K34" i="3" l="1"/>
  <c r="K50" i="3"/>
  <c r="K59" i="3" s="1"/>
  <c r="K61" i="3"/>
  <c r="K64" i="3" s="1" a="1"/>
  <c r="K64" i="3" s="1"/>
  <c r="K66" i="3" s="1"/>
  <c r="K69" i="3" s="1"/>
  <c r="H59" i="3"/>
  <c r="A49" i="3"/>
  <c r="H66" i="3" l="1"/>
  <c r="H69" i="3" s="1"/>
  <c r="A59" i="3"/>
  <c r="M62" i="2" l="1"/>
  <c r="L57" i="2" a="1"/>
  <c r="L57" i="2" s="1"/>
  <c r="J57" i="2" a="1"/>
  <c r="J57" i="2" s="1"/>
  <c r="M55" i="2"/>
  <c r="C55" i="2"/>
  <c r="M54" i="2"/>
  <c r="M53" i="2"/>
  <c r="M52" i="2"/>
  <c r="L47" i="2" a="1"/>
  <c r="L47" i="2" s="1"/>
  <c r="J47" i="2" a="1"/>
  <c r="J47" i="2" s="1"/>
  <c r="M45" i="2"/>
  <c r="M44" i="2"/>
  <c r="M43" i="2"/>
  <c r="C43" i="2"/>
  <c r="M42" i="2"/>
  <c r="M41" i="2"/>
  <c r="C41" i="2"/>
  <c r="M40" i="2"/>
  <c r="M39" i="2"/>
  <c r="M38" i="2"/>
  <c r="M37" i="2"/>
  <c r="L32" i="2" a="1"/>
  <c r="L32" i="2" s="1"/>
  <c r="J32" i="2" a="1"/>
  <c r="J30" i="2"/>
  <c r="M30" i="2" s="1"/>
  <c r="M29" i="2"/>
  <c r="M28" i="2"/>
  <c r="M27" i="2"/>
  <c r="M26" i="2"/>
  <c r="M25" i="2"/>
  <c r="M24" i="2"/>
  <c r="L20" i="2" a="1"/>
  <c r="L20" i="2" s="1"/>
  <c r="J20" i="2" a="1"/>
  <c r="J20" i="2" s="1"/>
  <c r="M18" i="2"/>
  <c r="M17" i="2"/>
  <c r="M15" i="2"/>
  <c r="M14" i="2"/>
  <c r="M13" i="2"/>
  <c r="M12" i="2"/>
  <c r="M11" i="2"/>
  <c r="L7" i="2"/>
  <c r="N4" i="2"/>
  <c r="C1" i="2"/>
  <c r="L61" i="2" s="1"/>
  <c r="M20" i="2" l="1" a="1"/>
  <c r="M20" i="2" s="1"/>
  <c r="J32" i="2"/>
  <c r="J34" i="2" s="1"/>
  <c r="J50" i="2" s="1"/>
  <c r="M47" i="2" a="1"/>
  <c r="M47" i="2" s="1"/>
  <c r="M57" i="2" a="1"/>
  <c r="M57" i="2" s="1"/>
  <c r="L64" i="2" a="1"/>
  <c r="L64" i="2" s="1"/>
  <c r="M32" i="2" a="1"/>
  <c r="M32" i="2" s="1"/>
  <c r="M34" i="2" s="1"/>
  <c r="M50" i="2" s="1"/>
  <c r="M59" i="2" s="1"/>
  <c r="L34" i="2"/>
  <c r="L50" i="2" s="1"/>
  <c r="L59" i="2" s="1"/>
  <c r="J61" i="2"/>
  <c r="J64" i="2" s="1" a="1"/>
  <c r="J64" i="2" s="1"/>
  <c r="L66" i="2" l="1"/>
  <c r="L69" i="2" s="1"/>
  <c r="J59" i="2"/>
  <c r="C49" i="2"/>
  <c r="M61" i="2"/>
  <c r="M64" i="2" s="1" a="1"/>
  <c r="M64" i="2" s="1"/>
  <c r="M66" i="2" s="1"/>
  <c r="M69" i="2" s="1"/>
  <c r="D34" i="2"/>
  <c r="C59" i="2" l="1"/>
  <c r="J66" i="2"/>
  <c r="J69" i="2" s="1"/>
  <c r="M62" i="1" l="1"/>
  <c r="L57" i="1" a="1"/>
  <c r="L57" i="1" s="1"/>
  <c r="J57" i="1" a="1"/>
  <c r="J57" i="1" s="1"/>
  <c r="M55" i="1"/>
  <c r="C55" i="1"/>
  <c r="M54" i="1"/>
  <c r="M53" i="1"/>
  <c r="M52" i="1"/>
  <c r="L47" i="1" a="1"/>
  <c r="L47" i="1" s="1"/>
  <c r="J47" i="1" a="1"/>
  <c r="J47" i="1" s="1"/>
  <c r="M45" i="1"/>
  <c r="M44" i="1"/>
  <c r="M43" i="1"/>
  <c r="C43" i="1"/>
  <c r="M42" i="1"/>
  <c r="M41" i="1"/>
  <c r="C41" i="1"/>
  <c r="M40" i="1"/>
  <c r="M39" i="1"/>
  <c r="M38" i="1"/>
  <c r="M37" i="1"/>
  <c r="L32" i="1" a="1"/>
  <c r="L32" i="1" s="1"/>
  <c r="J32" i="1" a="1"/>
  <c r="J30" i="1"/>
  <c r="M30" i="1" s="1"/>
  <c r="M29" i="1"/>
  <c r="M28" i="1"/>
  <c r="M27" i="1"/>
  <c r="M26" i="1"/>
  <c r="M25" i="1"/>
  <c r="M24" i="1"/>
  <c r="L20" i="1" a="1"/>
  <c r="L20" i="1" s="1"/>
  <c r="J20" i="1" a="1"/>
  <c r="J20" i="1" s="1"/>
  <c r="M18" i="1"/>
  <c r="M17" i="1"/>
  <c r="M15" i="1"/>
  <c r="M14" i="1"/>
  <c r="M13" i="1"/>
  <c r="M12" i="1"/>
  <c r="M11" i="1"/>
  <c r="L7" i="1"/>
  <c r="N4" i="1"/>
  <c r="C1" i="1"/>
  <c r="L61" i="1" s="1"/>
  <c r="L34" i="1" l="1"/>
  <c r="L50" i="1" s="1"/>
  <c r="L59" i="1" s="1"/>
  <c r="J32" i="1"/>
  <c r="M20" i="1" a="1"/>
  <c r="M20" i="1" s="1"/>
  <c r="M57" i="1" a="1"/>
  <c r="M57" i="1" s="1"/>
  <c r="M47" i="1" a="1"/>
  <c r="M47" i="1" s="1"/>
  <c r="J34" i="1"/>
  <c r="J50" i="1" s="1"/>
  <c r="L64" i="1" a="1"/>
  <c r="L64" i="1" s="1"/>
  <c r="L66" i="1" s="1"/>
  <c r="L69" i="1" s="1"/>
  <c r="M32" i="1" a="1"/>
  <c r="M32" i="1" s="1"/>
  <c r="J61" i="1"/>
  <c r="J64" i="1" s="1" a="1"/>
  <c r="J64" i="1" s="1"/>
  <c r="M34" i="1" l="1"/>
  <c r="M50" i="1" s="1"/>
  <c r="M59" i="1" s="1"/>
  <c r="D34" i="1"/>
  <c r="J59" i="1"/>
  <c r="C49" i="1"/>
  <c r="M61" i="1"/>
  <c r="M64" i="1" s="1" a="1"/>
  <c r="M64" i="1" s="1"/>
  <c r="M66" i="1" s="1"/>
  <c r="M69" i="1" s="1"/>
  <c r="J66" i="1" l="1"/>
  <c r="C59" i="1"/>
  <c r="J69" i="1" l="1"/>
  <c r="S117" i="31"/>
  <c r="T117" i="31" s="1"/>
  <c r="U116" i="31"/>
  <c r="V116" i="31" s="1"/>
  <c r="S116" i="31"/>
  <c r="T116" i="31" s="1"/>
  <c r="S115" i="31"/>
  <c r="T115" i="31" s="1"/>
  <c r="U114" i="31"/>
  <c r="V114" i="31" s="1"/>
  <c r="S114" i="31"/>
  <c r="T114" i="31" s="1"/>
  <c r="S113" i="31"/>
  <c r="T113" i="31" s="1"/>
  <c r="U112" i="31"/>
  <c r="V112" i="31" s="1"/>
  <c r="S112" i="31"/>
  <c r="T112" i="31" s="1"/>
  <c r="S111" i="31"/>
  <c r="T111" i="31" s="1"/>
  <c r="U109" i="31"/>
  <c r="V109" i="31" s="1"/>
  <c r="S109" i="31"/>
  <c r="T109" i="31" s="1"/>
  <c r="K119" i="31" a="1"/>
  <c r="M119" i="31" a="1"/>
  <c r="M119" i="31" s="1"/>
  <c r="S106" i="31"/>
  <c r="T106" i="31" s="1"/>
  <c r="K102" i="31"/>
  <c r="U90" i="31"/>
  <c r="V90" i="31" s="1"/>
  <c r="S90" i="31"/>
  <c r="T90" i="31" s="1"/>
  <c r="S87" i="31"/>
  <c r="T87" i="31" s="1"/>
  <c r="U86" i="31"/>
  <c r="V86" i="31" s="1"/>
  <c r="S86" i="31"/>
  <c r="T86" i="31" s="1"/>
  <c r="S85" i="31"/>
  <c r="T85" i="31" s="1"/>
  <c r="S84" i="31"/>
  <c r="T84" i="31" s="1"/>
  <c r="U84" i="31"/>
  <c r="V84" i="31" s="1"/>
  <c r="S83" i="31"/>
  <c r="T83" i="31" s="1"/>
  <c r="S82" i="31"/>
  <c r="T82" i="31" s="1"/>
  <c r="S81" i="31"/>
  <c r="M79" i="31"/>
  <c r="D76" i="31"/>
  <c r="D73" i="31"/>
  <c r="U66" i="31"/>
  <c r="V66" i="31" s="1"/>
  <c r="S66" i="31"/>
  <c r="T66" i="31" s="1"/>
  <c r="S65" i="31"/>
  <c r="T65" i="31" s="1"/>
  <c r="U64" i="31"/>
  <c r="V64" i="31" s="1"/>
  <c r="S64" i="31"/>
  <c r="T64" i="31" s="1"/>
  <c r="S63" i="31"/>
  <c r="T63" i="31" s="1"/>
  <c r="S62" i="31"/>
  <c r="T62" i="31" s="1"/>
  <c r="U62" i="31"/>
  <c r="V62" i="31" s="1"/>
  <c r="S61" i="31"/>
  <c r="T61" i="31" s="1"/>
  <c r="U60" i="31"/>
  <c r="V60" i="31" s="1"/>
  <c r="S60" i="31"/>
  <c r="T60" i="31" s="1"/>
  <c r="U59" i="31"/>
  <c r="V59" i="31" s="1"/>
  <c r="S59" i="31"/>
  <c r="T59" i="31" s="1"/>
  <c r="U58" i="31"/>
  <c r="V58" i="31" s="1"/>
  <c r="S58" i="31"/>
  <c r="T58" i="31" s="1"/>
  <c r="S57" i="31"/>
  <c r="T57" i="31" s="1"/>
  <c r="S56" i="31"/>
  <c r="T56" i="31" s="1"/>
  <c r="U55" i="31"/>
  <c r="V55" i="31" s="1"/>
  <c r="S55" i="31"/>
  <c r="T55" i="31" s="1"/>
  <c r="S54" i="31"/>
  <c r="T54" i="31" s="1"/>
  <c r="S53" i="31"/>
  <c r="T53" i="31" s="1"/>
  <c r="S51" i="31"/>
  <c r="U51" i="31"/>
  <c r="V51" i="31" s="1"/>
  <c r="K36" i="31" a="1"/>
  <c r="U34" i="31"/>
  <c r="V34" i="31" s="1"/>
  <c r="S34" i="31"/>
  <c r="T34" i="31" s="1"/>
  <c r="U33" i="31"/>
  <c r="V33" i="31" s="1"/>
  <c r="S33" i="31"/>
  <c r="T33" i="31" s="1"/>
  <c r="U32" i="31"/>
  <c r="V32" i="31" s="1"/>
  <c r="S32" i="31"/>
  <c r="T32" i="31" s="1"/>
  <c r="S31" i="31"/>
  <c r="T31" i="31" s="1"/>
  <c r="U30" i="31"/>
  <c r="V30" i="31" s="1"/>
  <c r="S30" i="31"/>
  <c r="T30" i="31" s="1"/>
  <c r="U29" i="31"/>
  <c r="S29" i="31"/>
  <c r="T29" i="31" s="1"/>
  <c r="U28" i="31"/>
  <c r="V28" i="31" s="1"/>
  <c r="S28" i="31"/>
  <c r="T28" i="31" s="1"/>
  <c r="U23" i="31"/>
  <c r="V23" i="31" s="1"/>
  <c r="S23" i="31"/>
  <c r="T23" i="31" s="1"/>
  <c r="U22" i="31"/>
  <c r="V22" i="31" s="1"/>
  <c r="S22" i="31"/>
  <c r="T22" i="31" s="1"/>
  <c r="S21" i="31"/>
  <c r="T21" i="31" s="1"/>
  <c r="U20" i="31"/>
  <c r="V20" i="31" s="1"/>
  <c r="S20" i="31"/>
  <c r="T20" i="31" s="1"/>
  <c r="U19" i="31"/>
  <c r="V19" i="31" s="1"/>
  <c r="S19" i="31"/>
  <c r="T19" i="31" s="1"/>
  <c r="U18" i="31"/>
  <c r="V18" i="31" s="1"/>
  <c r="S18" i="31"/>
  <c r="T18" i="31" s="1"/>
  <c r="S17" i="31"/>
  <c r="T17" i="31" s="1"/>
  <c r="U16" i="31"/>
  <c r="V16" i="31" s="1"/>
  <c r="S16" i="31"/>
  <c r="T16" i="31" s="1"/>
  <c r="S15" i="31"/>
  <c r="T15" i="31" s="1"/>
  <c r="U14" i="31"/>
  <c r="V14" i="31" s="1"/>
  <c r="S14" i="31"/>
  <c r="T14" i="31" s="1"/>
  <c r="S13" i="31"/>
  <c r="T13" i="31" s="1"/>
  <c r="M25" i="31" a="1"/>
  <c r="J55" i="29"/>
  <c r="F17" i="29"/>
  <c r="F11" i="29"/>
  <c r="L61" i="29"/>
  <c r="J61" i="29"/>
  <c r="F127" i="29"/>
  <c r="M102" i="31" l="1"/>
  <c r="N102" i="31"/>
  <c r="U61" i="31"/>
  <c r="V61" i="31" s="1"/>
  <c r="U87" i="31"/>
  <c r="V87" i="31" s="1"/>
  <c r="S52" i="31"/>
  <c r="T52" i="31" s="1"/>
  <c r="U65" i="31"/>
  <c r="V65" i="31" s="1"/>
  <c r="K119" i="31"/>
  <c r="U111" i="31"/>
  <c r="V111" i="31" s="1"/>
  <c r="U115" i="31"/>
  <c r="V115" i="31" s="1"/>
  <c r="K36" i="31"/>
  <c r="M25" i="31"/>
  <c r="U106" i="31"/>
  <c r="V106" i="31" s="1"/>
  <c r="U15" i="31"/>
  <c r="V15" i="31" s="1"/>
  <c r="U57" i="31"/>
  <c r="V57" i="31" s="1"/>
  <c r="V29" i="31"/>
  <c r="S92" i="31"/>
  <c r="T81" i="31"/>
  <c r="K92" i="31" a="1"/>
  <c r="K92" i="31" s="1"/>
  <c r="T51" i="31"/>
  <c r="K25" i="31" a="1"/>
  <c r="K25" i="31" s="1"/>
  <c r="M36" i="31" a="1"/>
  <c r="M36" i="31" s="1"/>
  <c r="U54" i="31"/>
  <c r="V54" i="31" s="1"/>
  <c r="U82" i="31"/>
  <c r="V82" i="31" s="1"/>
  <c r="U83" i="31"/>
  <c r="V83" i="31" s="1"/>
  <c r="U12" i="31"/>
  <c r="M92" i="31" a="1"/>
  <c r="M92" i="31" s="1"/>
  <c r="S12" i="31"/>
  <c r="U13" i="31"/>
  <c r="V13" i="31" s="1"/>
  <c r="S36" i="31"/>
  <c r="U53" i="31"/>
  <c r="V53" i="31" s="1"/>
  <c r="U17" i="31"/>
  <c r="V17" i="31" s="1"/>
  <c r="U21" i="31"/>
  <c r="V21" i="31" s="1"/>
  <c r="U31" i="31"/>
  <c r="V31" i="31" s="1"/>
  <c r="U52" i="31"/>
  <c r="V52" i="31" s="1"/>
  <c r="U56" i="31"/>
  <c r="V56" i="31" s="1"/>
  <c r="U63" i="31"/>
  <c r="V63" i="31" s="1"/>
  <c r="M71" i="31" a="1"/>
  <c r="M71" i="31" s="1"/>
  <c r="U81" i="31"/>
  <c r="U85" i="31"/>
  <c r="V85" i="31" s="1"/>
  <c r="U113" i="31"/>
  <c r="V113" i="31" s="1"/>
  <c r="U117" i="31"/>
  <c r="V117" i="31" s="1"/>
  <c r="S119" i="31"/>
  <c r="S71" i="31" l="1"/>
  <c r="N92" i="31" a="1"/>
  <c r="N92" i="31" s="1"/>
  <c r="N71" i="31" a="1"/>
  <c r="N71" i="31" s="1"/>
  <c r="K94" i="31"/>
  <c r="K103" i="31" s="1"/>
  <c r="K121" i="31" s="1"/>
  <c r="M94" i="31"/>
  <c r="M103" i="31" s="1"/>
  <c r="M121" i="31" s="1"/>
  <c r="T36" i="31"/>
  <c r="M38" i="31"/>
  <c r="M47" i="31" s="1"/>
  <c r="T71" i="31"/>
  <c r="T92" i="31"/>
  <c r="U71" i="31"/>
  <c r="V71" i="31" s="1"/>
  <c r="N119" i="31" a="1"/>
  <c r="N119" i="31" s="1"/>
  <c r="U25" i="31"/>
  <c r="V12" i="31"/>
  <c r="N36" i="31" a="1"/>
  <c r="N36" i="31" s="1"/>
  <c r="S94" i="31"/>
  <c r="S121" i="31" s="1"/>
  <c r="V81" i="31"/>
  <c r="U92" i="31"/>
  <c r="U119" i="31"/>
  <c r="U36" i="31"/>
  <c r="V36" i="31" s="1"/>
  <c r="T12" i="31"/>
  <c r="S25" i="31"/>
  <c r="S38" i="31" s="1"/>
  <c r="K38" i="31"/>
  <c r="K47" i="31" s="1"/>
  <c r="N25" i="31" a="1"/>
  <c r="N25" i="31" s="1"/>
  <c r="T119" i="31"/>
  <c r="M125" i="31" l="1"/>
  <c r="K125" i="31"/>
  <c r="N47" i="31"/>
  <c r="T94" i="31"/>
  <c r="S123" i="31"/>
  <c r="N94" i="31"/>
  <c r="N103" i="31" s="1"/>
  <c r="N121" i="31" s="1"/>
  <c r="N38" i="31"/>
  <c r="V119" i="31"/>
  <c r="T25" i="31"/>
  <c r="V92" i="31"/>
  <c r="U94" i="31"/>
  <c r="V94" i="31" s="1"/>
  <c r="T38" i="31"/>
  <c r="T121" i="31"/>
  <c r="V25" i="31"/>
  <c r="U38" i="31"/>
  <c r="N125" i="31" l="1"/>
  <c r="U123" i="31"/>
  <c r="V38" i="31"/>
  <c r="U121" i="31"/>
  <c r="V121" i="31" s="1"/>
  <c r="L62" i="29" l="1"/>
  <c r="S62" i="29" s="1"/>
  <c r="T62" i="29" s="1"/>
  <c r="J62" i="29"/>
  <c r="Q62" i="29" s="1"/>
  <c r="R62" i="29" s="1"/>
  <c r="S61" i="29"/>
  <c r="G127" i="29"/>
  <c r="J53" i="29"/>
  <c r="Q53" i="29" s="1"/>
  <c r="R53" i="29" s="1"/>
  <c r="L53" i="29"/>
  <c r="S53" i="29" s="1"/>
  <c r="T53" i="29" s="1"/>
  <c r="J54" i="29"/>
  <c r="Q54" i="29" s="1"/>
  <c r="R54" i="29" s="1"/>
  <c r="L54" i="29"/>
  <c r="S54" i="29" s="1"/>
  <c r="T54" i="29" s="1"/>
  <c r="L55" i="29"/>
  <c r="S55" i="29" s="1"/>
  <c r="T55" i="29" s="1"/>
  <c r="L52" i="29"/>
  <c r="J52" i="29"/>
  <c r="J38" i="29"/>
  <c r="Q38" i="29" s="1"/>
  <c r="R38" i="29" s="1"/>
  <c r="L38" i="29"/>
  <c r="S38" i="29" s="1"/>
  <c r="T38" i="29" s="1"/>
  <c r="J39" i="29"/>
  <c r="Q39" i="29" s="1"/>
  <c r="R39" i="29" s="1"/>
  <c r="L39" i="29"/>
  <c r="S39" i="29" s="1"/>
  <c r="T39" i="29" s="1"/>
  <c r="J40" i="29"/>
  <c r="Q40" i="29" s="1"/>
  <c r="R40" i="29" s="1"/>
  <c r="L40" i="29"/>
  <c r="J41" i="29"/>
  <c r="Q41" i="29" s="1"/>
  <c r="R41" i="29" s="1"/>
  <c r="L41" i="29"/>
  <c r="S41" i="29" s="1"/>
  <c r="T41" i="29" s="1"/>
  <c r="J42" i="29"/>
  <c r="Q42" i="29" s="1"/>
  <c r="R42" i="29" s="1"/>
  <c r="L42" i="29"/>
  <c r="S42" i="29" s="1"/>
  <c r="T42" i="29" s="1"/>
  <c r="J43" i="29"/>
  <c r="Q43" i="29" s="1"/>
  <c r="R43" i="29" s="1"/>
  <c r="L43" i="29"/>
  <c r="S43" i="29" s="1"/>
  <c r="T43" i="29" s="1"/>
  <c r="J44" i="29"/>
  <c r="Q44" i="29" s="1"/>
  <c r="R44" i="29" s="1"/>
  <c r="L44" i="29"/>
  <c r="S44" i="29" s="1"/>
  <c r="T44" i="29" s="1"/>
  <c r="J45" i="29"/>
  <c r="L45" i="29"/>
  <c r="L37" i="29"/>
  <c r="S37" i="29" s="1"/>
  <c r="T37" i="29" s="1"/>
  <c r="J37" i="29"/>
  <c r="J25" i="29"/>
  <c r="Q25" i="29" s="1"/>
  <c r="R25" i="29" s="1"/>
  <c r="L25" i="29"/>
  <c r="S25" i="29" s="1"/>
  <c r="T25" i="29" s="1"/>
  <c r="J26" i="29"/>
  <c r="Q26" i="29" s="1"/>
  <c r="R26" i="29" s="1"/>
  <c r="L26" i="29"/>
  <c r="S26" i="29" s="1"/>
  <c r="T26" i="29" s="1"/>
  <c r="J27" i="29"/>
  <c r="L27" i="29"/>
  <c r="S27" i="29" s="1"/>
  <c r="T27" i="29" s="1"/>
  <c r="J28" i="29"/>
  <c r="Q28" i="29" s="1"/>
  <c r="R28" i="29" s="1"/>
  <c r="L28" i="29"/>
  <c r="S28" i="29" s="1"/>
  <c r="T28" i="29" s="1"/>
  <c r="J29" i="29"/>
  <c r="Q29" i="29" s="1"/>
  <c r="R29" i="29" s="1"/>
  <c r="L29" i="29"/>
  <c r="S29" i="29" s="1"/>
  <c r="T29" i="29" s="1"/>
  <c r="J30" i="29"/>
  <c r="Q30" i="29" s="1"/>
  <c r="R30" i="29" s="1"/>
  <c r="L30" i="29"/>
  <c r="L24" i="29"/>
  <c r="S24" i="29" s="1"/>
  <c r="T24" i="29" s="1"/>
  <c r="J24" i="29"/>
  <c r="J18" i="29"/>
  <c r="Q18" i="29" s="1"/>
  <c r="R18" i="29" s="1"/>
  <c r="L18" i="29"/>
  <c r="S18" i="29" s="1"/>
  <c r="T18" i="29" s="1"/>
  <c r="J12" i="29"/>
  <c r="Q12" i="29" s="1"/>
  <c r="R12" i="29" s="1"/>
  <c r="L12" i="29"/>
  <c r="S12" i="29" s="1"/>
  <c r="T12" i="29" s="1"/>
  <c r="J13" i="29"/>
  <c r="Q13" i="29" s="1"/>
  <c r="R13" i="29" s="1"/>
  <c r="L13" i="29"/>
  <c r="J14" i="29"/>
  <c r="Q14" i="29" s="1"/>
  <c r="R14" i="29" s="1"/>
  <c r="L14" i="29"/>
  <c r="J15" i="29"/>
  <c r="Q15" i="29" s="1"/>
  <c r="R15" i="29" s="1"/>
  <c r="L15" i="29"/>
  <c r="S15" i="29" s="1"/>
  <c r="T15" i="29" s="1"/>
  <c r="J16" i="29"/>
  <c r="L16" i="29"/>
  <c r="J17" i="29"/>
  <c r="Q17" i="29" s="1"/>
  <c r="R17" i="29" s="1"/>
  <c r="L17" i="29"/>
  <c r="S17" i="29" s="1"/>
  <c r="T17" i="29" s="1"/>
  <c r="L11" i="29"/>
  <c r="S11" i="29" s="1"/>
  <c r="T11" i="29" s="1"/>
  <c r="J11" i="29"/>
  <c r="Q11" i="29" s="1"/>
  <c r="R11" i="29" s="1"/>
  <c r="Q61" i="29"/>
  <c r="Q55" i="29"/>
  <c r="R55" i="29" s="1"/>
  <c r="Q45" i="29"/>
  <c r="R45" i="29" s="1"/>
  <c r="J47" i="29" a="1"/>
  <c r="Q27" i="29"/>
  <c r="R27" i="29" s="1"/>
  <c r="S23" i="29"/>
  <c r="T23" i="29" s="1"/>
  <c r="Q23" i="29"/>
  <c r="R23" i="29" s="1"/>
  <c r="S22" i="29"/>
  <c r="T22" i="29" s="1"/>
  <c r="Q22" i="29"/>
  <c r="R22" i="29" s="1"/>
  <c r="L7" i="29"/>
  <c r="N4" i="29"/>
  <c r="L32" i="29" l="1" a="1"/>
  <c r="J20" i="29" a="1"/>
  <c r="L20" i="29" a="1"/>
  <c r="J57" i="29" a="1"/>
  <c r="J32" i="29" a="1"/>
  <c r="J32" i="29" s="1"/>
  <c r="L57" i="29" a="1"/>
  <c r="R24" i="29"/>
  <c r="M42" i="29"/>
  <c r="M44" i="29"/>
  <c r="M28" i="29"/>
  <c r="M40" i="29"/>
  <c r="M39" i="29"/>
  <c r="M53" i="29"/>
  <c r="M13" i="29"/>
  <c r="M30" i="29"/>
  <c r="M26" i="29"/>
  <c r="M14" i="29"/>
  <c r="M29" i="29"/>
  <c r="M45" i="29"/>
  <c r="M15" i="29"/>
  <c r="S14" i="29"/>
  <c r="T14" i="29" s="1"/>
  <c r="M27" i="29"/>
  <c r="M12" i="29"/>
  <c r="M25" i="29"/>
  <c r="M54" i="29"/>
  <c r="Q52" i="29"/>
  <c r="R52" i="29" s="1"/>
  <c r="J57" i="29"/>
  <c r="S52" i="29"/>
  <c r="T52" i="29" s="1"/>
  <c r="L57" i="29"/>
  <c r="C41" i="29"/>
  <c r="S13" i="29"/>
  <c r="T13" i="29" s="1"/>
  <c r="M17" i="29"/>
  <c r="M38" i="29"/>
  <c r="C55" i="29"/>
  <c r="S30" i="29"/>
  <c r="T30" i="29" s="1"/>
  <c r="M62" i="29"/>
  <c r="L64" i="29" a="1"/>
  <c r="Q32" i="29"/>
  <c r="M55" i="29"/>
  <c r="M52" i="29"/>
  <c r="M57" i="29" s="1" a="1"/>
  <c r="M41" i="29"/>
  <c r="C43" i="29"/>
  <c r="S45" i="29"/>
  <c r="T45" i="29" s="1"/>
  <c r="M43" i="29"/>
  <c r="M37" i="29"/>
  <c r="J47" i="29"/>
  <c r="Q37" i="29"/>
  <c r="L32" i="29"/>
  <c r="M18" i="29"/>
  <c r="L20" i="29"/>
  <c r="J20" i="29"/>
  <c r="M11" i="29"/>
  <c r="M61" i="29"/>
  <c r="M64" i="29" s="1" a="1"/>
  <c r="L64" i="29"/>
  <c r="S64" i="29"/>
  <c r="T61" i="29"/>
  <c r="Q64" i="29"/>
  <c r="R61" i="29"/>
  <c r="S40" i="29"/>
  <c r="T40" i="29" s="1"/>
  <c r="Q20" i="29"/>
  <c r="J64" i="29" a="1"/>
  <c r="J64" i="29" s="1"/>
  <c r="M24" i="29"/>
  <c r="M32" i="29" s="1" a="1"/>
  <c r="L47" i="29" a="1"/>
  <c r="L47" i="29" s="1"/>
  <c r="M47" i="29" l="1" a="1"/>
  <c r="M47" i="29" s="1"/>
  <c r="M20" i="29" a="1"/>
  <c r="M20" i="29" s="1"/>
  <c r="Q57" i="29"/>
  <c r="R57" i="29" s="1"/>
  <c r="M32" i="29"/>
  <c r="S57" i="29"/>
  <c r="T57" i="29" s="1"/>
  <c r="S32" i="29"/>
  <c r="T32" i="29" s="1"/>
  <c r="Q34" i="29"/>
  <c r="M64" i="29"/>
  <c r="R32" i="29"/>
  <c r="S20" i="29"/>
  <c r="T20" i="29" s="1"/>
  <c r="T64" i="29"/>
  <c r="L34" i="29"/>
  <c r="L50" i="29" s="1"/>
  <c r="M57" i="29"/>
  <c r="Q47" i="29"/>
  <c r="R37" i="29"/>
  <c r="R64" i="29"/>
  <c r="R20" i="29"/>
  <c r="J34" i="29"/>
  <c r="S47" i="29"/>
  <c r="T47" i="29" s="1"/>
  <c r="M34" i="29" l="1"/>
  <c r="M50" i="29" s="1"/>
  <c r="M59" i="29" s="1"/>
  <c r="M66" i="29" s="1"/>
  <c r="M69" i="29" s="1"/>
  <c r="Q50" i="29"/>
  <c r="Q59" i="29" s="1"/>
  <c r="Q66" i="29" s="1"/>
  <c r="S34" i="29"/>
  <c r="S50" i="29" s="1"/>
  <c r="S59" i="29" s="1"/>
  <c r="S66" i="29" s="1"/>
  <c r="R47" i="29"/>
  <c r="R34" i="29"/>
  <c r="D34" i="29"/>
  <c r="J50" i="29"/>
  <c r="L59" i="29"/>
  <c r="L66" i="29" s="1"/>
  <c r="L69" i="29" s="1"/>
  <c r="T34" i="29" l="1"/>
  <c r="T50" i="29"/>
  <c r="T59" i="29"/>
  <c r="J59" i="29"/>
  <c r="C49" i="29"/>
  <c r="R50" i="29"/>
  <c r="J66" i="29" l="1"/>
  <c r="T66" i="29"/>
  <c r="C59" i="29"/>
  <c r="R59" i="29"/>
  <c r="J69" i="29" l="1"/>
  <c r="R66" i="29"/>
</calcChain>
</file>

<file path=xl/comments1.xml><?xml version="1.0" encoding="utf-8"?>
<comments xmlns="http://schemas.openxmlformats.org/spreadsheetml/2006/main">
  <authors>
    <author>Dickens, Jamaal</author>
    <author>claire.cotton-watkins</author>
  </authors>
  <commentList>
    <comment ref="S1" authorId="0" shapeId="0">
      <text>
        <r>
          <rPr>
            <b/>
            <sz val="9"/>
            <color indexed="81"/>
            <rFont val="Tahoma"/>
            <family val="2"/>
          </rPr>
          <t>Dickens, Jamaal:</t>
        </r>
        <r>
          <rPr>
            <sz val="9"/>
            <color indexed="81"/>
            <rFont val="Tahoma"/>
            <family val="2"/>
          </rPr>
          <t xml:space="preserve">
Just another Checks and Balances Screen which rounds values from Columns K &amp; M.</t>
        </r>
      </text>
    </comment>
    <comment ref="B86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1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M11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S</t>
        </r>
        <r>
          <rPr>
            <sz val="8"/>
            <color indexed="81"/>
            <rFont val="Tahoma"/>
            <family val="2"/>
          </rPr>
          <t>. Amounts should only differ by rounding error.</t>
        </r>
      </text>
    </comment>
    <comment ref="N11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S</t>
        </r>
        <r>
          <rPr>
            <sz val="8"/>
            <color indexed="81"/>
            <rFont val="Tahoma"/>
            <family val="2"/>
          </rPr>
          <t>. Amounts should only differ by rounding error.</t>
        </r>
      </text>
    </comment>
  </commentList>
</comments>
</file>

<file path=xl/comments10.xml><?xml version="1.0" encoding="utf-8"?>
<comments xmlns="http://schemas.openxmlformats.org/spreadsheetml/2006/main">
  <authors>
    <author>claire.cotton-watkins</author>
  </authors>
  <commentList>
    <comment ref="H30" authorId="0" shapeId="0">
      <text>
        <r>
          <rPr>
            <sz val="8"/>
            <color indexed="81"/>
            <rFont val="Tahoma"/>
            <family val="2"/>
          </rPr>
          <t>Accounts by GL Depreciation Expense (GL code 69400)</t>
        </r>
      </text>
    </comment>
  </commentList>
</comments>
</file>

<file path=xl/comments11.xml><?xml version="1.0" encoding="utf-8"?>
<comments xmlns="http://schemas.openxmlformats.org/spreadsheetml/2006/main">
  <authors>
    <author>claire.cotton-watkins</author>
  </authors>
  <commentList>
    <comment ref="H30" authorId="0" shapeId="0">
      <text>
        <r>
          <rPr>
            <sz val="8"/>
            <color indexed="81"/>
            <rFont val="Tahoma"/>
            <family val="2"/>
          </rPr>
          <t>Accounts by GL Depreciation Expense (GL code 69400)</t>
        </r>
      </text>
    </comment>
  </commentList>
</comments>
</file>

<file path=xl/comments12.xml><?xml version="1.0" encoding="utf-8"?>
<comments xmlns="http://schemas.openxmlformats.org/spreadsheetml/2006/main">
  <authors>
    <author>claire.cotton-watkins</author>
  </authors>
  <commentList>
    <comment ref="H30" authorId="0" shapeId="0">
      <text>
        <r>
          <rPr>
            <sz val="8"/>
            <color indexed="81"/>
            <rFont val="Tahoma"/>
            <family val="2"/>
          </rPr>
          <t>Accounts by GL Depreciation Expense (GL code 69400)</t>
        </r>
      </text>
    </comment>
  </commentList>
</comments>
</file>

<file path=xl/comments13.xml><?xml version="1.0" encoding="utf-8"?>
<comments xmlns="http://schemas.openxmlformats.org/spreadsheetml/2006/main">
  <authors>
    <author>claire.cotton-watkins</author>
  </authors>
  <commentList>
    <comment ref="H30" authorId="0" shapeId="0">
      <text>
        <r>
          <rPr>
            <sz val="8"/>
            <color indexed="81"/>
            <rFont val="Tahoma"/>
            <family val="2"/>
          </rPr>
          <t>Accounts by GL Depreciation Expense (GL code 69400)</t>
        </r>
      </text>
    </comment>
  </commentList>
</comments>
</file>

<file path=xl/comments14.xml><?xml version="1.0" encoding="utf-8"?>
<comments xmlns="http://schemas.openxmlformats.org/spreadsheetml/2006/main">
  <authors>
    <author>claire.cotton-watkins</author>
  </authors>
  <commentList>
    <comment ref="H30" authorId="0" shapeId="0">
      <text>
        <r>
          <rPr>
            <sz val="8"/>
            <color indexed="81"/>
            <rFont val="Tahoma"/>
            <family val="2"/>
          </rPr>
          <t>Accounts by GL Depreciation Expense (GL code 69400)</t>
        </r>
      </text>
    </comment>
  </commentList>
</comments>
</file>

<file path=xl/comments15.xml><?xml version="1.0" encoding="utf-8"?>
<comments xmlns="http://schemas.openxmlformats.org/spreadsheetml/2006/main">
  <authors>
    <author>claire.cotton-watkins</author>
  </authors>
  <commentList>
    <comment ref="J30" authorId="0" shapeId="0">
      <text>
        <r>
          <rPr>
            <sz val="8"/>
            <color indexed="81"/>
            <rFont val="Tahoma"/>
            <family val="2"/>
          </rPr>
          <t>Accounts by GL Depreciation Expense (GL code 69400)</t>
        </r>
      </text>
    </comment>
  </commentList>
</comments>
</file>

<file path=xl/comments16.xml><?xml version="1.0" encoding="utf-8"?>
<comments xmlns="http://schemas.openxmlformats.org/spreadsheetml/2006/main">
  <authors>
    <author>claire.cotton-watkins</author>
  </authors>
  <commentList>
    <comment ref="H30" authorId="0" shapeId="0">
      <text>
        <r>
          <rPr>
            <sz val="8"/>
            <color indexed="81"/>
            <rFont val="Tahoma"/>
            <family val="2"/>
          </rPr>
          <t>Accounts by GL Depreciation Expense (GL code 69400)</t>
        </r>
      </text>
    </comment>
  </commentList>
</comments>
</file>

<file path=xl/comments17.xml><?xml version="1.0" encoding="utf-8"?>
<comments xmlns="http://schemas.openxmlformats.org/spreadsheetml/2006/main">
  <authors>
    <author>claire.cotton-watkins</author>
  </authors>
  <commentList>
    <comment ref="H30" authorId="0" shapeId="0">
      <text>
        <r>
          <rPr>
            <sz val="8"/>
            <color indexed="81"/>
            <rFont val="Tahoma"/>
            <family val="2"/>
          </rPr>
          <t>Accounts by GL Depreciation Expense (GL code 69400)</t>
        </r>
      </text>
    </comment>
  </commentList>
</comments>
</file>

<file path=xl/comments18.xml><?xml version="1.0" encoding="utf-8"?>
<comments xmlns="http://schemas.openxmlformats.org/spreadsheetml/2006/main">
  <authors>
    <author>claire.cotton-watkins</author>
  </authors>
  <commentList>
    <comment ref="H30" authorId="0" shapeId="0">
      <text>
        <r>
          <rPr>
            <sz val="8"/>
            <color indexed="81"/>
            <rFont val="Tahoma"/>
            <family val="2"/>
          </rPr>
          <t>Accounts by GL Depreciation Expense (GL code 69400)</t>
        </r>
      </text>
    </comment>
  </commentList>
</comments>
</file>

<file path=xl/comments19.xml><?xml version="1.0" encoding="utf-8"?>
<comments xmlns="http://schemas.openxmlformats.org/spreadsheetml/2006/main">
  <authors>
    <author>claire.cotton-watkins</author>
  </authors>
  <commentList>
    <comment ref="H30" authorId="0" shapeId="0">
      <text>
        <r>
          <rPr>
            <sz val="8"/>
            <color indexed="81"/>
            <rFont val="Tahoma"/>
            <family val="2"/>
          </rPr>
          <t>Accounts by GL Depreciation Expense (GL code 69400)</t>
        </r>
      </text>
    </comment>
  </commentList>
</comments>
</file>

<file path=xl/comments2.xml><?xml version="1.0" encoding="utf-8"?>
<comments xmlns="http://schemas.openxmlformats.org/spreadsheetml/2006/main">
  <authors>
    <author>claire.cotton-watkins</author>
    <author>Dickens, Jamaal</author>
  </authors>
  <commentList>
    <comment ref="J30" authorId="0" shapeId="0">
      <text>
        <r>
          <rPr>
            <sz val="8"/>
            <color indexed="81"/>
            <rFont val="Tahoma"/>
            <family val="2"/>
          </rPr>
          <t>Accounts by GL Depreciation Expense (GL code 69400)</t>
        </r>
      </text>
    </comment>
    <comment ref="A127" authorId="1" shapeId="0">
      <text>
        <r>
          <rPr>
            <b/>
            <sz val="9"/>
            <color indexed="81"/>
            <rFont val="Tahoma"/>
            <family val="2"/>
          </rPr>
          <t>Dickens, Jamaal:</t>
        </r>
        <r>
          <rPr>
            <sz val="9"/>
            <color indexed="81"/>
            <rFont val="Tahoma"/>
            <family val="2"/>
          </rPr>
          <t xml:space="preserve">
Unhide HERE!</t>
        </r>
      </text>
    </comment>
  </commentList>
</comments>
</file>

<file path=xl/comments20.xml><?xml version="1.0" encoding="utf-8"?>
<comments xmlns="http://schemas.openxmlformats.org/spreadsheetml/2006/main">
  <authors>
    <author>claire.cotton-watkins</author>
  </authors>
  <commentList>
    <comment ref="H30" authorId="0" shapeId="0">
      <text>
        <r>
          <rPr>
            <sz val="8"/>
            <color indexed="81"/>
            <rFont val="Tahoma"/>
            <family val="2"/>
          </rPr>
          <t>Accounts by GL Depreciation Expense (GL code 69400)</t>
        </r>
      </text>
    </comment>
  </commentList>
</comments>
</file>

<file path=xl/comments21.xml><?xml version="1.0" encoding="utf-8"?>
<comments xmlns="http://schemas.openxmlformats.org/spreadsheetml/2006/main">
  <authors>
    <author>claire.cotton-watkins</author>
  </authors>
  <commentList>
    <comment ref="J30" authorId="0" shapeId="0">
      <text>
        <r>
          <rPr>
            <sz val="8"/>
            <color indexed="81"/>
            <rFont val="Tahoma"/>
            <family val="2"/>
          </rPr>
          <t>Accounts by GL Depreciation Expense (GL code 69400)</t>
        </r>
      </text>
    </comment>
  </commentList>
</comments>
</file>

<file path=xl/comments22.xml><?xml version="1.0" encoding="utf-8"?>
<comments xmlns="http://schemas.openxmlformats.org/spreadsheetml/2006/main">
  <authors>
    <author>claire.cotton-watkins</author>
  </authors>
  <commentList>
    <comment ref="J30" authorId="0" shapeId="0">
      <text>
        <r>
          <rPr>
            <sz val="8"/>
            <color indexed="81"/>
            <rFont val="Tahoma"/>
            <family val="2"/>
          </rPr>
          <t>Accounts by GL Depreciation Expense (GL code 69400)</t>
        </r>
      </text>
    </comment>
  </commentList>
</comments>
</file>

<file path=xl/comments23.xml><?xml version="1.0" encoding="utf-8"?>
<comments xmlns="http://schemas.openxmlformats.org/spreadsheetml/2006/main">
  <authors>
    <author>claire.cotton-watkins</author>
  </authors>
  <commentList>
    <comment ref="J30" authorId="0" shapeId="0">
      <text>
        <r>
          <rPr>
            <sz val="8"/>
            <color indexed="81"/>
            <rFont val="Tahoma"/>
            <family val="2"/>
          </rPr>
          <t>Accounts by GL Depreciation Expense (GL code 69400)</t>
        </r>
      </text>
    </comment>
  </commentList>
</comments>
</file>

<file path=xl/comments24.xml><?xml version="1.0" encoding="utf-8"?>
<comments xmlns="http://schemas.openxmlformats.org/spreadsheetml/2006/main">
  <authors>
    <author>claire.cotton-watkins</author>
  </authors>
  <commentList>
    <comment ref="J30" authorId="0" shapeId="0">
      <text>
        <r>
          <rPr>
            <sz val="8"/>
            <color indexed="81"/>
            <rFont val="Tahoma"/>
            <family val="2"/>
          </rPr>
          <t>Accounts by GL Depreciation Expense (GL code 69400)</t>
        </r>
      </text>
    </comment>
  </commentList>
</comments>
</file>

<file path=xl/comments25.xml><?xml version="1.0" encoding="utf-8"?>
<comments xmlns="http://schemas.openxmlformats.org/spreadsheetml/2006/main">
  <authors>
    <author>claire.cotton-watkins</author>
  </authors>
  <commentList>
    <comment ref="J30" authorId="0" shapeId="0">
      <text>
        <r>
          <rPr>
            <sz val="8"/>
            <color indexed="81"/>
            <rFont val="Tahoma"/>
            <family val="2"/>
          </rPr>
          <t>Accounts by GL Depreciation Expense (GL code 69400)</t>
        </r>
      </text>
    </comment>
  </commentList>
</comments>
</file>

<file path=xl/comments26.xml><?xml version="1.0" encoding="utf-8"?>
<comments xmlns="http://schemas.openxmlformats.org/spreadsheetml/2006/main">
  <authors>
    <author>claire.cotton-watkins</author>
  </authors>
  <commentList>
    <comment ref="J30" authorId="0" shapeId="0">
      <text>
        <r>
          <rPr>
            <sz val="8"/>
            <color indexed="81"/>
            <rFont val="Tahoma"/>
            <family val="2"/>
          </rPr>
          <t>Accounts by GL Depreciation Expense (GL code 69400)</t>
        </r>
      </text>
    </comment>
  </commentList>
</comments>
</file>

<file path=xl/comments27.xml><?xml version="1.0" encoding="utf-8"?>
<comments xmlns="http://schemas.openxmlformats.org/spreadsheetml/2006/main">
  <authors>
    <author>claire.cotton-watkins</author>
  </authors>
  <commentList>
    <comment ref="J30" authorId="0" shapeId="0">
      <text>
        <r>
          <rPr>
            <sz val="8"/>
            <color indexed="81"/>
            <rFont val="Tahoma"/>
            <family val="2"/>
          </rPr>
          <t>Accounts by GL Depreciation Expense (GL code 69400)</t>
        </r>
      </text>
    </comment>
  </commentList>
</comments>
</file>

<file path=xl/comments28.xml><?xml version="1.0" encoding="utf-8"?>
<comments xmlns="http://schemas.openxmlformats.org/spreadsheetml/2006/main">
  <authors>
    <author>claire.cotton-watkins</author>
  </authors>
  <commentList>
    <comment ref="J30" authorId="0" shapeId="0">
      <text>
        <r>
          <rPr>
            <sz val="8"/>
            <color indexed="81"/>
            <rFont val="Tahoma"/>
            <family val="2"/>
          </rPr>
          <t>Accounts by GL Depreciation Expense (GL code 69400)</t>
        </r>
      </text>
    </comment>
  </commentList>
</comments>
</file>

<file path=xl/comments29.xml><?xml version="1.0" encoding="utf-8"?>
<comments xmlns="http://schemas.openxmlformats.org/spreadsheetml/2006/main">
  <authors>
    <author>claire.cotton-watkins</author>
  </authors>
  <commentList>
    <comment ref="J30" authorId="0" shapeId="0">
      <text>
        <r>
          <rPr>
            <sz val="8"/>
            <color indexed="81"/>
            <rFont val="Tahoma"/>
            <family val="2"/>
          </rPr>
          <t>Accounts by GL Depreciation Expense (GL code 69400)</t>
        </r>
      </text>
    </comment>
  </commentList>
</comments>
</file>

<file path=xl/comments3.xml><?xml version="1.0" encoding="utf-8"?>
<comments xmlns="http://schemas.openxmlformats.org/spreadsheetml/2006/main">
  <authors>
    <author>claire.cotton-watkins</author>
  </authors>
  <commentList>
    <comment ref="J30" authorId="0" shapeId="0">
      <text>
        <r>
          <rPr>
            <sz val="8"/>
            <color indexed="81"/>
            <rFont val="Tahoma"/>
            <family val="2"/>
          </rPr>
          <t>Accounts by GL Depreciation Expense (GL code 69400)</t>
        </r>
      </text>
    </comment>
  </commentList>
</comments>
</file>

<file path=xl/comments30.xml><?xml version="1.0" encoding="utf-8"?>
<comments xmlns="http://schemas.openxmlformats.org/spreadsheetml/2006/main">
  <authors>
    <author>claire.cotton-watkins</author>
  </authors>
  <commentList>
    <comment ref="J30" authorId="0" shapeId="0">
      <text>
        <r>
          <rPr>
            <sz val="8"/>
            <color indexed="81"/>
            <rFont val="Tahoma"/>
            <family val="2"/>
          </rPr>
          <t>Accounts by GL Depreciation Expense (GL code 69400)</t>
        </r>
      </text>
    </comment>
  </commentList>
</comments>
</file>

<file path=xl/comments4.xml><?xml version="1.0" encoding="utf-8"?>
<comments xmlns="http://schemas.openxmlformats.org/spreadsheetml/2006/main">
  <authors>
    <author>claire.cotton-watkins</author>
  </authors>
  <commentList>
    <comment ref="J30" authorId="0" shapeId="0">
      <text>
        <r>
          <rPr>
            <sz val="8"/>
            <color indexed="81"/>
            <rFont val="Tahoma"/>
            <family val="2"/>
          </rPr>
          <t>Accounts by GL Depreciation Expense (GL code 69400)</t>
        </r>
      </text>
    </comment>
  </commentList>
</comments>
</file>

<file path=xl/comments5.xml><?xml version="1.0" encoding="utf-8"?>
<comments xmlns="http://schemas.openxmlformats.org/spreadsheetml/2006/main">
  <authors>
    <author>claire.cotton-watkins</author>
  </authors>
  <commentList>
    <comment ref="H30" authorId="0" shapeId="0">
      <text>
        <r>
          <rPr>
            <sz val="8"/>
            <color indexed="81"/>
            <rFont val="Tahoma"/>
            <family val="2"/>
          </rPr>
          <t>Accounts by GL Depreciation Expense (GL code 69400)</t>
        </r>
      </text>
    </comment>
  </commentList>
</comments>
</file>

<file path=xl/comments6.xml><?xml version="1.0" encoding="utf-8"?>
<comments xmlns="http://schemas.openxmlformats.org/spreadsheetml/2006/main">
  <authors>
    <author>claire.cotton-watkins</author>
  </authors>
  <commentList>
    <comment ref="H30" authorId="0" shapeId="0">
      <text>
        <r>
          <rPr>
            <sz val="8"/>
            <color indexed="81"/>
            <rFont val="Tahoma"/>
            <family val="2"/>
          </rPr>
          <t>Accounts by GL Depreciation Expense (GL code 69400)</t>
        </r>
      </text>
    </comment>
  </commentList>
</comments>
</file>

<file path=xl/comments7.xml><?xml version="1.0" encoding="utf-8"?>
<comments xmlns="http://schemas.openxmlformats.org/spreadsheetml/2006/main">
  <authors>
    <author>claire.cotton-watkins</author>
  </authors>
  <commentList>
    <comment ref="J30" authorId="0" shapeId="0">
      <text>
        <r>
          <rPr>
            <sz val="8"/>
            <color indexed="81"/>
            <rFont val="Tahoma"/>
            <family val="2"/>
          </rPr>
          <t>Accounts by GL Depreciation Expense (GL code 69400)</t>
        </r>
      </text>
    </comment>
  </commentList>
</comments>
</file>

<file path=xl/comments8.xml><?xml version="1.0" encoding="utf-8"?>
<comments xmlns="http://schemas.openxmlformats.org/spreadsheetml/2006/main">
  <authors>
    <author>claire.cotton-watkins</author>
  </authors>
  <commentList>
    <comment ref="J30" authorId="0" shapeId="0">
      <text>
        <r>
          <rPr>
            <sz val="8"/>
            <color indexed="81"/>
            <rFont val="Tahoma"/>
            <family val="2"/>
          </rPr>
          <t>Accounts by GL Depreciation Expense (GL code 69400)</t>
        </r>
      </text>
    </comment>
  </commentList>
</comments>
</file>

<file path=xl/comments9.xml><?xml version="1.0" encoding="utf-8"?>
<comments xmlns="http://schemas.openxmlformats.org/spreadsheetml/2006/main">
  <authors>
    <author>claire.cotton-watkins</author>
  </authors>
  <commentList>
    <comment ref="H30" authorId="0" shapeId="0">
      <text>
        <r>
          <rPr>
            <sz val="8"/>
            <color indexed="81"/>
            <rFont val="Tahoma"/>
            <family val="2"/>
          </rPr>
          <t>Accounts by GL Depreciation Expense (GL code 69400)</t>
        </r>
      </text>
    </comment>
  </commentList>
</comments>
</file>

<file path=xl/sharedStrings.xml><?xml version="1.0" encoding="utf-8"?>
<sst xmlns="http://schemas.openxmlformats.org/spreadsheetml/2006/main" count="2701" uniqueCount="309">
  <si>
    <t>A COMPONENT UNIT OF THE STATE OF FLORIDA</t>
  </si>
  <si>
    <t>STATEMENT OF REVENUES, EXPENSES, AND CHANGES IN NET POSITION</t>
  </si>
  <si>
    <t>Version:</t>
  </si>
  <si>
    <r>
      <t xml:space="preserve">For subtotals, if actual sums do not tie to rounded sums, amounts will be highlighted in pink. </t>
    </r>
    <r>
      <rPr>
        <b/>
        <u/>
        <sz val="9"/>
        <rFont val="Arial"/>
        <family val="2"/>
      </rPr>
      <t xml:space="preserve">Rounding issues do NOT have to be addressed by the college, when information is otherwise correct. </t>
    </r>
    <r>
      <rPr>
        <sz val="9"/>
        <rFont val="Arial"/>
        <family val="2"/>
      </rPr>
      <t>These columns are intended to be a tool for AFR preparers.</t>
    </r>
  </si>
  <si>
    <t>For the Fiscal Year Ended June 30, 2014</t>
  </si>
  <si>
    <t>College</t>
  </si>
  <si>
    <t>Component</t>
  </si>
  <si>
    <t>Totals</t>
  </si>
  <si>
    <t>Unlocked Work Area</t>
  </si>
  <si>
    <t>REVENUES</t>
  </si>
  <si>
    <t>DOE</t>
  </si>
  <si>
    <t>DFS</t>
  </si>
  <si>
    <t>Operating Revenues:</t>
  </si>
  <si>
    <t>Unrounded SRECNA Balances</t>
  </si>
  <si>
    <t>Student Tuition and Fees, Net of Scholarship</t>
  </si>
  <si>
    <t>Rounding</t>
  </si>
  <si>
    <t>CU</t>
  </si>
  <si>
    <t>OR0100</t>
  </si>
  <si>
    <t>67100</t>
  </si>
  <si>
    <t>Allowances of $</t>
  </si>
  <si>
    <t>OR0200</t>
  </si>
  <si>
    <t>61400</t>
  </si>
  <si>
    <t>Federal Grants and Contracts</t>
  </si>
  <si>
    <t>OR0300</t>
  </si>
  <si>
    <t>State and Local Grants and Contracts</t>
  </si>
  <si>
    <t>OR0400</t>
  </si>
  <si>
    <t>Nongovernmental Grants and Contracts</t>
  </si>
  <si>
    <t>OR0500</t>
  </si>
  <si>
    <t>Sales and Services of Educational Departments</t>
  </si>
  <si>
    <t>Auxiliary Enterprises, Net of Scholarship</t>
  </si>
  <si>
    <t>OR0600</t>
  </si>
  <si>
    <t>OR0700</t>
  </si>
  <si>
    <t>68900</t>
  </si>
  <si>
    <t>Other Operating Revenues</t>
  </si>
  <si>
    <t>OR2000</t>
  </si>
  <si>
    <t>Total Operating Revenues</t>
  </si>
  <si>
    <t>EXPENSES</t>
  </si>
  <si>
    <t>Operating Expenses:</t>
  </si>
  <si>
    <t>OE0100</t>
  </si>
  <si>
    <t>77100</t>
  </si>
  <si>
    <t>Personnel Services</t>
  </si>
  <si>
    <t>OE0200</t>
  </si>
  <si>
    <t>Scholarships and Waivers</t>
  </si>
  <si>
    <t>OE0300</t>
  </si>
  <si>
    <t>Utilities and Communications</t>
  </si>
  <si>
    <t>OE0400</t>
  </si>
  <si>
    <t>Contractual Services</t>
  </si>
  <si>
    <t>OE0500</t>
  </si>
  <si>
    <t>Other Services and Expenses</t>
  </si>
  <si>
    <t>OE0600</t>
  </si>
  <si>
    <t>Materials and Supplies</t>
  </si>
  <si>
    <t>OE0700</t>
  </si>
  <si>
    <t>77500</t>
  </si>
  <si>
    <t>Depreciation</t>
  </si>
  <si>
    <t>OE2000</t>
  </si>
  <si>
    <t>Total Operating Expenses</t>
  </si>
  <si>
    <t>NONOPERATING REVENUES (EXPENSES)</t>
  </si>
  <si>
    <t>NRE0100</t>
  </si>
  <si>
    <t>68400</t>
  </si>
  <si>
    <t>State Noncapital Appropriations</t>
  </si>
  <si>
    <t>NRE0200</t>
  </si>
  <si>
    <t>Federal and State Student Financial Aid</t>
  </si>
  <si>
    <t>NRE0300</t>
  </si>
  <si>
    <t>Gifts and Grants</t>
  </si>
  <si>
    <t>NRE0400</t>
  </si>
  <si>
    <t>68600</t>
  </si>
  <si>
    <t>Investment Income</t>
  </si>
  <si>
    <t>NRE0500</t>
  </si>
  <si>
    <t>NRE0600</t>
  </si>
  <si>
    <t>Other Nonoperating Revenues</t>
  </si>
  <si>
    <t>NRE0700</t>
  </si>
  <si>
    <t>72600</t>
  </si>
  <si>
    <t>NRE0800</t>
  </si>
  <si>
    <t>Interest on Capital Asset-Related Debt</t>
  </si>
  <si>
    <t>NRE0900</t>
  </si>
  <si>
    <t>Other Nonoperating Expenses</t>
  </si>
  <si>
    <t>NRE2000</t>
  </si>
  <si>
    <t>Net Nonoperating Revenues (Expenses)</t>
  </si>
  <si>
    <t>Expenses, Gains, or Losses</t>
  </si>
  <si>
    <t>ORE0100</t>
  </si>
  <si>
    <t>State Capital Appropriations</t>
  </si>
  <si>
    <t>ORE0200</t>
  </si>
  <si>
    <t>62100</t>
  </si>
  <si>
    <t>Capital Grants, Contracts, Gifts, and Fees</t>
  </si>
  <si>
    <t>ORE0300</t>
  </si>
  <si>
    <t>69800</t>
  </si>
  <si>
    <t>Additions to Endowments</t>
  </si>
  <si>
    <t>ORE0400</t>
  </si>
  <si>
    <t>ORE2000</t>
  </si>
  <si>
    <t>Total Other Revenues</t>
  </si>
  <si>
    <t>BNA0100</t>
  </si>
  <si>
    <t>Net Position, Beginning of Year</t>
  </si>
  <si>
    <t>BNA0200</t>
  </si>
  <si>
    <t>53200</t>
  </si>
  <si>
    <t>Adjustments to Beginning Net Position</t>
  </si>
  <si>
    <t>Net Position, Beginning of Year, as Restated</t>
  </si>
  <si>
    <t>Net Position, End of Year</t>
  </si>
  <si>
    <t>The accompanying notes to financial statements are an integral part of this statement.</t>
  </si>
  <si>
    <t>Unlocked Work Area:</t>
  </si>
  <si>
    <t>Net Position, End of Prior Year</t>
  </si>
  <si>
    <t>College2013</t>
  </si>
  <si>
    <t>CU2013</t>
  </si>
  <si>
    <t>BROWARD COLLEGE</t>
  </si>
  <si>
    <t>CHIPOLA COLLEGE</t>
  </si>
  <si>
    <t>COLLEGE OF CENTRAL FLORIDA</t>
  </si>
  <si>
    <t>DAYTONA STATE COLLEGE</t>
  </si>
  <si>
    <t>EASTERN FLORIDA STATE COLLEGE</t>
  </si>
  <si>
    <t>EDISON STATE COLLEGE</t>
  </si>
  <si>
    <t>FLORIDA GATEWAY COLLEGE</t>
  </si>
  <si>
    <t>FLORIDA KEYS COMMUNITY COLLEGE</t>
  </si>
  <si>
    <t>FLORIDA STATE COLLEGE AT JACKSONVILLE</t>
  </si>
  <si>
    <t>GULF COAST STATE COLLEGE</t>
  </si>
  <si>
    <t>HILLSBOROUGH COMMUNITY COLLEGE</t>
  </si>
  <si>
    <t>INDIAN RIVER STATE COLLEGE</t>
  </si>
  <si>
    <t>LAKE-SUMTER STATE COLLEGE</t>
  </si>
  <si>
    <t>MIAMI DADE COLLEGE</t>
  </si>
  <si>
    <t>NORTH FLORIDA COMMUNITY COLLEGE</t>
  </si>
  <si>
    <t>NORTHWEST FLORIDA STATE COLLEGE</t>
  </si>
  <si>
    <t>PALM BEACH STATE COLLEGE</t>
  </si>
  <si>
    <t>PASCO-HERNANDO COMMUNITY COLLEGE</t>
  </si>
  <si>
    <t>PENSACOLA STATE COLLEGE</t>
  </si>
  <si>
    <t>POLK STATE COLLEGE</t>
  </si>
  <si>
    <t>SANTA FE COLLEGE</t>
  </si>
  <si>
    <t>SEMINOLE STATE COLLEGE OF FLORIDA</t>
  </si>
  <si>
    <t>SOUTH FLORIDA STATE COLLEGE</t>
  </si>
  <si>
    <t>ST. JOHNS RIVER STATE COLLEGE</t>
  </si>
  <si>
    <t>ST. PETERSBURG COLLEGE</t>
  </si>
  <si>
    <t>STATE COLLEGE OF FLORIDA, MANATEE-SARASOTA</t>
  </si>
  <si>
    <t>TALLAHASSEE COMMUNITY COLLEGE</t>
  </si>
  <si>
    <t>VALENCIA COLLEGE</t>
  </si>
  <si>
    <t>FLORIDA COLLEGE SYSTEM</t>
  </si>
  <si>
    <t>BASIC FINANCIAL STATEMENTS</t>
  </si>
  <si>
    <t>FLORIDA COLLEGE SYSTEM - ALL COLLEGES</t>
  </si>
  <si>
    <t>STATEMENT OF NET POSITION</t>
  </si>
  <si>
    <t>Unit</t>
  </si>
  <si>
    <t>Unrounded SNA Balances</t>
  </si>
  <si>
    <t>ASSETS</t>
  </si>
  <si>
    <t>Current Assets:</t>
  </si>
  <si>
    <t>CA0100</t>
  </si>
  <si>
    <t>Multi</t>
  </si>
  <si>
    <t>Cash and Cash Equivalents</t>
  </si>
  <si>
    <t>CA0200</t>
  </si>
  <si>
    <t>Restricted Cash and Cash Equivalents</t>
  </si>
  <si>
    <t>CA0300</t>
  </si>
  <si>
    <t>Investments</t>
  </si>
  <si>
    <t>CA0400</t>
  </si>
  <si>
    <t>Restricted Investments</t>
  </si>
  <si>
    <t>CA0500</t>
  </si>
  <si>
    <t>Accounts Receivable, Net</t>
  </si>
  <si>
    <t>CA0600</t>
  </si>
  <si>
    <t>Notes Receivable, Net</t>
  </si>
  <si>
    <t>CA0700</t>
  </si>
  <si>
    <t>16500</t>
  </si>
  <si>
    <t>Due from Other Governmental Agencies</t>
  </si>
  <si>
    <t>CA0800</t>
  </si>
  <si>
    <t>16700</t>
  </si>
  <si>
    <t>Due from Component Unit/College</t>
  </si>
  <si>
    <t>CA0900</t>
  </si>
  <si>
    <t>17100</t>
  </si>
  <si>
    <t>Inventories</t>
  </si>
  <si>
    <t>CA1000</t>
  </si>
  <si>
    <t>19100</t>
  </si>
  <si>
    <t>Prepaid Expenses</t>
  </si>
  <si>
    <t>CA1100</t>
  </si>
  <si>
    <t>19200</t>
  </si>
  <si>
    <t>Deposits</t>
  </si>
  <si>
    <t>CA1200</t>
  </si>
  <si>
    <t>19900</t>
  </si>
  <si>
    <t>Other Assets</t>
  </si>
  <si>
    <t>CA2000</t>
  </si>
  <si>
    <t>Total Current Assets</t>
  </si>
  <si>
    <t>Noncurrent Assets:</t>
  </si>
  <si>
    <t>NCA0100</t>
  </si>
  <si>
    <t>NCA0200</t>
  </si>
  <si>
    <t>NCA0300</t>
  </si>
  <si>
    <t>NCA0400</t>
  </si>
  <si>
    <t>Loans and Notes Receivable, Net</t>
  </si>
  <si>
    <t>NCA0500</t>
  </si>
  <si>
    <t>Depreciable Capital Assets, Net</t>
  </si>
  <si>
    <t>NCA0600</t>
  </si>
  <si>
    <t>Nondepreciable Capital Assets</t>
  </si>
  <si>
    <t>NCA0700</t>
  </si>
  <si>
    <t>29900</t>
  </si>
  <si>
    <t>NCA2000</t>
  </si>
  <si>
    <t>Total Noncurrent Assets</t>
  </si>
  <si>
    <t>TOTAL ASSETS</t>
  </si>
  <si>
    <t>DEFERRED OUTFLOWS OF RESOURCES</t>
  </si>
  <si>
    <t>Deferred Outflow Related to Service Concession Arrangement</t>
  </si>
  <si>
    <t>Accumulated Decrease in Fair Value of Securities</t>
  </si>
  <si>
    <t>TOTAL DEFERRED OUTFLOWS OF RESOURCES</t>
  </si>
  <si>
    <t>TOTAL ASSETS AND DEFERRED OUTFLOWS OF RESOURCES</t>
  </si>
  <si>
    <t>LIABILITIES</t>
  </si>
  <si>
    <t>Current Liabilities:</t>
  </si>
  <si>
    <t>CL0100</t>
  </si>
  <si>
    <t>31100</t>
  </si>
  <si>
    <t>Accounts Payable</t>
  </si>
  <si>
    <t>CL0150</t>
  </si>
  <si>
    <t>32900</t>
  </si>
  <si>
    <t>Accrued Interest Payable</t>
  </si>
  <si>
    <t>CL0200</t>
  </si>
  <si>
    <t>32100</t>
  </si>
  <si>
    <t>Salary and Payroll Taxes Payable</t>
  </si>
  <si>
    <t>CL0300</t>
  </si>
  <si>
    <t>31300</t>
  </si>
  <si>
    <t>Retainage Payable</t>
  </si>
  <si>
    <t>CL0400</t>
  </si>
  <si>
    <t>35500</t>
  </si>
  <si>
    <t>Due to Other Governmental Agencies</t>
  </si>
  <si>
    <t>CL0500</t>
  </si>
  <si>
    <t>35700</t>
  </si>
  <si>
    <t>Due to Component Unit/College</t>
  </si>
  <si>
    <t>CL0600</t>
  </si>
  <si>
    <t>38900</t>
  </si>
  <si>
    <t>Unearned Revenue</t>
  </si>
  <si>
    <t>CL0700</t>
  </si>
  <si>
    <t>31400</t>
  </si>
  <si>
    <t>Estimated Insurance Claims Payable</t>
  </si>
  <si>
    <t>CL0800</t>
  </si>
  <si>
    <t>Deposits Held for Others</t>
  </si>
  <si>
    <t>Long-Term Liabilities - Current Portion:</t>
  </si>
  <si>
    <t>CL0900</t>
  </si>
  <si>
    <t>37100</t>
  </si>
  <si>
    <t>Bonds Payable</t>
  </si>
  <si>
    <t>CL1000</t>
  </si>
  <si>
    <t>39900</t>
  </si>
  <si>
    <t>Notes and Loans Payable</t>
  </si>
  <si>
    <t>CL1100</t>
  </si>
  <si>
    <t>38500</t>
  </si>
  <si>
    <t>Installment Purchases Payable</t>
  </si>
  <si>
    <t>CL1200</t>
  </si>
  <si>
    <t>38700</t>
  </si>
  <si>
    <t>Capital Leases Payable</t>
  </si>
  <si>
    <t>CL1300</t>
  </si>
  <si>
    <t>Special Termination Benefits Payable</t>
  </si>
  <si>
    <t>CL1400</t>
  </si>
  <si>
    <t>38600</t>
  </si>
  <si>
    <t>Compensated Absences Payable</t>
  </si>
  <si>
    <t>CL1500</t>
  </si>
  <si>
    <t>Other Long-Term Liabilities</t>
  </si>
  <si>
    <t>CL2000</t>
  </si>
  <si>
    <t>Total Current Liabilities</t>
  </si>
  <si>
    <t>STATEMENT OF NET POSITION (Continued)</t>
  </si>
  <si>
    <t>Noncurrent Liabilities:</t>
  </si>
  <si>
    <t>NCL0100</t>
  </si>
  <si>
    <t>46100</t>
  </si>
  <si>
    <t>NCL0200</t>
  </si>
  <si>
    <t>49900</t>
  </si>
  <si>
    <t>NCL0300</t>
  </si>
  <si>
    <t>48500</t>
  </si>
  <si>
    <t>NCL0400</t>
  </si>
  <si>
    <t>48700</t>
  </si>
  <si>
    <t>NCL0500</t>
  </si>
  <si>
    <t>NCL0600</t>
  </si>
  <si>
    <t>48600</t>
  </si>
  <si>
    <t>NCL0700</t>
  </si>
  <si>
    <t>Other Postemployment Benefits Payable</t>
  </si>
  <si>
    <t>NCL0800</t>
  </si>
  <si>
    <t>NCL2000</t>
  </si>
  <si>
    <t>Total Noncurrent Liabilities</t>
  </si>
  <si>
    <t>TOTAL LIABILITIES</t>
  </si>
  <si>
    <t>DEFERRED INFLOWS OF RESOURCES</t>
  </si>
  <si>
    <t>Deferred Inflow Related to Service Concession Arrangement</t>
  </si>
  <si>
    <t>Accumulated Increase in Fair Value of Securities</t>
  </si>
  <si>
    <t>TOTAL DEFERRED INFLOWS OF RESOURCES</t>
  </si>
  <si>
    <t>NET POSITION</t>
  </si>
  <si>
    <t>NA0100</t>
  </si>
  <si>
    <t>53600</t>
  </si>
  <si>
    <t>Net Investment in Capital Assets</t>
  </si>
  <si>
    <t>Restricted:</t>
  </si>
  <si>
    <t>Nonexpendable:</t>
  </si>
  <si>
    <t>NA0200</t>
  </si>
  <si>
    <t>53500</t>
  </si>
  <si>
    <t>Endowment</t>
  </si>
  <si>
    <t>Expendable:</t>
  </si>
  <si>
    <t>NA0300</t>
  </si>
  <si>
    <t>53400</t>
  </si>
  <si>
    <t>NA0400</t>
  </si>
  <si>
    <t>53800</t>
  </si>
  <si>
    <t>Grants and Loans</t>
  </si>
  <si>
    <t>NA0500</t>
  </si>
  <si>
    <t>Scholarships</t>
  </si>
  <si>
    <t>NA0600</t>
  </si>
  <si>
    <t>Capital Projects</t>
  </si>
  <si>
    <t>NA0700</t>
  </si>
  <si>
    <t>53300</t>
  </si>
  <si>
    <t>Debt Service</t>
  </si>
  <si>
    <t>NA0800</t>
  </si>
  <si>
    <t>Other</t>
  </si>
  <si>
    <t>NA0900</t>
  </si>
  <si>
    <t>53900</t>
  </si>
  <si>
    <t>Unrestricted</t>
  </si>
  <si>
    <t>NA2000</t>
  </si>
  <si>
    <t>Total Net Position</t>
  </si>
  <si>
    <t>TOTAL LIABILITIES, DEFERRED INFLOWS OF RESOURCES AND NET POSITION</t>
  </si>
  <si>
    <t>Balance Check ((Assets + Deferred Outflows) - (Liabilities + Deferred Inflows + Net Position)):</t>
  </si>
  <si>
    <t>*** NEED TO PULL INFO IN FROM THE 2014-15 CONSOLIDATED SNP ONCE IT IS POPULATED.</t>
  </si>
  <si>
    <t>2015.v01</t>
  </si>
  <si>
    <t>For the Fiscal Year Ended June 30, 2015</t>
  </si>
  <si>
    <t>Adjustment to Beginning Balance as result of Auditor Adjustment to Accumulated Depreciation</t>
  </si>
  <si>
    <t xml:space="preserve">2014 Net Position, End of Year was $45,331,128.56 per FGC.  Audited FS state the 2014 Net Position, </t>
  </si>
  <si>
    <t>End of Year as $45,331,126.92, which resulted in an adjustment of $(1.64).</t>
  </si>
  <si>
    <t>related to GASB 68 is $5,808,580.</t>
  </si>
  <si>
    <t>Deferred Outflows of Resources - Pension FRS</t>
  </si>
  <si>
    <t>Deferred Outflows of Resources - Pension HIS</t>
  </si>
  <si>
    <t>FRS Net Pension Liability</t>
  </si>
  <si>
    <t>HIS Net Pension Liability</t>
  </si>
  <si>
    <t>Deferred Inflows of Resources - Pension FRS</t>
  </si>
  <si>
    <t>Deferred Inflows of Resources - Pension HIS</t>
  </si>
  <si>
    <t>TOTAL LIABILITIES AND DEFERRED INFLOWS OF RESOURCES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</si>
</sst>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yy"/>
    <numFmt numFmtId="165" formatCode="_(#,##0_);_(\(#,##0\);_(\ &quot;-&quot;_);_(@_)"/>
    <numFmt numFmtId="166" formatCode="&quot;$&quot;#,##0"/>
    <numFmt numFmtId="167" formatCode="_(&quot;$&quot;* #,##0_);_(&quot;$&quot;* \(#,##0\);_(&quot;$&quot;* &quot;&quot;??_);_(@_)"/>
    <numFmt numFmtId="168" formatCode="_(&quot;$&quot;* #,##0_);_(&quot;$&quot;* \(#,##0\);_(&quot;$&quot;* &quot;-&quot;??_);_(@_)"/>
    <numFmt numFmtId="169" formatCode="_(* #,##0_);_(* \(#,##0\);_(* &quot;-&quot;??_);_(@_)"/>
    <numFmt numFmtId="170" formatCode="&quot;$&quot;#,##0.00"/>
    <numFmt numFmtId="171" formatCode="_(* #,##0_);_(* \(#,##0\);_(* &quot;&quot;??_);_(@_)"/>
    <numFmt numFmtId="172" formatCode="[$-409]mmmm\ d\,\ yyyy;@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8"/>
      <name val="Arial"/>
      <family val="2"/>
    </font>
    <font>
      <sz val="8"/>
      <color indexed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u/>
      <sz val="9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1"/>
      <color indexed="8"/>
      <name val="Calibri"/>
      <family val="2"/>
    </font>
    <font>
      <b/>
      <u/>
      <sz val="10"/>
      <name val="Arial"/>
      <family val="2"/>
    </font>
    <font>
      <sz val="8.5"/>
      <name val="Arial"/>
      <family val="2"/>
    </font>
    <font>
      <sz val="8.5"/>
      <color indexed="10"/>
      <name val="Arial"/>
      <family val="2"/>
    </font>
    <font>
      <sz val="8.5"/>
      <color indexed="8"/>
      <name val="Calibri"/>
      <family val="2"/>
    </font>
    <font>
      <sz val="8.5"/>
      <color indexed="8"/>
      <name val="Arial"/>
      <family val="2"/>
    </font>
    <font>
      <sz val="8.5"/>
      <color theme="1"/>
      <name val="Arial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color indexed="8"/>
      <name val="Arial"/>
      <family val="2"/>
    </font>
    <font>
      <sz val="8"/>
      <color indexed="9"/>
      <name val="Arial"/>
      <family val="2"/>
    </font>
    <font>
      <sz val="8"/>
      <color indexed="20"/>
      <name val="Arial"/>
      <family val="2"/>
    </font>
    <font>
      <b/>
      <sz val="8"/>
      <color indexed="52"/>
      <name val="Arial"/>
      <family val="2"/>
    </font>
    <font>
      <b/>
      <sz val="8"/>
      <color indexed="9"/>
      <name val="Arial"/>
      <family val="2"/>
    </font>
    <font>
      <sz val="10"/>
      <name val="MS Sans Serif"/>
      <family val="2"/>
    </font>
    <font>
      <i/>
      <sz val="8"/>
      <color indexed="23"/>
      <name val="Arial"/>
      <family val="2"/>
    </font>
    <font>
      <sz val="8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14"/>
      <color indexed="12"/>
      <name val="Arial"/>
      <family val="2"/>
    </font>
    <font>
      <sz val="8"/>
      <color indexed="62"/>
      <name val="Arial"/>
      <family val="2"/>
    </font>
    <font>
      <sz val="8"/>
      <color indexed="52"/>
      <name val="Arial"/>
      <family val="2"/>
    </font>
    <font>
      <sz val="8"/>
      <color indexed="60"/>
      <name val="Arial"/>
      <family val="2"/>
    </font>
    <font>
      <sz val="14"/>
      <name val="Arial"/>
      <family val="2"/>
    </font>
    <font>
      <sz val="12"/>
      <name val="Arial MT"/>
    </font>
    <font>
      <b/>
      <sz val="8"/>
      <color indexed="63"/>
      <name val="Arial"/>
      <family val="2"/>
    </font>
    <font>
      <b/>
      <sz val="18"/>
      <color indexed="56"/>
      <name val="Cambria"/>
      <family val="2"/>
    </font>
    <font>
      <b/>
      <sz val="8"/>
      <color indexed="8"/>
      <name val="Arial"/>
      <family val="2"/>
    </font>
    <font>
      <u/>
      <sz val="10"/>
      <color theme="10"/>
      <name val="Arial"/>
      <family val="2"/>
    </font>
    <font>
      <b/>
      <sz val="12"/>
      <name val="Garamond"/>
      <family val="1"/>
    </font>
    <font>
      <b/>
      <sz val="8"/>
      <color indexed="81"/>
      <name val="Tahoma"/>
      <family val="2"/>
    </font>
    <font>
      <b/>
      <sz val="16"/>
      <color rgb="FFFF0000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0"/>
      </patternFill>
    </fill>
    <fill>
      <patternFill patternType="solid">
        <fgColor rgb="FF92D05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34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8" fillId="0" borderId="0"/>
    <xf numFmtId="44" fontId="16" fillId="0" borderId="0" applyFont="0" applyFill="0" applyBorder="0" applyAlignment="0" applyProtection="0"/>
    <xf numFmtId="0" fontId="11" fillId="0" borderId="0"/>
    <xf numFmtId="0" fontId="26" fillId="20" borderId="0" applyNumberFormat="0" applyBorder="0" applyAlignment="0" applyProtection="0"/>
    <xf numFmtId="0" fontId="1" fillId="3" borderId="0" applyNumberFormat="0" applyBorder="0" applyAlignment="0" applyProtection="0"/>
    <xf numFmtId="0" fontId="26" fillId="21" borderId="0" applyNumberFormat="0" applyBorder="0" applyAlignment="0" applyProtection="0"/>
    <xf numFmtId="0" fontId="1" fillId="5" borderId="0" applyNumberFormat="0" applyBorder="0" applyAlignment="0" applyProtection="0"/>
    <xf numFmtId="0" fontId="26" fillId="22" borderId="0" applyNumberFormat="0" applyBorder="0" applyAlignment="0" applyProtection="0"/>
    <xf numFmtId="0" fontId="1" fillId="7" borderId="0" applyNumberFormat="0" applyBorder="0" applyAlignment="0" applyProtection="0"/>
    <xf numFmtId="0" fontId="26" fillId="23" borderId="0" applyNumberFormat="0" applyBorder="0" applyAlignment="0" applyProtection="0"/>
    <xf numFmtId="0" fontId="1" fillId="9" borderId="0" applyNumberFormat="0" applyBorder="0" applyAlignment="0" applyProtection="0"/>
    <xf numFmtId="0" fontId="26" fillId="24" borderId="0" applyNumberFormat="0" applyBorder="0" applyAlignment="0" applyProtection="0"/>
    <xf numFmtId="0" fontId="1" fillId="11" borderId="0" applyNumberFormat="0" applyBorder="0" applyAlignment="0" applyProtection="0"/>
    <xf numFmtId="0" fontId="26" fillId="25" borderId="0" applyNumberFormat="0" applyBorder="0" applyAlignment="0" applyProtection="0"/>
    <xf numFmtId="0" fontId="1" fillId="13" borderId="0" applyNumberFormat="0" applyBorder="0" applyAlignment="0" applyProtection="0"/>
    <xf numFmtId="0" fontId="26" fillId="26" borderId="0" applyNumberFormat="0" applyBorder="0" applyAlignment="0" applyProtection="0"/>
    <xf numFmtId="0" fontId="1" fillId="4" borderId="0" applyNumberFormat="0" applyBorder="0" applyAlignment="0" applyProtection="0"/>
    <xf numFmtId="0" fontId="26" fillId="27" borderId="0" applyNumberFormat="0" applyBorder="0" applyAlignment="0" applyProtection="0"/>
    <xf numFmtId="0" fontId="1" fillId="6" borderId="0" applyNumberFormat="0" applyBorder="0" applyAlignment="0" applyProtection="0"/>
    <xf numFmtId="0" fontId="26" fillId="28" borderId="0" applyNumberFormat="0" applyBorder="0" applyAlignment="0" applyProtection="0"/>
    <xf numFmtId="0" fontId="1" fillId="8" borderId="0" applyNumberFormat="0" applyBorder="0" applyAlignment="0" applyProtection="0"/>
    <xf numFmtId="0" fontId="26" fillId="23" borderId="0" applyNumberFormat="0" applyBorder="0" applyAlignment="0" applyProtection="0"/>
    <xf numFmtId="0" fontId="1" fillId="10" borderId="0" applyNumberFormat="0" applyBorder="0" applyAlignment="0" applyProtection="0"/>
    <xf numFmtId="0" fontId="26" fillId="26" borderId="0" applyNumberFormat="0" applyBorder="0" applyAlignment="0" applyProtection="0"/>
    <xf numFmtId="0" fontId="1" fillId="12" borderId="0" applyNumberFormat="0" applyBorder="0" applyAlignment="0" applyProtection="0"/>
    <xf numFmtId="0" fontId="26" fillId="29" borderId="0" applyNumberFormat="0" applyBorder="0" applyAlignment="0" applyProtection="0"/>
    <xf numFmtId="0" fontId="1" fillId="14" borderId="0" applyNumberFormat="0" applyBorder="0" applyAlignment="0" applyProtection="0"/>
    <xf numFmtId="0" fontId="27" fillId="30" borderId="0" applyNumberFormat="0" applyBorder="0" applyAlignment="0" applyProtection="0"/>
    <xf numFmtId="0" fontId="27" fillId="27" borderId="0" applyNumberFormat="0" applyBorder="0" applyAlignment="0" applyProtection="0"/>
    <xf numFmtId="0" fontId="27" fillId="28" borderId="0" applyNumberFormat="0" applyBorder="0" applyAlignment="0" applyProtection="0"/>
    <xf numFmtId="0" fontId="27" fillId="31" borderId="0" applyNumberFormat="0" applyBorder="0" applyAlignment="0" applyProtection="0"/>
    <xf numFmtId="0" fontId="27" fillId="32" borderId="0" applyNumberFormat="0" applyBorder="0" applyAlignment="0" applyProtection="0"/>
    <xf numFmtId="0" fontId="27" fillId="33" borderId="0" applyNumberFormat="0" applyBorder="0" applyAlignment="0" applyProtection="0"/>
    <xf numFmtId="0" fontId="27" fillId="34" borderId="0" applyNumberFormat="0" applyBorder="0" applyAlignment="0" applyProtection="0"/>
    <xf numFmtId="0" fontId="27" fillId="35" borderId="0" applyNumberFormat="0" applyBorder="0" applyAlignment="0" applyProtection="0"/>
    <xf numFmtId="0" fontId="27" fillId="36" borderId="0" applyNumberFormat="0" applyBorder="0" applyAlignment="0" applyProtection="0"/>
    <xf numFmtId="0" fontId="27" fillId="31" borderId="0" applyNumberFormat="0" applyBorder="0" applyAlignment="0" applyProtection="0"/>
    <xf numFmtId="0" fontId="27" fillId="32" borderId="0" applyNumberFormat="0" applyBorder="0" applyAlignment="0" applyProtection="0"/>
    <xf numFmtId="0" fontId="27" fillId="37" borderId="0" applyNumberFormat="0" applyBorder="0" applyAlignment="0" applyProtection="0"/>
    <xf numFmtId="0" fontId="28" fillId="21" borderId="0" applyNumberFormat="0" applyBorder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30" fillId="39" borderId="13" applyNumberFormat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3" fillId="22" borderId="0" applyNumberFormat="0" applyBorder="0" applyAlignment="0" applyProtection="0"/>
    <xf numFmtId="0" fontId="34" fillId="0" borderId="14" applyNumberFormat="0" applyFill="0" applyAlignment="0" applyProtection="0"/>
    <xf numFmtId="0" fontId="35" fillId="0" borderId="15" applyNumberFormat="0" applyFill="0" applyAlignment="0" applyProtection="0"/>
    <xf numFmtId="0" fontId="36" fillId="0" borderId="16" applyNumberFormat="0" applyFill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38" fillId="25" borderId="12" applyNumberFormat="0" applyAlignment="0" applyProtection="0"/>
    <xf numFmtId="0" fontId="38" fillId="25" borderId="12" applyNumberFormat="0" applyAlignment="0" applyProtection="0"/>
    <xf numFmtId="0" fontId="39" fillId="0" borderId="17" applyNumberFormat="0" applyFill="0" applyAlignment="0" applyProtection="0"/>
    <xf numFmtId="0" fontId="40" fillId="40" borderId="0" applyNumberFormat="0" applyBorder="0" applyAlignment="0" applyProtection="0"/>
    <xf numFmtId="0" fontId="8" fillId="0" borderId="0"/>
    <xf numFmtId="0" fontId="8" fillId="0" borderId="0"/>
    <xf numFmtId="0" fontId="41" fillId="0" borderId="0"/>
    <xf numFmtId="0" fontId="1" fillId="0" borderId="0"/>
    <xf numFmtId="0" fontId="41" fillId="0" borderId="0"/>
    <xf numFmtId="0" fontId="1" fillId="0" borderId="0"/>
    <xf numFmtId="0" fontId="4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41" fillId="0" borderId="0"/>
    <xf numFmtId="0" fontId="31" fillId="0" borderId="0"/>
    <xf numFmtId="0" fontId="41" fillId="0" borderId="0"/>
    <xf numFmtId="0" fontId="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1" fillId="0" borderId="0"/>
    <xf numFmtId="0" fontId="8" fillId="0" borderId="0"/>
    <xf numFmtId="0" fontId="1" fillId="0" borderId="0"/>
    <xf numFmtId="0" fontId="41" fillId="0" borderId="0"/>
    <xf numFmtId="0" fontId="8" fillId="0" borderId="0"/>
    <xf numFmtId="0" fontId="1" fillId="0" borderId="0"/>
    <xf numFmtId="0" fontId="41" fillId="0" borderId="0"/>
    <xf numFmtId="0" fontId="8" fillId="0" borderId="0"/>
    <xf numFmtId="0" fontId="1" fillId="0" borderId="0"/>
    <xf numFmtId="0" fontId="41" fillId="0" borderId="0"/>
    <xf numFmtId="0" fontId="1" fillId="0" borderId="0"/>
    <xf numFmtId="0" fontId="41" fillId="0" borderId="0"/>
    <xf numFmtId="0" fontId="1" fillId="0" borderId="0"/>
    <xf numFmtId="0" fontId="41" fillId="0" borderId="0"/>
    <xf numFmtId="0" fontId="1" fillId="0" borderId="0"/>
    <xf numFmtId="0" fontId="41" fillId="0" borderId="0"/>
    <xf numFmtId="0" fontId="1" fillId="0" borderId="0"/>
    <xf numFmtId="0" fontId="8" fillId="0" borderId="0"/>
    <xf numFmtId="0" fontId="41" fillId="0" borderId="0"/>
    <xf numFmtId="0" fontId="1" fillId="0" borderId="0"/>
    <xf numFmtId="0" fontId="42" fillId="0" borderId="0"/>
    <xf numFmtId="0" fontId="41" fillId="0" borderId="0"/>
    <xf numFmtId="0" fontId="8" fillId="0" borderId="0"/>
    <xf numFmtId="0" fontId="42" fillId="0" borderId="0"/>
    <xf numFmtId="0" fontId="8" fillId="0" borderId="0"/>
    <xf numFmtId="0" fontId="3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4" fillId="0" borderId="0"/>
    <xf numFmtId="0" fontId="1" fillId="0" borderId="0"/>
    <xf numFmtId="0" fontId="42" fillId="0" borderId="0"/>
    <xf numFmtId="0" fontId="8" fillId="41" borderId="11" applyNumberFormat="0" applyFont="0" applyAlignment="0" applyProtection="0"/>
    <xf numFmtId="0" fontId="1" fillId="2" borderId="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1" fillId="2" borderId="1" applyNumberFormat="0" applyFon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9" fontId="31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" fillId="0" borderId="0" applyNumberFormat="0" applyFill="0" applyBorder="0" applyAlignment="0" applyProtection="0"/>
    <xf numFmtId="0" fontId="2" fillId="0" borderId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8" fillId="0" borderId="0"/>
    <xf numFmtId="0" fontId="2" fillId="0" borderId="0"/>
    <xf numFmtId="0" fontId="41" fillId="0" borderId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9" fontId="31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43" fontId="8" fillId="0" borderId="0" applyFont="0" applyFill="0" applyBorder="0" applyAlignment="0" applyProtection="0"/>
    <xf numFmtId="0" fontId="8" fillId="0" borderId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</cellStyleXfs>
  <cellXfs count="264">
    <xf numFmtId="0" fontId="0" fillId="0" borderId="0" xfId="0"/>
    <xf numFmtId="0" fontId="3" fillId="0" borderId="0" xfId="2" applyNumberFormat="1" applyFont="1" applyAlignment="1" applyProtection="1"/>
    <xf numFmtId="49" fontId="4" fillId="0" borderId="0" xfId="2" applyNumberFormat="1" applyFont="1" applyAlignment="1" applyProtection="1">
      <alignment textRotation="45"/>
    </xf>
    <xf numFmtId="4" fontId="5" fillId="0" borderId="0" xfId="2" applyNumberFormat="1" applyFont="1" applyFill="1" applyBorder="1" applyAlignment="1" applyProtection="1">
      <alignment horizontal="center"/>
    </xf>
    <xf numFmtId="4" fontId="6" fillId="0" borderId="0" xfId="2" applyNumberFormat="1" applyFont="1" applyBorder="1" applyAlignment="1" applyProtection="1"/>
    <xf numFmtId="0" fontId="7" fillId="0" borderId="0" xfId="2" applyNumberFormat="1" applyFont="1" applyAlignment="1" applyProtection="1"/>
    <xf numFmtId="0" fontId="8" fillId="0" borderId="0" xfId="2" applyNumberFormat="1" applyFont="1" applyAlignment="1" applyProtection="1"/>
    <xf numFmtId="0" fontId="5" fillId="0" borderId="0" xfId="0" applyFont="1" applyFill="1" applyBorder="1" applyAlignment="1" applyProtection="1">
      <alignment horizontal="center" vertical="center"/>
    </xf>
    <xf numFmtId="0" fontId="9" fillId="0" borderId="0" xfId="2" applyNumberFormat="1" applyFont="1" applyFill="1" applyBorder="1" applyAlignment="1" applyProtection="1">
      <alignment wrapText="1"/>
    </xf>
    <xf numFmtId="0" fontId="11" fillId="0" borderId="0" xfId="2" applyNumberFormat="1" applyFont="1" applyBorder="1" applyAlignment="1" applyProtection="1">
      <alignment horizontal="left"/>
    </xf>
    <xf numFmtId="0" fontId="7" fillId="0" borderId="0" xfId="2" applyNumberFormat="1" applyFont="1" applyBorder="1" applyAlignment="1" applyProtection="1"/>
    <xf numFmtId="0" fontId="8" fillId="0" borderId="0" xfId="2" applyNumberFormat="1" applyFont="1" applyBorder="1" applyAlignment="1" applyProtection="1"/>
    <xf numFmtId="0" fontId="13" fillId="0" borderId="0" xfId="0" applyFont="1" applyProtection="1"/>
    <xf numFmtId="49" fontId="3" fillId="0" borderId="0" xfId="0" applyNumberFormat="1" applyFont="1" applyProtection="1"/>
    <xf numFmtId="0" fontId="11" fillId="15" borderId="0" xfId="2" applyNumberFormat="1" applyFont="1" applyFill="1" applyAlignment="1" applyProtection="1"/>
    <xf numFmtId="0" fontId="11" fillId="15" borderId="0" xfId="2" applyNumberFormat="1" applyFont="1" applyFill="1" applyBorder="1" applyAlignment="1" applyProtection="1"/>
    <xf numFmtId="4" fontId="11" fillId="15" borderId="0" xfId="2" applyNumberFormat="1" applyFont="1" applyFill="1" applyAlignment="1" applyProtection="1">
      <alignment horizontal="right"/>
    </xf>
    <xf numFmtId="4" fontId="11" fillId="15" borderId="0" xfId="2" applyNumberFormat="1" applyFont="1" applyFill="1" applyBorder="1" applyAlignment="1" applyProtection="1">
      <alignment horizontal="right"/>
    </xf>
    <xf numFmtId="4" fontId="11" fillId="0" borderId="0" xfId="2" applyNumberFormat="1" applyFont="1" applyFill="1" applyBorder="1" applyAlignment="1" applyProtection="1">
      <alignment horizontal="right"/>
    </xf>
    <xf numFmtId="0" fontId="7" fillId="0" borderId="0" xfId="2" applyNumberFormat="1" applyFont="1" applyFill="1" applyBorder="1" applyAlignment="1" applyProtection="1">
      <protection locked="0"/>
    </xf>
    <xf numFmtId="49" fontId="4" fillId="0" borderId="0" xfId="2" applyNumberFormat="1" applyFont="1" applyAlignment="1" applyProtection="1">
      <alignment horizontal="center"/>
    </xf>
    <xf numFmtId="164" fontId="11" fillId="15" borderId="0" xfId="2" applyNumberFormat="1" applyFont="1" applyFill="1" applyBorder="1" applyAlignment="1" applyProtection="1">
      <alignment horizontal="center"/>
    </xf>
    <xf numFmtId="164" fontId="10" fillId="15" borderId="0" xfId="2" applyNumberFormat="1" applyFont="1" applyFill="1" applyBorder="1" applyAlignment="1" applyProtection="1">
      <alignment horizontal="center"/>
    </xf>
    <xf numFmtId="164" fontId="10" fillId="0" borderId="0" xfId="2" applyNumberFormat="1" applyFont="1" applyFill="1" applyBorder="1" applyAlignment="1" applyProtection="1">
      <alignment horizontal="center"/>
    </xf>
    <xf numFmtId="0" fontId="8" fillId="15" borderId="2" xfId="2" applyNumberFormat="1" applyFont="1" applyFill="1" applyBorder="1" applyAlignment="1" applyProtection="1"/>
    <xf numFmtId="4" fontId="11" fillId="15" borderId="0" xfId="2" applyNumberFormat="1" applyFont="1" applyFill="1" applyBorder="1" applyAlignment="1" applyProtection="1">
      <alignment horizontal="center"/>
    </xf>
    <xf numFmtId="41" fontId="5" fillId="15" borderId="2" xfId="0" applyNumberFormat="1" applyFont="1" applyFill="1" applyBorder="1" applyAlignment="1" applyProtection="1">
      <alignment horizontal="center"/>
    </xf>
    <xf numFmtId="41" fontId="5" fillId="0" borderId="0" xfId="0" applyNumberFormat="1" applyFont="1" applyFill="1" applyBorder="1" applyAlignment="1" applyProtection="1">
      <alignment horizontal="center"/>
    </xf>
    <xf numFmtId="0" fontId="5" fillId="0" borderId="2" xfId="2" applyNumberFormat="1" applyFont="1" applyBorder="1" applyAlignment="1" applyProtection="1">
      <alignment horizontal="center"/>
    </xf>
    <xf numFmtId="0" fontId="10" fillId="15" borderId="0" xfId="2" applyNumberFormat="1" applyFont="1" applyFill="1" applyAlignment="1" applyProtection="1"/>
    <xf numFmtId="4" fontId="11" fillId="0" borderId="0" xfId="2" applyNumberFormat="1" applyFont="1" applyFill="1" applyBorder="1" applyAlignment="1" applyProtection="1">
      <alignment horizontal="center"/>
    </xf>
    <xf numFmtId="43" fontId="7" fillId="17" borderId="0" xfId="1" applyFont="1" applyFill="1" applyBorder="1" applyAlignment="1" applyProtection="1">
      <protection locked="0"/>
    </xf>
    <xf numFmtId="49" fontId="3" fillId="0" borderId="3" xfId="2" applyNumberFormat="1" applyFont="1" applyBorder="1" applyAlignment="1" applyProtection="1">
      <alignment horizontal="center"/>
    </xf>
    <xf numFmtId="49" fontId="4" fillId="0" borderId="3" xfId="2" applyNumberFormat="1" applyFont="1" applyBorder="1" applyAlignment="1" applyProtection="1">
      <alignment horizontal="center"/>
    </xf>
    <xf numFmtId="49" fontId="4" fillId="0" borderId="0" xfId="3" applyNumberFormat="1" applyFont="1" applyFill="1" applyAlignment="1" applyProtection="1">
      <alignment horizontal="center"/>
    </xf>
    <xf numFmtId="0" fontId="8" fillId="15" borderId="0" xfId="2" applyNumberFormat="1" applyFont="1" applyFill="1" applyAlignment="1" applyProtection="1"/>
    <xf numFmtId="0" fontId="8" fillId="15" borderId="0" xfId="0" applyFont="1" applyFill="1" applyProtection="1"/>
    <xf numFmtId="0" fontId="8" fillId="0" borderId="0" xfId="2" applyNumberFormat="1" applyFont="1" applyFill="1" applyBorder="1" applyAlignment="1" applyProtection="1"/>
    <xf numFmtId="0" fontId="7" fillId="0" borderId="0" xfId="2" applyNumberFormat="1" applyFont="1" applyFill="1" applyAlignment="1" applyProtection="1"/>
    <xf numFmtId="43" fontId="7" fillId="16" borderId="4" xfId="1" applyFont="1" applyFill="1" applyBorder="1" applyAlignment="1" applyProtection="1">
      <alignment horizontal="center"/>
    </xf>
    <xf numFmtId="0" fontId="7" fillId="16" borderId="5" xfId="2" applyNumberFormat="1" applyFont="1" applyFill="1" applyBorder="1" applyAlignment="1" applyProtection="1">
      <alignment horizontal="center"/>
    </xf>
    <xf numFmtId="43" fontId="7" fillId="16" borderId="5" xfId="1" applyFont="1" applyFill="1" applyBorder="1" applyAlignment="1" applyProtection="1">
      <alignment horizontal="center"/>
    </xf>
    <xf numFmtId="0" fontId="7" fillId="16" borderId="6" xfId="2" applyNumberFormat="1" applyFont="1" applyFill="1" applyBorder="1" applyAlignment="1" applyProtection="1">
      <alignment horizontal="center"/>
    </xf>
    <xf numFmtId="0" fontId="8" fillId="0" borderId="0" xfId="2" applyNumberFormat="1" applyFont="1" applyFill="1" applyAlignment="1" applyProtection="1"/>
    <xf numFmtId="0" fontId="11" fillId="15" borderId="0" xfId="2" applyNumberFormat="1" applyFont="1" applyFill="1" applyAlignment="1" applyProtection="1">
      <alignment horizontal="left" indent="2"/>
    </xf>
    <xf numFmtId="166" fontId="11" fillId="15" borderId="0" xfId="2" applyNumberFormat="1" applyFont="1" applyFill="1" applyBorder="1" applyAlignment="1" applyProtection="1">
      <alignment horizontal="left"/>
    </xf>
    <xf numFmtId="167" fontId="11" fillId="0" borderId="0" xfId="2" applyNumberFormat="1" applyFont="1" applyFill="1" applyBorder="1" applyAlignment="1" applyProtection="1">
      <alignment horizontal="right"/>
    </xf>
    <xf numFmtId="43" fontId="7" fillId="0" borderId="0" xfId="1" applyFont="1" applyFill="1" applyAlignment="1" applyProtection="1"/>
    <xf numFmtId="169" fontId="11" fillId="15" borderId="0" xfId="1" applyNumberFormat="1" applyFont="1" applyFill="1" applyAlignment="1" applyProtection="1"/>
    <xf numFmtId="169" fontId="11" fillId="15" borderId="0" xfId="1" applyNumberFormat="1" applyFont="1" applyFill="1" applyBorder="1" applyAlignment="1" applyProtection="1"/>
    <xf numFmtId="169" fontId="11" fillId="17" borderId="0" xfId="1" applyNumberFormat="1" applyFont="1" applyFill="1" applyAlignment="1" applyProtection="1">
      <alignment horizontal="right"/>
      <protection locked="0"/>
    </xf>
    <xf numFmtId="169" fontId="11" fillId="0" borderId="0" xfId="1" applyNumberFormat="1" applyFont="1" applyFill="1" applyBorder="1" applyAlignment="1" applyProtection="1">
      <alignment horizontal="right"/>
    </xf>
    <xf numFmtId="0" fontId="3" fillId="15" borderId="0" xfId="2" applyNumberFormat="1" applyFont="1" applyFill="1" applyAlignment="1" applyProtection="1"/>
    <xf numFmtId="49" fontId="4" fillId="15" borderId="0" xfId="2" applyNumberFormat="1" applyFont="1" applyFill="1" applyAlignment="1" applyProtection="1">
      <alignment horizontal="center"/>
    </xf>
    <xf numFmtId="169" fontId="8" fillId="15" borderId="0" xfId="1" applyNumberFormat="1" applyFont="1" applyFill="1" applyAlignment="1" applyProtection="1"/>
    <xf numFmtId="170" fontId="11" fillId="15" borderId="0" xfId="2" applyNumberFormat="1" applyFont="1" applyFill="1" applyAlignment="1" applyProtection="1">
      <alignment horizontal="left"/>
    </xf>
    <xf numFmtId="49" fontId="4" fillId="15" borderId="0" xfId="3" applyNumberFormat="1" applyFont="1" applyFill="1" applyAlignment="1" applyProtection="1">
      <alignment horizontal="center"/>
    </xf>
    <xf numFmtId="0" fontId="11" fillId="15" borderId="0" xfId="2" applyNumberFormat="1" applyFont="1" applyFill="1" applyAlignment="1" applyProtection="1">
      <alignment horizontal="left"/>
    </xf>
    <xf numFmtId="169" fontId="11" fillId="17" borderId="2" xfId="1" applyNumberFormat="1" applyFont="1" applyFill="1" applyBorder="1" applyAlignment="1" applyProtection="1">
      <alignment horizontal="right"/>
      <protection locked="0"/>
    </xf>
    <xf numFmtId="43" fontId="8" fillId="15" borderId="0" xfId="0" applyNumberFormat="1" applyFont="1" applyFill="1" applyProtection="1"/>
    <xf numFmtId="0" fontId="14" fillId="15" borderId="0" xfId="0" applyFont="1" applyFill="1" applyProtection="1"/>
    <xf numFmtId="0" fontId="14" fillId="0" borderId="0" xfId="0" applyFont="1" applyFill="1" applyBorder="1" applyProtection="1"/>
    <xf numFmtId="0" fontId="15" fillId="0" borderId="0" xfId="0" applyFont="1" applyProtection="1"/>
    <xf numFmtId="43" fontId="7" fillId="0" borderId="7" xfId="1" applyFont="1" applyFill="1" applyBorder="1" applyAlignment="1" applyProtection="1"/>
    <xf numFmtId="0" fontId="14" fillId="0" borderId="0" xfId="0" applyFont="1" applyProtection="1"/>
    <xf numFmtId="0" fontId="10" fillId="15" borderId="0" xfId="2" applyNumberFormat="1" applyFont="1" applyFill="1" applyAlignment="1" applyProtection="1">
      <alignment horizontal="left"/>
    </xf>
    <xf numFmtId="171" fontId="8" fillId="15" borderId="2" xfId="0" applyNumberFormat="1" applyFont="1" applyFill="1" applyBorder="1" applyProtection="1"/>
    <xf numFmtId="169" fontId="8" fillId="15" borderId="0" xfId="0" applyNumberFormat="1" applyFont="1" applyFill="1" applyProtection="1"/>
    <xf numFmtId="171" fontId="8" fillId="0" borderId="0" xfId="0" applyNumberFormat="1" applyFont="1" applyFill="1" applyBorder="1" applyProtection="1"/>
    <xf numFmtId="43" fontId="7" fillId="0" borderId="2" xfId="1" applyFont="1" applyFill="1" applyBorder="1" applyAlignment="1" applyProtection="1"/>
    <xf numFmtId="0" fontId="13" fillId="15" borderId="0" xfId="0" applyFont="1" applyFill="1" applyProtection="1"/>
    <xf numFmtId="49" fontId="3" fillId="15" borderId="0" xfId="0" applyNumberFormat="1" applyFont="1" applyFill="1" applyProtection="1"/>
    <xf numFmtId="49" fontId="4" fillId="0" borderId="0" xfId="2" applyNumberFormat="1" applyFont="1" applyFill="1" applyAlignment="1" applyProtection="1">
      <alignment horizontal="center"/>
    </xf>
    <xf numFmtId="39" fontId="11" fillId="15" borderId="0" xfId="2" applyNumberFormat="1" applyFont="1" applyFill="1" applyBorder="1" applyAlignment="1" applyProtection="1">
      <alignment horizontal="right"/>
    </xf>
    <xf numFmtId="39" fontId="11" fillId="0" borderId="0" xfId="2" applyNumberFormat="1" applyFont="1" applyFill="1" applyBorder="1" applyAlignment="1" applyProtection="1">
      <alignment horizontal="right"/>
    </xf>
    <xf numFmtId="43" fontId="7" fillId="0" borderId="0" xfId="1" applyFont="1" applyFill="1" applyBorder="1" applyAlignment="1" applyProtection="1"/>
    <xf numFmtId="0" fontId="8" fillId="15" borderId="0" xfId="0" applyFont="1" applyFill="1" applyAlignment="1" applyProtection="1">
      <alignment horizontal="left"/>
    </xf>
    <xf numFmtId="43" fontId="8" fillId="0" borderId="0" xfId="0" applyNumberFormat="1" applyFont="1" applyFill="1" applyBorder="1" applyProtection="1"/>
    <xf numFmtId="170" fontId="11" fillId="15" borderId="0" xfId="2" applyNumberFormat="1" applyFont="1" applyFill="1" applyBorder="1" applyAlignment="1" applyProtection="1">
      <alignment horizontal="right"/>
    </xf>
    <xf numFmtId="170" fontId="11" fillId="0" borderId="0" xfId="2" applyNumberFormat="1" applyFont="1" applyFill="1" applyBorder="1" applyAlignment="1" applyProtection="1">
      <alignment horizontal="right"/>
    </xf>
    <xf numFmtId="169" fontId="11" fillId="17" borderId="0" xfId="1" applyNumberFormat="1" applyFont="1" applyFill="1" applyAlignment="1" applyProtection="1">
      <protection locked="0"/>
    </xf>
    <xf numFmtId="169" fontId="11" fillId="0" borderId="0" xfId="1" applyNumberFormat="1" applyFont="1" applyFill="1" applyBorder="1" applyAlignment="1" applyProtection="1"/>
    <xf numFmtId="169" fontId="11" fillId="17" borderId="2" xfId="1" applyNumberFormat="1" applyFont="1" applyFill="1" applyBorder="1" applyAlignment="1" applyProtection="1">
      <protection locked="0"/>
    </xf>
    <xf numFmtId="39" fontId="8" fillId="15" borderId="0" xfId="2" applyNumberFormat="1" applyFont="1" applyFill="1" applyAlignment="1" applyProtection="1"/>
    <xf numFmtId="39" fontId="8" fillId="15" borderId="0" xfId="2" applyNumberFormat="1" applyFont="1" applyFill="1" applyBorder="1" applyAlignment="1" applyProtection="1"/>
    <xf numFmtId="39" fontId="8" fillId="0" borderId="0" xfId="2" applyNumberFormat="1" applyFont="1" applyFill="1" applyBorder="1" applyAlignment="1" applyProtection="1"/>
    <xf numFmtId="0" fontId="10" fillId="15" borderId="0" xfId="2" applyNumberFormat="1" applyFont="1" applyFill="1" applyBorder="1" applyAlignment="1" applyProtection="1"/>
    <xf numFmtId="0" fontId="8" fillId="15" borderId="0" xfId="2" applyNumberFormat="1" applyFont="1" applyFill="1" applyBorder="1" applyAlignment="1" applyProtection="1"/>
    <xf numFmtId="0" fontId="7" fillId="0" borderId="0" xfId="2" applyNumberFormat="1" applyFont="1" applyFill="1" applyBorder="1" applyAlignment="1" applyProtection="1"/>
    <xf numFmtId="169" fontId="11" fillId="17" borderId="0" xfId="1" applyNumberFormat="1" applyFont="1" applyFill="1" applyBorder="1" applyAlignment="1" applyProtection="1">
      <alignment horizontal="right"/>
      <protection locked="0"/>
    </xf>
    <xf numFmtId="171" fontId="8" fillId="15" borderId="2" xfId="1" applyNumberFormat="1" applyFont="1" applyFill="1" applyBorder="1" applyProtection="1"/>
    <xf numFmtId="171" fontId="8" fillId="0" borderId="0" xfId="1" applyNumberFormat="1" applyFont="1" applyFill="1" applyBorder="1" applyProtection="1"/>
    <xf numFmtId="169" fontId="8" fillId="15" borderId="0" xfId="1" applyNumberFormat="1" applyFont="1" applyFill="1" applyProtection="1"/>
    <xf numFmtId="0" fontId="10" fillId="15" borderId="0" xfId="2" applyNumberFormat="1" applyFont="1" applyFill="1" applyAlignment="1" applyProtection="1">
      <alignment horizontal="left" indent="2"/>
    </xf>
    <xf numFmtId="39" fontId="10" fillId="15" borderId="0" xfId="2" applyNumberFormat="1" applyFont="1" applyFill="1" applyBorder="1" applyAlignment="1" applyProtection="1">
      <alignment horizontal="right"/>
    </xf>
    <xf numFmtId="39" fontId="10" fillId="0" borderId="0" xfId="2" applyNumberFormat="1" applyFont="1" applyFill="1" applyBorder="1" applyAlignment="1" applyProtection="1">
      <alignment horizontal="right"/>
    </xf>
    <xf numFmtId="171" fontId="11" fillId="15" borderId="0" xfId="1" applyNumberFormat="1" applyFont="1" applyFill="1" applyBorder="1" applyAlignment="1" applyProtection="1"/>
    <xf numFmtId="171" fontId="11" fillId="0" borderId="0" xfId="1" applyNumberFormat="1" applyFont="1" applyFill="1" applyBorder="1" applyAlignment="1" applyProtection="1"/>
    <xf numFmtId="39" fontId="8" fillId="15" borderId="0" xfId="0" applyNumberFormat="1" applyFont="1" applyFill="1" applyProtection="1"/>
    <xf numFmtId="169" fontId="14" fillId="15" borderId="0" xfId="1" applyNumberFormat="1" applyFont="1" applyFill="1" applyProtection="1"/>
    <xf numFmtId="169" fontId="14" fillId="0" borderId="0" xfId="1" applyNumberFormat="1" applyFont="1" applyFill="1" applyBorder="1" applyProtection="1"/>
    <xf numFmtId="0" fontId="5" fillId="15" borderId="0" xfId="0" applyFont="1" applyFill="1" applyProtection="1"/>
    <xf numFmtId="39" fontId="8" fillId="15" borderId="0" xfId="0" applyNumberFormat="1" applyFont="1" applyFill="1" applyBorder="1" applyProtection="1"/>
    <xf numFmtId="170" fontId="11" fillId="15" borderId="0" xfId="2" applyNumberFormat="1" applyFont="1" applyFill="1" applyBorder="1" applyAlignment="1" applyProtection="1"/>
    <xf numFmtId="167" fontId="11" fillId="15" borderId="8" xfId="2" applyNumberFormat="1" applyFont="1" applyFill="1" applyBorder="1" applyAlignment="1" applyProtection="1">
      <alignment horizontal="right"/>
    </xf>
    <xf numFmtId="44" fontId="10" fillId="15" borderId="0" xfId="2" applyNumberFormat="1" applyFont="1" applyFill="1" applyBorder="1" applyAlignment="1" applyProtection="1">
      <alignment horizontal="right"/>
    </xf>
    <xf numFmtId="43" fontId="7" fillId="0" borderId="9" xfId="1" applyFont="1" applyFill="1" applyBorder="1" applyAlignment="1" applyProtection="1"/>
    <xf numFmtId="4" fontId="11" fillId="15" borderId="0" xfId="2" applyNumberFormat="1" applyFont="1" applyFill="1" applyBorder="1" applyAlignment="1" applyProtection="1"/>
    <xf numFmtId="4" fontId="11" fillId="0" borderId="0" xfId="2" applyNumberFormat="1" applyFont="1" applyFill="1" applyBorder="1" applyAlignment="1" applyProtection="1"/>
    <xf numFmtId="168" fontId="8" fillId="0" borderId="0" xfId="4" applyNumberFormat="1" applyFont="1" applyAlignment="1" applyProtection="1"/>
    <xf numFmtId="44" fontId="8" fillId="0" borderId="0" xfId="4" applyFont="1" applyFill="1" applyBorder="1" applyAlignment="1" applyProtection="1"/>
    <xf numFmtId="168" fontId="8" fillId="0" borderId="0" xfId="4" applyNumberFormat="1" applyFont="1" applyFill="1" applyAlignment="1" applyProtection="1"/>
    <xf numFmtId="168" fontId="8" fillId="0" borderId="0" xfId="4" applyNumberFormat="1" applyFont="1" applyFill="1" applyBorder="1" applyAlignment="1" applyProtection="1"/>
    <xf numFmtId="0" fontId="17" fillId="0" borderId="0" xfId="2" applyNumberFormat="1" applyFont="1" applyAlignment="1" applyProtection="1">
      <alignment horizontal="right"/>
    </xf>
    <xf numFmtId="43" fontId="8" fillId="17" borderId="0" xfId="1" applyFont="1" applyFill="1" applyAlignment="1" applyProtection="1">
      <protection locked="0"/>
    </xf>
    <xf numFmtId="43" fontId="8" fillId="17" borderId="0" xfId="1" applyFont="1" applyFill="1" applyBorder="1" applyAlignment="1" applyProtection="1">
      <protection locked="0"/>
    </xf>
    <xf numFmtId="43" fontId="11" fillId="17" borderId="0" xfId="1" applyFont="1" applyFill="1" applyBorder="1" applyAlignment="1" applyProtection="1">
      <protection locked="0"/>
    </xf>
    <xf numFmtId="49" fontId="3" fillId="0" borderId="0" xfId="0" applyNumberFormat="1" applyFont="1" applyFill="1" applyProtection="1"/>
    <xf numFmtId="0" fontId="16" fillId="18" borderId="10" xfId="5" applyFont="1" applyFill="1" applyBorder="1" applyAlignment="1">
      <alignment horizontal="center"/>
    </xf>
    <xf numFmtId="0" fontId="18" fillId="0" borderId="0" xfId="2" applyNumberFormat="1" applyFont="1" applyAlignment="1" applyProtection="1"/>
    <xf numFmtId="49" fontId="19" fillId="0" borderId="0" xfId="2" applyNumberFormat="1" applyFont="1" applyFill="1" applyAlignment="1" applyProtection="1">
      <alignment horizontal="center"/>
    </xf>
    <xf numFmtId="0" fontId="20" fillId="19" borderId="11" xfId="5" applyFont="1" applyFill="1" applyBorder="1" applyAlignment="1">
      <alignment wrapText="1"/>
    </xf>
    <xf numFmtId="171" fontId="21" fillId="19" borderId="0" xfId="1" applyNumberFormat="1" applyFont="1" applyFill="1" applyBorder="1" applyAlignment="1" applyProtection="1"/>
    <xf numFmtId="0" fontId="18" fillId="0" borderId="0" xfId="2" applyNumberFormat="1" applyFont="1" applyBorder="1" applyAlignment="1" applyProtection="1"/>
    <xf numFmtId="0" fontId="18" fillId="0" borderId="0" xfId="2" applyNumberFormat="1" applyFont="1" applyFill="1" applyAlignment="1" applyProtection="1"/>
    <xf numFmtId="0" fontId="18" fillId="0" borderId="0" xfId="2" applyNumberFormat="1" applyFont="1" applyFill="1" applyBorder="1" applyAlignment="1" applyProtection="1"/>
    <xf numFmtId="0" fontId="22" fillId="0" borderId="0" xfId="0" applyFont="1" applyProtection="1"/>
    <xf numFmtId="49" fontId="18" fillId="0" borderId="0" xfId="0" applyNumberFormat="1" applyFont="1" applyProtection="1"/>
    <xf numFmtId="49" fontId="19" fillId="0" borderId="0" xfId="2" applyNumberFormat="1" applyFont="1" applyAlignment="1" applyProtection="1">
      <alignment horizontal="center"/>
    </xf>
    <xf numFmtId="167" fontId="11" fillId="17" borderId="0" xfId="2" applyNumberFormat="1" applyFont="1" applyFill="1" applyAlignment="1" applyProtection="1">
      <alignment horizontal="right"/>
    </xf>
    <xf numFmtId="169" fontId="11" fillId="17" borderId="0" xfId="1" applyNumberFormat="1" applyFont="1" applyFill="1" applyAlignment="1" applyProtection="1">
      <alignment horizontal="right"/>
    </xf>
    <xf numFmtId="167" fontId="11" fillId="17" borderId="2" xfId="2" applyNumberFormat="1" applyFont="1" applyFill="1" applyBorder="1" applyAlignment="1" applyProtection="1">
      <alignment horizontal="right"/>
    </xf>
    <xf numFmtId="169" fontId="11" fillId="17" borderId="2" xfId="1" applyNumberFormat="1" applyFont="1" applyFill="1" applyBorder="1" applyAlignment="1" applyProtection="1">
      <alignment horizontal="right"/>
    </xf>
    <xf numFmtId="171" fontId="8" fillId="0" borderId="0" xfId="2" applyNumberFormat="1" applyFont="1" applyAlignment="1" applyProtection="1"/>
    <xf numFmtId="169" fontId="11" fillId="17" borderId="2" xfId="1" applyNumberFormat="1" applyFont="1" applyFill="1" applyBorder="1" applyAlignment="1" applyProtection="1"/>
    <xf numFmtId="0" fontId="3" fillId="0" borderId="20" xfId="2" applyNumberFormat="1" applyFont="1" applyBorder="1" applyAlignment="1" applyProtection="1"/>
    <xf numFmtId="49" fontId="4" fillId="0" borderId="20" xfId="2" applyNumberFormat="1" applyFont="1" applyBorder="1" applyAlignment="1" applyProtection="1">
      <alignment horizontal="center"/>
    </xf>
    <xf numFmtId="0" fontId="47" fillId="0" borderId="0" xfId="2" applyNumberFormat="1" applyFont="1" applyFill="1" applyBorder="1" applyAlignment="1" applyProtection="1">
      <alignment horizontal="center" vertical="center"/>
    </xf>
    <xf numFmtId="43" fontId="8" fillId="0" borderId="0" xfId="1" applyFont="1" applyAlignment="1" applyProtection="1">
      <alignment vertical="center"/>
    </xf>
    <xf numFmtId="43" fontId="7" fillId="0" borderId="0" xfId="1" applyFont="1" applyAlignment="1" applyProtection="1">
      <alignment vertical="center"/>
    </xf>
    <xf numFmtId="0" fontId="14" fillId="0" borderId="0" xfId="0" applyFont="1" applyAlignment="1" applyProtection="1">
      <alignment horizontal="right"/>
    </xf>
    <xf numFmtId="0" fontId="8" fillId="0" borderId="0" xfId="2" applyNumberFormat="1" applyFont="1" applyAlignment="1" applyProtection="1">
      <alignment horizontal="left"/>
    </xf>
    <xf numFmtId="0" fontId="8" fillId="0" borderId="0" xfId="1" applyNumberFormat="1" applyFont="1" applyAlignment="1" applyProtection="1">
      <alignment vertical="center"/>
    </xf>
    <xf numFmtId="49" fontId="4" fillId="15" borderId="0" xfId="2" applyNumberFormat="1" applyFont="1" applyFill="1" applyAlignment="1" applyProtection="1">
      <alignment textRotation="45"/>
    </xf>
    <xf numFmtId="0" fontId="5" fillId="0" borderId="0" xfId="2" applyNumberFormat="1" applyFont="1" applyFill="1" applyBorder="1" applyAlignment="1" applyProtection="1">
      <alignment horizontal="center"/>
    </xf>
    <xf numFmtId="43" fontId="8" fillId="0" borderId="0" xfId="1" quotePrefix="1" applyFont="1" applyAlignment="1" applyProtection="1">
      <alignment vertical="center" wrapText="1"/>
    </xf>
    <xf numFmtId="0" fontId="10" fillId="0" borderId="0" xfId="2" applyNumberFormat="1" applyFont="1" applyFill="1" applyBorder="1" applyAlignment="1" applyProtection="1">
      <alignment horizontal="center"/>
    </xf>
    <xf numFmtId="172" fontId="10" fillId="0" borderId="0" xfId="2" applyNumberFormat="1" applyFont="1" applyFill="1" applyBorder="1" applyAlignment="1" applyProtection="1">
      <alignment horizontal="center"/>
    </xf>
    <xf numFmtId="0" fontId="8" fillId="0" borderId="0" xfId="2" applyNumberFormat="1" applyFont="1" applyBorder="1" applyAlignment="1" applyProtection="1">
      <alignment vertical="center" wrapText="1"/>
    </xf>
    <xf numFmtId="0" fontId="10" fillId="15" borderId="0" xfId="2" applyNumberFormat="1" applyFont="1" applyFill="1" applyBorder="1" applyAlignment="1" applyProtection="1">
      <alignment horizontal="center" vertical="center"/>
    </xf>
    <xf numFmtId="0" fontId="11" fillId="15" borderId="0" xfId="2" applyNumberFormat="1" applyFont="1" applyFill="1" applyBorder="1" applyAlignment="1" applyProtection="1">
      <alignment horizontal="center"/>
    </xf>
    <xf numFmtId="0" fontId="10" fillId="0" borderId="0" xfId="2" applyNumberFormat="1" applyFont="1" applyFill="1" applyBorder="1" applyAlignment="1" applyProtection="1">
      <alignment horizontal="center" vertical="center"/>
    </xf>
    <xf numFmtId="0" fontId="10" fillId="15" borderId="2" xfId="2" applyNumberFormat="1" applyFont="1" applyFill="1" applyBorder="1" applyAlignment="1" applyProtection="1">
      <alignment vertical="center"/>
    </xf>
    <xf numFmtId="41" fontId="5" fillId="15" borderId="0" xfId="0" applyNumberFormat="1" applyFont="1" applyFill="1" applyBorder="1" applyAlignment="1" applyProtection="1">
      <alignment horizontal="center"/>
    </xf>
    <xf numFmtId="0" fontId="7" fillId="15" borderId="0" xfId="2" applyNumberFormat="1" applyFont="1" applyFill="1" applyBorder="1" applyAlignment="1" applyProtection="1">
      <alignment vertical="center" wrapText="1"/>
    </xf>
    <xf numFmtId="0" fontId="8" fillId="15" borderId="0" xfId="0" applyFont="1" applyFill="1" applyBorder="1" applyProtection="1"/>
    <xf numFmtId="0" fontId="11" fillId="15" borderId="0" xfId="2" applyNumberFormat="1" applyFont="1" applyFill="1" applyAlignment="1" applyProtection="1">
      <alignment horizontal="center"/>
    </xf>
    <xf numFmtId="0" fontId="11" fillId="0" borderId="0" xfId="2" applyNumberFormat="1" applyFont="1" applyFill="1" applyBorder="1" applyAlignment="1" applyProtection="1">
      <alignment horizontal="center"/>
    </xf>
    <xf numFmtId="0" fontId="7" fillId="15" borderId="0" xfId="2" applyNumberFormat="1" applyFont="1" applyFill="1" applyBorder="1" applyAlignment="1" applyProtection="1"/>
    <xf numFmtId="0" fontId="3" fillId="0" borderId="3" xfId="2" applyNumberFormat="1" applyFont="1" applyBorder="1" applyAlignment="1" applyProtection="1">
      <alignment horizontal="center"/>
    </xf>
    <xf numFmtId="49" fontId="4" fillId="15" borderId="0" xfId="2" applyNumberFormat="1" applyFont="1" applyFill="1" applyBorder="1" applyAlignment="1" applyProtection="1">
      <alignment horizontal="center"/>
    </xf>
    <xf numFmtId="0" fontId="11" fillId="0" borderId="0" xfId="2" applyNumberFormat="1" applyFont="1" applyAlignment="1" applyProtection="1">
      <alignment horizontal="center"/>
    </xf>
    <xf numFmtId="167" fontId="11" fillId="17" borderId="0" xfId="2" applyNumberFormat="1" applyFont="1" applyFill="1" applyBorder="1" applyAlignment="1" applyProtection="1"/>
    <xf numFmtId="168" fontId="11" fillId="15" borderId="0" xfId="2" applyNumberFormat="1" applyFont="1" applyFill="1" applyBorder="1" applyAlignment="1" applyProtection="1">
      <protection locked="0"/>
    </xf>
    <xf numFmtId="168" fontId="11" fillId="0" borderId="0" xfId="2" applyNumberFormat="1" applyFont="1" applyFill="1" applyBorder="1" applyAlignment="1" applyProtection="1"/>
    <xf numFmtId="43" fontId="7" fillId="0" borderId="0" xfId="1" applyFont="1" applyAlignment="1" applyProtection="1"/>
    <xf numFmtId="43" fontId="7" fillId="0" borderId="22" xfId="1" applyFont="1" applyBorder="1" applyAlignment="1" applyProtection="1"/>
    <xf numFmtId="169" fontId="11" fillId="17" borderId="0" xfId="1" applyNumberFormat="1" applyFont="1" applyFill="1" applyBorder="1" applyAlignment="1" applyProtection="1"/>
    <xf numFmtId="169" fontId="11" fillId="15" borderId="0" xfId="1" applyNumberFormat="1" applyFont="1" applyFill="1" applyBorder="1" applyAlignment="1" applyProtection="1">
      <protection locked="0"/>
    </xf>
    <xf numFmtId="43" fontId="7" fillId="0" borderId="23" xfId="1" applyFont="1" applyBorder="1" applyAlignment="1" applyProtection="1"/>
    <xf numFmtId="0" fontId="10" fillId="15" borderId="0" xfId="2" applyNumberFormat="1" applyFont="1" applyFill="1" applyAlignment="1" applyProtection="1">
      <alignment horizontal="left" indent="3"/>
    </xf>
    <xf numFmtId="167" fontId="11" fillId="17" borderId="2" xfId="2" applyNumberFormat="1" applyFont="1" applyFill="1" applyBorder="1" applyAlignment="1" applyProtection="1"/>
    <xf numFmtId="43" fontId="8" fillId="0" borderId="0" xfId="0" applyNumberFormat="1" applyFont="1" applyProtection="1"/>
    <xf numFmtId="43" fontId="15" fillId="17" borderId="0" xfId="1" applyFont="1" applyFill="1" applyProtection="1">
      <protection locked="0"/>
    </xf>
    <xf numFmtId="0" fontId="15" fillId="0" borderId="0" xfId="0" applyFont="1" applyBorder="1" applyProtection="1"/>
    <xf numFmtId="43" fontId="15" fillId="0" borderId="0" xfId="1" applyFont="1" applyProtection="1"/>
    <xf numFmtId="43" fontId="15" fillId="0" borderId="23" xfId="1" applyFont="1" applyBorder="1" applyProtection="1"/>
    <xf numFmtId="171" fontId="11" fillId="15" borderId="2" xfId="1" applyNumberFormat="1" applyFont="1" applyFill="1" applyBorder="1" applyAlignment="1" applyProtection="1"/>
    <xf numFmtId="43" fontId="7" fillId="0" borderId="5" xfId="1" applyFont="1" applyBorder="1" applyAlignment="1" applyProtection="1"/>
    <xf numFmtId="43" fontId="7" fillId="0" borderId="4" xfId="1" applyFont="1" applyBorder="1" applyAlignment="1" applyProtection="1"/>
    <xf numFmtId="43" fontId="8" fillId="15" borderId="0" xfId="1" applyFont="1" applyFill="1" applyProtection="1"/>
    <xf numFmtId="43" fontId="14" fillId="15" borderId="0" xfId="1" applyFont="1" applyFill="1" applyProtection="1"/>
    <xf numFmtId="43" fontId="14" fillId="0" borderId="0" xfId="1" applyFont="1" applyFill="1" applyBorder="1" applyProtection="1"/>
    <xf numFmtId="39" fontId="11" fillId="15" borderId="0" xfId="2" applyNumberFormat="1" applyFont="1" applyFill="1" applyAlignment="1" applyProtection="1"/>
    <xf numFmtId="39" fontId="11" fillId="15" borderId="0" xfId="2" applyNumberFormat="1" applyFont="1" applyFill="1" applyBorder="1" applyAlignment="1" applyProtection="1"/>
    <xf numFmtId="39" fontId="11" fillId="0" borderId="0" xfId="2" applyNumberFormat="1" applyFont="1" applyFill="1" applyBorder="1" applyAlignment="1" applyProtection="1"/>
    <xf numFmtId="169" fontId="8" fillId="15" borderId="0" xfId="1" applyNumberFormat="1" applyFont="1" applyFill="1" applyBorder="1" applyProtection="1"/>
    <xf numFmtId="169" fontId="11" fillId="15" borderId="2" xfId="1" applyNumberFormat="1" applyFont="1" applyFill="1" applyBorder="1" applyAlignment="1" applyProtection="1"/>
    <xf numFmtId="43" fontId="8" fillId="15" borderId="0" xfId="0" applyNumberFormat="1" applyFont="1" applyFill="1" applyBorder="1" applyProtection="1"/>
    <xf numFmtId="0" fontId="14" fillId="15" borderId="0" xfId="0" applyFont="1" applyFill="1" applyBorder="1" applyProtection="1"/>
    <xf numFmtId="167" fontId="8" fillId="0" borderId="8" xfId="0" applyNumberFormat="1" applyFont="1" applyBorder="1" applyProtection="1"/>
    <xf numFmtId="168" fontId="8" fillId="15" borderId="0" xfId="0" applyNumberFormat="1" applyFont="1" applyFill="1" applyProtection="1"/>
    <xf numFmtId="167" fontId="8" fillId="15" borderId="8" xfId="0" applyNumberFormat="1" applyFont="1" applyFill="1" applyBorder="1" applyProtection="1"/>
    <xf numFmtId="168" fontId="8" fillId="15" borderId="0" xfId="0" applyNumberFormat="1" applyFont="1" applyFill="1" applyBorder="1" applyProtection="1"/>
    <xf numFmtId="168" fontId="8" fillId="0" borderId="0" xfId="0" applyNumberFormat="1" applyFont="1" applyFill="1" applyBorder="1" applyProtection="1"/>
    <xf numFmtId="167" fontId="8" fillId="0" borderId="0" xfId="0" applyNumberFormat="1" applyFont="1" applyBorder="1" applyProtection="1"/>
    <xf numFmtId="167" fontId="8" fillId="15" borderId="0" xfId="0" applyNumberFormat="1" applyFont="1" applyFill="1" applyBorder="1" applyProtection="1"/>
    <xf numFmtId="43" fontId="7" fillId="0" borderId="0" xfId="1" applyFont="1" applyBorder="1" applyAlignment="1" applyProtection="1"/>
    <xf numFmtId="0" fontId="5" fillId="0" borderId="0" xfId="0" applyFont="1" applyFill="1" applyProtection="1"/>
    <xf numFmtId="0" fontId="8" fillId="0" borderId="0" xfId="0" applyFont="1" applyFill="1" applyProtection="1"/>
    <xf numFmtId="39" fontId="11" fillId="0" borderId="0" xfId="2" applyNumberFormat="1" applyFont="1" applyFill="1" applyAlignment="1" applyProtection="1"/>
    <xf numFmtId="167" fontId="8" fillId="0" borderId="0" xfId="0" applyNumberFormat="1" applyFont="1" applyFill="1" applyBorder="1" applyProtection="1"/>
    <xf numFmtId="168" fontId="8" fillId="0" borderId="0" xfId="0" applyNumberFormat="1" applyFont="1" applyFill="1" applyProtection="1"/>
    <xf numFmtId="167" fontId="8" fillId="0" borderId="8" xfId="0" applyNumberFormat="1" applyFont="1" applyFill="1" applyBorder="1" applyProtection="1"/>
    <xf numFmtId="169" fontId="11" fillId="15" borderId="8" xfId="1" applyNumberFormat="1" applyFont="1" applyFill="1" applyBorder="1" applyAlignment="1" applyProtection="1"/>
    <xf numFmtId="43" fontId="8" fillId="0" borderId="0" xfId="0" applyNumberFormat="1" applyFont="1" applyFill="1" applyProtection="1"/>
    <xf numFmtId="41" fontId="8" fillId="15" borderId="0" xfId="0" applyNumberFormat="1" applyFont="1" applyFill="1" applyProtection="1"/>
    <xf numFmtId="41" fontId="8" fillId="0" borderId="0" xfId="0" applyNumberFormat="1" applyFont="1" applyFill="1" applyBorder="1" applyProtection="1"/>
    <xf numFmtId="0" fontId="7" fillId="0" borderId="0" xfId="0" applyFont="1" applyBorder="1" applyProtection="1"/>
    <xf numFmtId="49" fontId="3" fillId="0" borderId="0" xfId="2" applyNumberFormat="1" applyFont="1" applyFill="1" applyAlignment="1" applyProtection="1">
      <alignment horizontal="center"/>
    </xf>
    <xf numFmtId="49" fontId="3" fillId="15" borderId="0" xfId="2" applyNumberFormat="1" applyFont="1" applyFill="1" applyAlignment="1" applyProtection="1">
      <alignment horizontal="center"/>
    </xf>
    <xf numFmtId="41" fontId="8" fillId="0" borderId="0" xfId="0" applyNumberFormat="1" applyFont="1" applyProtection="1"/>
    <xf numFmtId="172" fontId="5" fillId="15" borderId="0" xfId="0" quotePrefix="1" applyNumberFormat="1" applyFont="1" applyFill="1" applyAlignment="1" applyProtection="1">
      <alignment horizontal="center" vertical="center"/>
    </xf>
    <xf numFmtId="172" fontId="5" fillId="0" borderId="0" xfId="0" quotePrefix="1" applyNumberFormat="1" applyFont="1" applyFill="1" applyBorder="1" applyAlignment="1" applyProtection="1">
      <alignment horizontal="center" vertical="center"/>
    </xf>
    <xf numFmtId="41" fontId="5" fillId="15" borderId="0" xfId="0" applyNumberFormat="1" applyFont="1" applyFill="1" applyAlignment="1" applyProtection="1">
      <alignment horizontal="center" vertical="center"/>
    </xf>
    <xf numFmtId="41" fontId="5" fillId="15" borderId="0" xfId="0" applyNumberFormat="1" applyFont="1" applyFill="1" applyProtection="1"/>
    <xf numFmtId="41" fontId="5" fillId="15" borderId="0" xfId="0" applyNumberFormat="1" applyFont="1" applyFill="1" applyAlignment="1" applyProtection="1">
      <alignment horizontal="center"/>
    </xf>
    <xf numFmtId="171" fontId="11" fillId="15" borderId="8" xfId="1" applyNumberFormat="1" applyFont="1" applyFill="1" applyBorder="1" applyAlignment="1" applyProtection="1"/>
    <xf numFmtId="43" fontId="7" fillId="17" borderId="0" xfId="1" applyFont="1" applyFill="1" applyAlignment="1" applyProtection="1">
      <protection locked="0"/>
    </xf>
    <xf numFmtId="43" fontId="7" fillId="0" borderId="24" xfId="1" applyFont="1" applyBorder="1" applyAlignment="1" applyProtection="1"/>
    <xf numFmtId="0" fontId="8" fillId="0" borderId="0" xfId="0" applyFont="1" applyFill="1" applyBorder="1" applyAlignment="1" applyProtection="1"/>
    <xf numFmtId="0" fontId="8" fillId="0" borderId="0" xfId="0" applyFont="1" applyProtection="1"/>
    <xf numFmtId="4" fontId="8" fillId="0" borderId="0" xfId="2" applyNumberFormat="1" applyFont="1" applyAlignment="1" applyProtection="1"/>
    <xf numFmtId="4" fontId="8" fillId="0" borderId="0" xfId="2" applyNumberFormat="1" applyFont="1" applyFill="1" applyBorder="1" applyAlignment="1" applyProtection="1"/>
    <xf numFmtId="0" fontId="17" fillId="0" borderId="0" xfId="2" applyNumberFormat="1" applyFont="1" applyFill="1" applyBorder="1" applyAlignment="1" applyProtection="1">
      <alignment horizontal="right"/>
    </xf>
    <xf numFmtId="169" fontId="8" fillId="0" borderId="0" xfId="1" applyNumberFormat="1" applyFont="1" applyAlignment="1" applyProtection="1"/>
    <xf numFmtId="0" fontId="49" fillId="43" borderId="0" xfId="2" applyNumberFormat="1" applyFont="1" applyFill="1" applyAlignment="1" applyProtection="1"/>
    <xf numFmtId="0" fontId="8" fillId="43" borderId="0" xfId="2" applyNumberFormat="1" applyFont="1" applyFill="1" applyAlignment="1" applyProtection="1"/>
    <xf numFmtId="167" fontId="11" fillId="17" borderId="0" xfId="2" applyNumberFormat="1" applyFont="1" applyFill="1" applyAlignment="1" applyProtection="1">
      <alignment horizontal="right"/>
      <protection locked="0"/>
    </xf>
    <xf numFmtId="168" fontId="11" fillId="15" borderId="0" xfId="2" applyNumberFormat="1" applyFont="1" applyFill="1" applyBorder="1" applyAlignment="1" applyProtection="1">
      <alignment horizontal="right"/>
    </xf>
    <xf numFmtId="169" fontId="11" fillId="15" borderId="0" xfId="1" applyNumberFormat="1" applyFont="1" applyFill="1" applyBorder="1" applyAlignment="1" applyProtection="1">
      <alignment horizontal="right"/>
    </xf>
    <xf numFmtId="171" fontId="11" fillId="15" borderId="2" xfId="1" applyNumberFormat="1" applyFont="1" applyFill="1" applyBorder="1" applyAlignment="1" applyProtection="1">
      <alignment horizontal="right"/>
    </xf>
    <xf numFmtId="167" fontId="11" fillId="17" borderId="0" xfId="172" applyNumberFormat="1" applyFont="1" applyFill="1" applyAlignment="1" applyProtection="1">
      <alignment horizontal="right"/>
      <protection locked="0"/>
    </xf>
    <xf numFmtId="169" fontId="11" fillId="42" borderId="0" xfId="1" applyNumberFormat="1" applyFont="1" applyFill="1" applyAlignment="1" applyProtection="1">
      <alignment horizontal="right"/>
      <protection locked="0"/>
    </xf>
    <xf numFmtId="37" fontId="11" fillId="17" borderId="0" xfId="1" applyNumberFormat="1" applyFont="1" applyFill="1" applyAlignment="1" applyProtection="1">
      <protection locked="0"/>
    </xf>
    <xf numFmtId="169" fontId="11" fillId="17" borderId="0" xfId="1" applyNumberFormat="1" applyFont="1" applyFill="1" applyBorder="1" applyAlignment="1" applyProtection="1">
      <protection locked="0"/>
    </xf>
    <xf numFmtId="43" fontId="11" fillId="17" borderId="2" xfId="1" applyNumberFormat="1" applyFont="1" applyFill="1" applyBorder="1" applyAlignment="1" applyProtection="1">
      <alignment horizontal="right"/>
      <protection locked="0"/>
    </xf>
    <xf numFmtId="167" fontId="38" fillId="25" borderId="12" xfId="601" applyNumberFormat="1" applyAlignment="1" applyProtection="1">
      <alignment horizontal="right"/>
      <protection locked="0"/>
    </xf>
    <xf numFmtId="43" fontId="8" fillId="0" borderId="0" xfId="1" applyFont="1" applyFill="1" applyAlignment="1" applyProtection="1"/>
    <xf numFmtId="43" fontId="8" fillId="0" borderId="0" xfId="1" applyFont="1" applyAlignment="1" applyProtection="1"/>
    <xf numFmtId="43" fontId="18" fillId="0" borderId="0" xfId="1" applyFont="1" applyAlignment="1" applyProtection="1"/>
    <xf numFmtId="0" fontId="5" fillId="15" borderId="0" xfId="2" applyNumberFormat="1" applyFont="1" applyFill="1" applyAlignment="1" applyProtection="1">
      <alignment horizontal="center"/>
    </xf>
    <xf numFmtId="0" fontId="10" fillId="15" borderId="0" xfId="2" applyNumberFormat="1" applyFont="1" applyFill="1" applyAlignment="1" applyProtection="1">
      <alignment horizontal="center"/>
    </xf>
    <xf numFmtId="172" fontId="10" fillId="15" borderId="0" xfId="2" applyNumberFormat="1" applyFont="1" applyFill="1" applyAlignment="1" applyProtection="1">
      <alignment horizontal="center"/>
    </xf>
    <xf numFmtId="0" fontId="8" fillId="15" borderId="0" xfId="0" applyFont="1" applyFill="1" applyAlignment="1" applyProtection="1"/>
    <xf numFmtId="0" fontId="5" fillId="15" borderId="0" xfId="0" applyFont="1" applyFill="1" applyAlignment="1" applyProtection="1">
      <alignment horizontal="center" vertical="center"/>
    </xf>
    <xf numFmtId="165" fontId="11" fillId="17" borderId="0" xfId="1" applyNumberFormat="1" applyFont="1" applyFill="1" applyAlignment="1" applyProtection="1">
      <alignment horizontal="left"/>
      <protection locked="0"/>
    </xf>
    <xf numFmtId="4" fontId="5" fillId="15" borderId="0" xfId="2" applyNumberFormat="1" applyFont="1" applyFill="1" applyBorder="1" applyAlignment="1" applyProtection="1">
      <alignment horizontal="center"/>
    </xf>
    <xf numFmtId="0" fontId="10" fillId="15" borderId="0" xfId="2" applyNumberFormat="1" applyFont="1" applyFill="1" applyBorder="1" applyAlignment="1" applyProtection="1">
      <alignment horizontal="center"/>
    </xf>
    <xf numFmtId="4" fontId="10" fillId="15" borderId="0" xfId="2" applyNumberFormat="1" applyFont="1" applyFill="1" applyBorder="1" applyAlignment="1" applyProtection="1">
      <alignment horizontal="center"/>
    </xf>
    <xf numFmtId="0" fontId="47" fillId="42" borderId="21" xfId="2" applyNumberFormat="1" applyFont="1" applyFill="1" applyBorder="1" applyAlignment="1" applyProtection="1">
      <alignment vertical="center"/>
    </xf>
    <xf numFmtId="0" fontId="7" fillId="16" borderId="0" xfId="2" applyNumberFormat="1" applyFont="1" applyFill="1" applyBorder="1" applyAlignment="1" applyProtection="1">
      <alignment vertical="center" wrapText="1"/>
    </xf>
    <xf numFmtId="0" fontId="5" fillId="15" borderId="0" xfId="2" applyNumberFormat="1" applyFont="1" applyFill="1" applyAlignment="1" applyProtection="1"/>
    <xf numFmtId="172" fontId="10" fillId="15" borderId="0" xfId="2" applyNumberFormat="1" applyFont="1" applyFill="1" applyAlignment="1" applyProtection="1"/>
    <xf numFmtId="43" fontId="5" fillId="15" borderId="0" xfId="1" applyFont="1" applyFill="1" applyBorder="1" applyAlignment="1" applyProtection="1"/>
    <xf numFmtId="43" fontId="5" fillId="15" borderId="2" xfId="1" applyFont="1" applyFill="1" applyBorder="1" applyAlignment="1" applyProtection="1"/>
    <xf numFmtId="0" fontId="5" fillId="15" borderId="0" xfId="0" applyFont="1" applyFill="1" applyAlignment="1" applyProtection="1">
      <alignment vertical="center"/>
    </xf>
    <xf numFmtId="0" fontId="8" fillId="0" borderId="0" xfId="2" applyNumberFormat="1" applyFont="1" applyFill="1" applyBorder="1" applyAlignment="1" applyProtection="1">
      <alignment wrapText="1"/>
    </xf>
    <xf numFmtId="0" fontId="5" fillId="15" borderId="0" xfId="2" applyNumberFormat="1" applyFont="1" applyFill="1" applyAlignment="1" applyProtection="1">
      <alignment horizontal="left"/>
    </xf>
    <xf numFmtId="172" fontId="10" fillId="15" borderId="0" xfId="2" applyNumberFormat="1" applyFont="1" applyFill="1" applyAlignment="1" applyProtection="1">
      <alignment horizontal="left"/>
    </xf>
    <xf numFmtId="4" fontId="5" fillId="15" borderId="0" xfId="2" applyNumberFormat="1" applyFont="1" applyFill="1" applyBorder="1" applyAlignment="1" applyProtection="1"/>
    <xf numFmtId="4" fontId="10" fillId="15" borderId="0" xfId="2" applyNumberFormat="1" applyFont="1" applyFill="1" applyBorder="1" applyAlignment="1" applyProtection="1"/>
    <xf numFmtId="0" fontId="5" fillId="0" borderId="0" xfId="2" applyNumberFormat="1" applyFont="1" applyAlignment="1" applyProtection="1"/>
    <xf numFmtId="165" fontId="11" fillId="17" borderId="0" xfId="1" applyNumberFormat="1" applyFont="1" applyFill="1" applyAlignment="1" applyProtection="1">
      <protection locked="0"/>
    </xf>
  </cellXfs>
  <cellStyles count="1349">
    <cellStyle name="20% - Accent1 2" xfId="6"/>
    <cellStyle name="20% - Accent1 2 2" xfId="7"/>
    <cellStyle name="20% - Accent2 2" xfId="8"/>
    <cellStyle name="20% - Accent2 2 2" xfId="9"/>
    <cellStyle name="20% - Accent3 2" xfId="10"/>
    <cellStyle name="20% - Accent3 2 2" xfId="11"/>
    <cellStyle name="20% - Accent4 2" xfId="12"/>
    <cellStyle name="20% - Accent4 2 2" xfId="13"/>
    <cellStyle name="20% - Accent5 2" xfId="14"/>
    <cellStyle name="20% - Accent5 2 2" xfId="15"/>
    <cellStyle name="20% - Accent6 2" xfId="16"/>
    <cellStyle name="20% - Accent6 2 2" xfId="17"/>
    <cellStyle name="40% - Accent1 2" xfId="18"/>
    <cellStyle name="40% - Accent1 2 2" xfId="19"/>
    <cellStyle name="40% - Accent2 2" xfId="20"/>
    <cellStyle name="40% - Accent2 2 2" xfId="21"/>
    <cellStyle name="40% - Accent3 2" xfId="22"/>
    <cellStyle name="40% - Accent3 2 2" xfId="23"/>
    <cellStyle name="40% - Accent4 2" xfId="24"/>
    <cellStyle name="40% - Accent4 2 2" xfId="25"/>
    <cellStyle name="40% - Accent5 2" xfId="26"/>
    <cellStyle name="40% - Accent5 2 2" xfId="27"/>
    <cellStyle name="40% - Accent6 2" xfId="28"/>
    <cellStyle name="40% - Accent6 2 2" xfId="29"/>
    <cellStyle name="60% - Accent1 2" xfId="30"/>
    <cellStyle name="60% - Accent2 2" xfId="31"/>
    <cellStyle name="60% - Accent3 2" xfId="32"/>
    <cellStyle name="60% - Accent4 2" xfId="33"/>
    <cellStyle name="60% - Accent5 2" xfId="34"/>
    <cellStyle name="60% - Accent6 2" xfId="35"/>
    <cellStyle name="Accent1 2" xfId="36"/>
    <cellStyle name="Accent2 2" xfId="37"/>
    <cellStyle name="Accent3 2" xfId="38"/>
    <cellStyle name="Accent4 2" xfId="39"/>
    <cellStyle name="Accent5 2" xfId="40"/>
    <cellStyle name="Accent6 2" xfId="41"/>
    <cellStyle name="Bad 2" xfId="42"/>
    <cellStyle name="Calculation 2" xfId="43"/>
    <cellStyle name="Calculation 2 10" xfId="173"/>
    <cellStyle name="Calculation 2 10 2" xfId="174"/>
    <cellStyle name="Calculation 2 11" xfId="175"/>
    <cellStyle name="Calculation 2 11 2" xfId="176"/>
    <cellStyle name="Calculation 2 12" xfId="177"/>
    <cellStyle name="Calculation 2 12 2" xfId="178"/>
    <cellStyle name="Calculation 2 13" xfId="179"/>
    <cellStyle name="Calculation 2 13 2" xfId="180"/>
    <cellStyle name="Calculation 2 14" xfId="181"/>
    <cellStyle name="Calculation 2 14 2" xfId="182"/>
    <cellStyle name="Calculation 2 15" xfId="183"/>
    <cellStyle name="Calculation 2 15 2" xfId="184"/>
    <cellStyle name="Calculation 2 16" xfId="185"/>
    <cellStyle name="Calculation 2 16 2" xfId="186"/>
    <cellStyle name="Calculation 2 17" xfId="187"/>
    <cellStyle name="Calculation 2 17 2" xfId="188"/>
    <cellStyle name="Calculation 2 18" xfId="189"/>
    <cellStyle name="Calculation 2 18 2" xfId="190"/>
    <cellStyle name="Calculation 2 19" xfId="191"/>
    <cellStyle name="Calculation 2 19 2" xfId="192"/>
    <cellStyle name="Calculation 2 2" xfId="44"/>
    <cellStyle name="Calculation 2 2 10" xfId="193"/>
    <cellStyle name="Calculation 2 2 10 2" xfId="194"/>
    <cellStyle name="Calculation 2 2 11" xfId="195"/>
    <cellStyle name="Calculation 2 2 11 2" xfId="196"/>
    <cellStyle name="Calculation 2 2 12" xfId="197"/>
    <cellStyle name="Calculation 2 2 12 2" xfId="198"/>
    <cellStyle name="Calculation 2 2 13" xfId="199"/>
    <cellStyle name="Calculation 2 2 13 2" xfId="200"/>
    <cellStyle name="Calculation 2 2 14" xfId="201"/>
    <cellStyle name="Calculation 2 2 14 2" xfId="202"/>
    <cellStyle name="Calculation 2 2 15" xfId="203"/>
    <cellStyle name="Calculation 2 2 15 2" xfId="204"/>
    <cellStyle name="Calculation 2 2 16" xfId="205"/>
    <cellStyle name="Calculation 2 2 16 2" xfId="206"/>
    <cellStyle name="Calculation 2 2 17" xfId="207"/>
    <cellStyle name="Calculation 2 2 17 2" xfId="208"/>
    <cellStyle name="Calculation 2 2 18" xfId="209"/>
    <cellStyle name="Calculation 2 2 18 2" xfId="210"/>
    <cellStyle name="Calculation 2 2 19" xfId="211"/>
    <cellStyle name="Calculation 2 2 19 2" xfId="212"/>
    <cellStyle name="Calculation 2 2 2" xfId="213"/>
    <cellStyle name="Calculation 2 2 2 2" xfId="214"/>
    <cellStyle name="Calculation 2 2 20" xfId="215"/>
    <cellStyle name="Calculation 2 2 20 2" xfId="216"/>
    <cellStyle name="Calculation 2 2 21" xfId="217"/>
    <cellStyle name="Calculation 2 2 21 2" xfId="218"/>
    <cellStyle name="Calculation 2 2 22" xfId="219"/>
    <cellStyle name="Calculation 2 2 22 2" xfId="220"/>
    <cellStyle name="Calculation 2 2 23" xfId="221"/>
    <cellStyle name="Calculation 2 2 23 2" xfId="222"/>
    <cellStyle name="Calculation 2 2 24" xfId="223"/>
    <cellStyle name="Calculation 2 2 24 2" xfId="224"/>
    <cellStyle name="Calculation 2 2 25" xfId="225"/>
    <cellStyle name="Calculation 2 2 25 2" xfId="226"/>
    <cellStyle name="Calculation 2 2 26" xfId="227"/>
    <cellStyle name="Calculation 2 2 26 2" xfId="228"/>
    <cellStyle name="Calculation 2 2 27" xfId="229"/>
    <cellStyle name="Calculation 2 2 27 2" xfId="230"/>
    <cellStyle name="Calculation 2 2 28" xfId="231"/>
    <cellStyle name="Calculation 2 2 28 2" xfId="232"/>
    <cellStyle name="Calculation 2 2 29" xfId="233"/>
    <cellStyle name="Calculation 2 2 29 2" xfId="234"/>
    <cellStyle name="Calculation 2 2 3" xfId="235"/>
    <cellStyle name="Calculation 2 2 3 2" xfId="236"/>
    <cellStyle name="Calculation 2 2 30" xfId="237"/>
    <cellStyle name="Calculation 2 2 30 2" xfId="238"/>
    <cellStyle name="Calculation 2 2 31" xfId="239"/>
    <cellStyle name="Calculation 2 2 31 2" xfId="240"/>
    <cellStyle name="Calculation 2 2 32" xfId="241"/>
    <cellStyle name="Calculation 2 2 32 2" xfId="242"/>
    <cellStyle name="Calculation 2 2 33" xfId="243"/>
    <cellStyle name="Calculation 2 2 33 2" xfId="244"/>
    <cellStyle name="Calculation 2 2 34" xfId="245"/>
    <cellStyle name="Calculation 2 2 34 2" xfId="246"/>
    <cellStyle name="Calculation 2 2 35" xfId="247"/>
    <cellStyle name="Calculation 2 2 35 2" xfId="248"/>
    <cellStyle name="Calculation 2 2 36" xfId="249"/>
    <cellStyle name="Calculation 2 2 36 2" xfId="250"/>
    <cellStyle name="Calculation 2 2 37" xfId="251"/>
    <cellStyle name="Calculation 2 2 37 2" xfId="252"/>
    <cellStyle name="Calculation 2 2 38" xfId="253"/>
    <cellStyle name="Calculation 2 2 38 2" xfId="254"/>
    <cellStyle name="Calculation 2 2 39" xfId="255"/>
    <cellStyle name="Calculation 2 2 39 2" xfId="256"/>
    <cellStyle name="Calculation 2 2 4" xfId="257"/>
    <cellStyle name="Calculation 2 2 4 2" xfId="258"/>
    <cellStyle name="Calculation 2 2 40" xfId="259"/>
    <cellStyle name="Calculation 2 2 40 2" xfId="260"/>
    <cellStyle name="Calculation 2 2 41" xfId="261"/>
    <cellStyle name="Calculation 2 2 41 2" xfId="262"/>
    <cellStyle name="Calculation 2 2 42" xfId="263"/>
    <cellStyle name="Calculation 2 2 42 2" xfId="264"/>
    <cellStyle name="Calculation 2 2 43" xfId="265"/>
    <cellStyle name="Calculation 2 2 43 2" xfId="266"/>
    <cellStyle name="Calculation 2 2 44" xfId="267"/>
    <cellStyle name="Calculation 2 2 44 2" xfId="268"/>
    <cellStyle name="Calculation 2 2 45" xfId="269"/>
    <cellStyle name="Calculation 2 2 45 2" xfId="270"/>
    <cellStyle name="Calculation 2 2 46" xfId="271"/>
    <cellStyle name="Calculation 2 2 46 2" xfId="272"/>
    <cellStyle name="Calculation 2 2 47" xfId="273"/>
    <cellStyle name="Calculation 2 2 47 2" xfId="274"/>
    <cellStyle name="Calculation 2 2 48" xfId="275"/>
    <cellStyle name="Calculation 2 2 48 2" xfId="276"/>
    <cellStyle name="Calculation 2 2 49" xfId="277"/>
    <cellStyle name="Calculation 2 2 49 2" xfId="278"/>
    <cellStyle name="Calculation 2 2 5" xfId="279"/>
    <cellStyle name="Calculation 2 2 5 2" xfId="280"/>
    <cellStyle name="Calculation 2 2 50" xfId="281"/>
    <cellStyle name="Calculation 2 2 50 2" xfId="282"/>
    <cellStyle name="Calculation 2 2 51" xfId="283"/>
    <cellStyle name="Calculation 2 2 51 2" xfId="284"/>
    <cellStyle name="Calculation 2 2 52" xfId="285"/>
    <cellStyle name="Calculation 2 2 52 2" xfId="286"/>
    <cellStyle name="Calculation 2 2 53" xfId="287"/>
    <cellStyle name="Calculation 2 2 54" xfId="288"/>
    <cellStyle name="Calculation 2 2 55" xfId="289"/>
    <cellStyle name="Calculation 2 2 56" xfId="290"/>
    <cellStyle name="Calculation 2 2 57" xfId="291"/>
    <cellStyle name="Calculation 2 2 58" xfId="1265"/>
    <cellStyle name="Calculation 2 2 59" xfId="1266"/>
    <cellStyle name="Calculation 2 2 6" xfId="292"/>
    <cellStyle name="Calculation 2 2 6 2" xfId="293"/>
    <cellStyle name="Calculation 2 2 60" xfId="1267"/>
    <cellStyle name="Calculation 2 2 61" xfId="1268"/>
    <cellStyle name="Calculation 2 2 7" xfId="294"/>
    <cellStyle name="Calculation 2 2 7 2" xfId="295"/>
    <cellStyle name="Calculation 2 2 8" xfId="296"/>
    <cellStyle name="Calculation 2 2 8 2" xfId="297"/>
    <cellStyle name="Calculation 2 2 9" xfId="298"/>
    <cellStyle name="Calculation 2 2 9 2" xfId="299"/>
    <cellStyle name="Calculation 2 20" xfId="300"/>
    <cellStyle name="Calculation 2 20 2" xfId="301"/>
    <cellStyle name="Calculation 2 21" xfId="302"/>
    <cellStyle name="Calculation 2 21 2" xfId="303"/>
    <cellStyle name="Calculation 2 22" xfId="304"/>
    <cellStyle name="Calculation 2 22 2" xfId="305"/>
    <cellStyle name="Calculation 2 23" xfId="306"/>
    <cellStyle name="Calculation 2 23 2" xfId="307"/>
    <cellStyle name="Calculation 2 24" xfId="308"/>
    <cellStyle name="Calculation 2 24 2" xfId="309"/>
    <cellStyle name="Calculation 2 25" xfId="310"/>
    <cellStyle name="Calculation 2 25 2" xfId="311"/>
    <cellStyle name="Calculation 2 26" xfId="312"/>
    <cellStyle name="Calculation 2 26 2" xfId="313"/>
    <cellStyle name="Calculation 2 27" xfId="314"/>
    <cellStyle name="Calculation 2 27 2" xfId="315"/>
    <cellStyle name="Calculation 2 28" xfId="316"/>
    <cellStyle name="Calculation 2 28 2" xfId="317"/>
    <cellStyle name="Calculation 2 29" xfId="318"/>
    <cellStyle name="Calculation 2 29 2" xfId="319"/>
    <cellStyle name="Calculation 2 3" xfId="320"/>
    <cellStyle name="Calculation 2 3 2" xfId="321"/>
    <cellStyle name="Calculation 2 3 3" xfId="1269"/>
    <cellStyle name="Calculation 2 3 4" xfId="1270"/>
    <cellStyle name="Calculation 2 3 5" xfId="1271"/>
    <cellStyle name="Calculation 2 3 6" xfId="1272"/>
    <cellStyle name="Calculation 2 30" xfId="322"/>
    <cellStyle name="Calculation 2 30 2" xfId="323"/>
    <cellStyle name="Calculation 2 31" xfId="324"/>
    <cellStyle name="Calculation 2 31 2" xfId="325"/>
    <cellStyle name="Calculation 2 32" xfId="326"/>
    <cellStyle name="Calculation 2 32 2" xfId="327"/>
    <cellStyle name="Calculation 2 33" xfId="328"/>
    <cellStyle name="Calculation 2 33 2" xfId="329"/>
    <cellStyle name="Calculation 2 34" xfId="330"/>
    <cellStyle name="Calculation 2 34 2" xfId="331"/>
    <cellStyle name="Calculation 2 35" xfId="332"/>
    <cellStyle name="Calculation 2 35 2" xfId="333"/>
    <cellStyle name="Calculation 2 36" xfId="334"/>
    <cellStyle name="Calculation 2 36 2" xfId="335"/>
    <cellStyle name="Calculation 2 37" xfId="336"/>
    <cellStyle name="Calculation 2 37 2" xfId="337"/>
    <cellStyle name="Calculation 2 38" xfId="338"/>
    <cellStyle name="Calculation 2 38 2" xfId="339"/>
    <cellStyle name="Calculation 2 39" xfId="340"/>
    <cellStyle name="Calculation 2 39 2" xfId="341"/>
    <cellStyle name="Calculation 2 4" xfId="342"/>
    <cellStyle name="Calculation 2 4 2" xfId="343"/>
    <cellStyle name="Calculation 2 4 3" xfId="1273"/>
    <cellStyle name="Calculation 2 4 4" xfId="1274"/>
    <cellStyle name="Calculation 2 4 5" xfId="1275"/>
    <cellStyle name="Calculation 2 4 6" xfId="1276"/>
    <cellStyle name="Calculation 2 40" xfId="344"/>
    <cellStyle name="Calculation 2 40 2" xfId="345"/>
    <cellStyle name="Calculation 2 41" xfId="346"/>
    <cellStyle name="Calculation 2 41 2" xfId="347"/>
    <cellStyle name="Calculation 2 42" xfId="348"/>
    <cellStyle name="Calculation 2 42 2" xfId="349"/>
    <cellStyle name="Calculation 2 43" xfId="350"/>
    <cellStyle name="Calculation 2 43 2" xfId="351"/>
    <cellStyle name="Calculation 2 44" xfId="352"/>
    <cellStyle name="Calculation 2 44 2" xfId="353"/>
    <cellStyle name="Calculation 2 45" xfId="354"/>
    <cellStyle name="Calculation 2 45 2" xfId="355"/>
    <cellStyle name="Calculation 2 46" xfId="356"/>
    <cellStyle name="Calculation 2 46 2" xfId="357"/>
    <cellStyle name="Calculation 2 47" xfId="358"/>
    <cellStyle name="Calculation 2 47 2" xfId="359"/>
    <cellStyle name="Calculation 2 48" xfId="360"/>
    <cellStyle name="Calculation 2 48 2" xfId="361"/>
    <cellStyle name="Calculation 2 49" xfId="362"/>
    <cellStyle name="Calculation 2 49 2" xfId="363"/>
    <cellStyle name="Calculation 2 5" xfId="364"/>
    <cellStyle name="Calculation 2 5 2" xfId="365"/>
    <cellStyle name="Calculation 2 5 3" xfId="1277"/>
    <cellStyle name="Calculation 2 5 4" xfId="1278"/>
    <cellStyle name="Calculation 2 5 5" xfId="1279"/>
    <cellStyle name="Calculation 2 5 6" xfId="1280"/>
    <cellStyle name="Calculation 2 50" xfId="366"/>
    <cellStyle name="Calculation 2 50 2" xfId="367"/>
    <cellStyle name="Calculation 2 51" xfId="368"/>
    <cellStyle name="Calculation 2 51 2" xfId="369"/>
    <cellStyle name="Calculation 2 52" xfId="370"/>
    <cellStyle name="Calculation 2 52 2" xfId="371"/>
    <cellStyle name="Calculation 2 53" xfId="372"/>
    <cellStyle name="Calculation 2 53 2" xfId="373"/>
    <cellStyle name="Calculation 2 54" xfId="374"/>
    <cellStyle name="Calculation 2 55" xfId="375"/>
    <cellStyle name="Calculation 2 56" xfId="376"/>
    <cellStyle name="Calculation 2 57" xfId="377"/>
    <cellStyle name="Calculation 2 58" xfId="378"/>
    <cellStyle name="Calculation 2 6" xfId="379"/>
    <cellStyle name="Calculation 2 6 2" xfId="380"/>
    <cellStyle name="Calculation 2 7" xfId="381"/>
    <cellStyle name="Calculation 2 7 2" xfId="382"/>
    <cellStyle name="Calculation 2 8" xfId="383"/>
    <cellStyle name="Calculation 2 8 2" xfId="384"/>
    <cellStyle name="Calculation 2 9" xfId="385"/>
    <cellStyle name="Calculation 2 9 2" xfId="386"/>
    <cellStyle name="Check Cell 2" xfId="45"/>
    <cellStyle name="Comma" xfId="1" builtinId="3"/>
    <cellStyle name="Comma 19" xfId="46"/>
    <cellStyle name="Comma 2" xfId="47"/>
    <cellStyle name="Comma 2 10" xfId="48"/>
    <cellStyle name="Comma 2 11" xfId="49"/>
    <cellStyle name="Comma 2 12" xfId="50"/>
    <cellStyle name="Comma 2 13" xfId="51"/>
    <cellStyle name="Comma 2 14" xfId="52"/>
    <cellStyle name="Comma 2 15" xfId="53"/>
    <cellStyle name="Comma 2 16" xfId="54"/>
    <cellStyle name="Comma 2 17" xfId="55"/>
    <cellStyle name="Comma 2 2" xfId="56"/>
    <cellStyle name="Comma 2 2 2" xfId="57"/>
    <cellStyle name="Comma 2 2 3" xfId="58"/>
    <cellStyle name="Comma 2 2 4" xfId="59"/>
    <cellStyle name="Comma 2 2 5" xfId="60"/>
    <cellStyle name="Comma 2 3" xfId="61"/>
    <cellStyle name="Comma 2 3 2" xfId="62"/>
    <cellStyle name="Comma 2 4" xfId="63"/>
    <cellStyle name="Comma 2 5" xfId="64"/>
    <cellStyle name="Comma 2 6" xfId="65"/>
    <cellStyle name="Comma 2 7" xfId="66"/>
    <cellStyle name="Comma 2 8" xfId="67"/>
    <cellStyle name="Comma 2 9" xfId="68"/>
    <cellStyle name="Comma 3" xfId="69"/>
    <cellStyle name="Comma 3 2" xfId="70"/>
    <cellStyle name="Comma 4" xfId="71"/>
    <cellStyle name="Comma 4 2" xfId="72"/>
    <cellStyle name="Comma 5" xfId="1263"/>
    <cellStyle name="Currency 2" xfId="4"/>
    <cellStyle name="Currency 2 2" xfId="73"/>
    <cellStyle name="Currency 2 3" xfId="74"/>
    <cellStyle name="Currency 3" xfId="75"/>
    <cellStyle name="Currency 4" xfId="76"/>
    <cellStyle name="Explanatory Text 2" xfId="77"/>
    <cellStyle name="Good 2" xfId="78"/>
    <cellStyle name="Heading 1 2" xfId="79"/>
    <cellStyle name="Heading 2 2" xfId="80"/>
    <cellStyle name="Heading 3 2" xfId="81"/>
    <cellStyle name="Heading 4 2" xfId="82"/>
    <cellStyle name="Hyperlink 2" xfId="83"/>
    <cellStyle name="Hyperlink 2 2" xfId="387"/>
    <cellStyle name="Hyperlink 2 3" xfId="388"/>
    <cellStyle name="Input 2" xfId="84"/>
    <cellStyle name="Input 2 10" xfId="389"/>
    <cellStyle name="Input 2 10 2" xfId="390"/>
    <cellStyle name="Input 2 11" xfId="391"/>
    <cellStyle name="Input 2 11 2" xfId="392"/>
    <cellStyle name="Input 2 12" xfId="393"/>
    <cellStyle name="Input 2 12 2" xfId="394"/>
    <cellStyle name="Input 2 13" xfId="395"/>
    <cellStyle name="Input 2 13 2" xfId="396"/>
    <cellStyle name="Input 2 14" xfId="397"/>
    <cellStyle name="Input 2 14 2" xfId="398"/>
    <cellStyle name="Input 2 15" xfId="399"/>
    <cellStyle name="Input 2 15 2" xfId="400"/>
    <cellStyle name="Input 2 16" xfId="401"/>
    <cellStyle name="Input 2 16 2" xfId="402"/>
    <cellStyle name="Input 2 17" xfId="403"/>
    <cellStyle name="Input 2 17 2" xfId="404"/>
    <cellStyle name="Input 2 18" xfId="405"/>
    <cellStyle name="Input 2 18 2" xfId="406"/>
    <cellStyle name="Input 2 19" xfId="407"/>
    <cellStyle name="Input 2 19 2" xfId="408"/>
    <cellStyle name="Input 2 2" xfId="85"/>
    <cellStyle name="Input 2 2 10" xfId="409"/>
    <cellStyle name="Input 2 2 10 2" xfId="410"/>
    <cellStyle name="Input 2 2 11" xfId="411"/>
    <cellStyle name="Input 2 2 11 2" xfId="412"/>
    <cellStyle name="Input 2 2 12" xfId="413"/>
    <cellStyle name="Input 2 2 12 2" xfId="414"/>
    <cellStyle name="Input 2 2 13" xfId="415"/>
    <cellStyle name="Input 2 2 13 2" xfId="416"/>
    <cellStyle name="Input 2 2 14" xfId="417"/>
    <cellStyle name="Input 2 2 14 2" xfId="418"/>
    <cellStyle name="Input 2 2 15" xfId="419"/>
    <cellStyle name="Input 2 2 15 2" xfId="420"/>
    <cellStyle name="Input 2 2 16" xfId="421"/>
    <cellStyle name="Input 2 2 16 2" xfId="422"/>
    <cellStyle name="Input 2 2 17" xfId="423"/>
    <cellStyle name="Input 2 2 17 2" xfId="424"/>
    <cellStyle name="Input 2 2 18" xfId="425"/>
    <cellStyle name="Input 2 2 18 2" xfId="426"/>
    <cellStyle name="Input 2 2 19" xfId="427"/>
    <cellStyle name="Input 2 2 19 2" xfId="428"/>
    <cellStyle name="Input 2 2 2" xfId="429"/>
    <cellStyle name="Input 2 2 2 2" xfId="430"/>
    <cellStyle name="Input 2 2 20" xfId="431"/>
    <cellStyle name="Input 2 2 20 2" xfId="432"/>
    <cellStyle name="Input 2 2 21" xfId="433"/>
    <cellStyle name="Input 2 2 21 2" xfId="434"/>
    <cellStyle name="Input 2 2 22" xfId="435"/>
    <cellStyle name="Input 2 2 22 2" xfId="436"/>
    <cellStyle name="Input 2 2 23" xfId="437"/>
    <cellStyle name="Input 2 2 23 2" xfId="438"/>
    <cellStyle name="Input 2 2 24" xfId="439"/>
    <cellStyle name="Input 2 2 24 2" xfId="440"/>
    <cellStyle name="Input 2 2 25" xfId="441"/>
    <cellStyle name="Input 2 2 25 2" xfId="442"/>
    <cellStyle name="Input 2 2 26" xfId="443"/>
    <cellStyle name="Input 2 2 26 2" xfId="444"/>
    <cellStyle name="Input 2 2 27" xfId="445"/>
    <cellStyle name="Input 2 2 27 2" xfId="446"/>
    <cellStyle name="Input 2 2 28" xfId="447"/>
    <cellStyle name="Input 2 2 28 2" xfId="448"/>
    <cellStyle name="Input 2 2 29" xfId="449"/>
    <cellStyle name="Input 2 2 29 2" xfId="450"/>
    <cellStyle name="Input 2 2 3" xfId="451"/>
    <cellStyle name="Input 2 2 3 2" xfId="452"/>
    <cellStyle name="Input 2 2 30" xfId="453"/>
    <cellStyle name="Input 2 2 30 2" xfId="454"/>
    <cellStyle name="Input 2 2 31" xfId="455"/>
    <cellStyle name="Input 2 2 31 2" xfId="456"/>
    <cellStyle name="Input 2 2 32" xfId="457"/>
    <cellStyle name="Input 2 2 32 2" xfId="458"/>
    <cellStyle name="Input 2 2 33" xfId="459"/>
    <cellStyle name="Input 2 2 33 2" xfId="460"/>
    <cellStyle name="Input 2 2 34" xfId="461"/>
    <cellStyle name="Input 2 2 34 2" xfId="462"/>
    <cellStyle name="Input 2 2 35" xfId="463"/>
    <cellStyle name="Input 2 2 35 2" xfId="464"/>
    <cellStyle name="Input 2 2 36" xfId="465"/>
    <cellStyle name="Input 2 2 36 2" xfId="466"/>
    <cellStyle name="Input 2 2 37" xfId="467"/>
    <cellStyle name="Input 2 2 37 2" xfId="468"/>
    <cellStyle name="Input 2 2 38" xfId="469"/>
    <cellStyle name="Input 2 2 38 2" xfId="470"/>
    <cellStyle name="Input 2 2 39" xfId="471"/>
    <cellStyle name="Input 2 2 39 2" xfId="472"/>
    <cellStyle name="Input 2 2 4" xfId="473"/>
    <cellStyle name="Input 2 2 4 2" xfId="474"/>
    <cellStyle name="Input 2 2 40" xfId="475"/>
    <cellStyle name="Input 2 2 40 2" xfId="476"/>
    <cellStyle name="Input 2 2 41" xfId="477"/>
    <cellStyle name="Input 2 2 41 2" xfId="478"/>
    <cellStyle name="Input 2 2 42" xfId="479"/>
    <cellStyle name="Input 2 2 42 2" xfId="480"/>
    <cellStyle name="Input 2 2 43" xfId="481"/>
    <cellStyle name="Input 2 2 43 2" xfId="482"/>
    <cellStyle name="Input 2 2 44" xfId="483"/>
    <cellStyle name="Input 2 2 44 2" xfId="484"/>
    <cellStyle name="Input 2 2 45" xfId="485"/>
    <cellStyle name="Input 2 2 45 2" xfId="486"/>
    <cellStyle name="Input 2 2 46" xfId="487"/>
    <cellStyle name="Input 2 2 46 2" xfId="488"/>
    <cellStyle name="Input 2 2 47" xfId="489"/>
    <cellStyle name="Input 2 2 47 2" xfId="490"/>
    <cellStyle name="Input 2 2 48" xfId="491"/>
    <cellStyle name="Input 2 2 48 2" xfId="492"/>
    <cellStyle name="Input 2 2 49" xfId="493"/>
    <cellStyle name="Input 2 2 49 2" xfId="494"/>
    <cellStyle name="Input 2 2 5" xfId="495"/>
    <cellStyle name="Input 2 2 5 2" xfId="496"/>
    <cellStyle name="Input 2 2 50" xfId="497"/>
    <cellStyle name="Input 2 2 50 2" xfId="498"/>
    <cellStyle name="Input 2 2 51" xfId="499"/>
    <cellStyle name="Input 2 2 51 2" xfId="500"/>
    <cellStyle name="Input 2 2 52" xfId="501"/>
    <cellStyle name="Input 2 2 52 2" xfId="502"/>
    <cellStyle name="Input 2 2 53" xfId="503"/>
    <cellStyle name="Input 2 2 54" xfId="504"/>
    <cellStyle name="Input 2 2 55" xfId="505"/>
    <cellStyle name="Input 2 2 56" xfId="506"/>
    <cellStyle name="Input 2 2 57" xfId="507"/>
    <cellStyle name="Input 2 2 58" xfId="1281"/>
    <cellStyle name="Input 2 2 59" xfId="1282"/>
    <cellStyle name="Input 2 2 6" xfId="508"/>
    <cellStyle name="Input 2 2 6 2" xfId="509"/>
    <cellStyle name="Input 2 2 60" xfId="1283"/>
    <cellStyle name="Input 2 2 61" xfId="1284"/>
    <cellStyle name="Input 2 2 7" xfId="510"/>
    <cellStyle name="Input 2 2 7 2" xfId="511"/>
    <cellStyle name="Input 2 2 8" xfId="512"/>
    <cellStyle name="Input 2 2 8 2" xfId="513"/>
    <cellStyle name="Input 2 2 9" xfId="514"/>
    <cellStyle name="Input 2 2 9 2" xfId="515"/>
    <cellStyle name="Input 2 20" xfId="516"/>
    <cellStyle name="Input 2 20 2" xfId="517"/>
    <cellStyle name="Input 2 21" xfId="518"/>
    <cellStyle name="Input 2 21 2" xfId="519"/>
    <cellStyle name="Input 2 22" xfId="520"/>
    <cellStyle name="Input 2 22 2" xfId="521"/>
    <cellStyle name="Input 2 23" xfId="522"/>
    <cellStyle name="Input 2 23 2" xfId="523"/>
    <cellStyle name="Input 2 24" xfId="524"/>
    <cellStyle name="Input 2 24 2" xfId="525"/>
    <cellStyle name="Input 2 25" xfId="526"/>
    <cellStyle name="Input 2 25 2" xfId="527"/>
    <cellStyle name="Input 2 26" xfId="528"/>
    <cellStyle name="Input 2 26 2" xfId="529"/>
    <cellStyle name="Input 2 27" xfId="530"/>
    <cellStyle name="Input 2 27 2" xfId="531"/>
    <cellStyle name="Input 2 28" xfId="532"/>
    <cellStyle name="Input 2 28 2" xfId="533"/>
    <cellStyle name="Input 2 29" xfId="534"/>
    <cellStyle name="Input 2 29 2" xfId="535"/>
    <cellStyle name="Input 2 3" xfId="536"/>
    <cellStyle name="Input 2 3 2" xfId="537"/>
    <cellStyle name="Input 2 3 3" xfId="1285"/>
    <cellStyle name="Input 2 3 4" xfId="1286"/>
    <cellStyle name="Input 2 3 5" xfId="1287"/>
    <cellStyle name="Input 2 3 6" xfId="1288"/>
    <cellStyle name="Input 2 30" xfId="538"/>
    <cellStyle name="Input 2 30 2" xfId="539"/>
    <cellStyle name="Input 2 31" xfId="540"/>
    <cellStyle name="Input 2 31 2" xfId="541"/>
    <cellStyle name="Input 2 32" xfId="542"/>
    <cellStyle name="Input 2 32 2" xfId="543"/>
    <cellStyle name="Input 2 33" xfId="544"/>
    <cellStyle name="Input 2 33 2" xfId="545"/>
    <cellStyle name="Input 2 34" xfId="546"/>
    <cellStyle name="Input 2 34 2" xfId="547"/>
    <cellStyle name="Input 2 35" xfId="548"/>
    <cellStyle name="Input 2 35 2" xfId="549"/>
    <cellStyle name="Input 2 36" xfId="550"/>
    <cellStyle name="Input 2 36 2" xfId="551"/>
    <cellStyle name="Input 2 37" xfId="552"/>
    <cellStyle name="Input 2 37 2" xfId="553"/>
    <cellStyle name="Input 2 38" xfId="554"/>
    <cellStyle name="Input 2 38 2" xfId="555"/>
    <cellStyle name="Input 2 39" xfId="556"/>
    <cellStyle name="Input 2 39 2" xfId="557"/>
    <cellStyle name="Input 2 4" xfId="558"/>
    <cellStyle name="Input 2 4 2" xfId="559"/>
    <cellStyle name="Input 2 4 3" xfId="1289"/>
    <cellStyle name="Input 2 4 4" xfId="1290"/>
    <cellStyle name="Input 2 4 5" xfId="1291"/>
    <cellStyle name="Input 2 4 6" xfId="1292"/>
    <cellStyle name="Input 2 40" xfId="560"/>
    <cellStyle name="Input 2 40 2" xfId="561"/>
    <cellStyle name="Input 2 41" xfId="562"/>
    <cellStyle name="Input 2 41 2" xfId="563"/>
    <cellStyle name="Input 2 42" xfId="564"/>
    <cellStyle name="Input 2 42 2" xfId="565"/>
    <cellStyle name="Input 2 43" xfId="566"/>
    <cellStyle name="Input 2 43 2" xfId="567"/>
    <cellStyle name="Input 2 44" xfId="568"/>
    <cellStyle name="Input 2 44 2" xfId="569"/>
    <cellStyle name="Input 2 45" xfId="570"/>
    <cellStyle name="Input 2 45 2" xfId="571"/>
    <cellStyle name="Input 2 46" xfId="572"/>
    <cellStyle name="Input 2 46 2" xfId="573"/>
    <cellStyle name="Input 2 47" xfId="574"/>
    <cellStyle name="Input 2 47 2" xfId="575"/>
    <cellStyle name="Input 2 48" xfId="576"/>
    <cellStyle name="Input 2 48 2" xfId="577"/>
    <cellStyle name="Input 2 49" xfId="578"/>
    <cellStyle name="Input 2 49 2" xfId="579"/>
    <cellStyle name="Input 2 5" xfId="580"/>
    <cellStyle name="Input 2 5 2" xfId="581"/>
    <cellStyle name="Input 2 5 3" xfId="1293"/>
    <cellStyle name="Input 2 5 4" xfId="1294"/>
    <cellStyle name="Input 2 5 5" xfId="1295"/>
    <cellStyle name="Input 2 5 6" xfId="1296"/>
    <cellStyle name="Input 2 50" xfId="582"/>
    <cellStyle name="Input 2 50 2" xfId="583"/>
    <cellStyle name="Input 2 51" xfId="584"/>
    <cellStyle name="Input 2 51 2" xfId="585"/>
    <cellStyle name="Input 2 52" xfId="586"/>
    <cellStyle name="Input 2 52 2" xfId="587"/>
    <cellStyle name="Input 2 53" xfId="588"/>
    <cellStyle name="Input 2 53 2" xfId="589"/>
    <cellStyle name="Input 2 54" xfId="590"/>
    <cellStyle name="Input 2 55" xfId="591"/>
    <cellStyle name="Input 2 56" xfId="592"/>
    <cellStyle name="Input 2 57" xfId="593"/>
    <cellStyle name="Input 2 58" xfId="594"/>
    <cellStyle name="Input 2 6" xfId="595"/>
    <cellStyle name="Input 2 6 2" xfId="596"/>
    <cellStyle name="Input 2 7" xfId="597"/>
    <cellStyle name="Input 2 7 2" xfId="598"/>
    <cellStyle name="Input 2 8" xfId="599"/>
    <cellStyle name="Input 2 8 2" xfId="600"/>
    <cellStyle name="Input 2 9" xfId="601"/>
    <cellStyle name="Input 2 9 2" xfId="602"/>
    <cellStyle name="Linked Cell 2" xfId="86"/>
    <cellStyle name="Neutral 2" xfId="87"/>
    <cellStyle name="Normal" xfId="0" builtinId="0"/>
    <cellStyle name="Normal 10" xfId="88"/>
    <cellStyle name="Normal 11" xfId="89"/>
    <cellStyle name="Normal 2" xfId="2"/>
    <cellStyle name="Normal 2 10" xfId="90"/>
    <cellStyle name="Normal 2 10 2" xfId="91"/>
    <cellStyle name="Normal 2 11" xfId="92"/>
    <cellStyle name="Normal 2 11 2" xfId="93"/>
    <cellStyle name="Normal 2 12" xfId="94"/>
    <cellStyle name="Normal 2 12 2" xfId="95"/>
    <cellStyle name="Normal 2 12 3" xfId="96"/>
    <cellStyle name="Normal 2 12 4" xfId="97"/>
    <cellStyle name="Normal 2 12 5" xfId="98"/>
    <cellStyle name="Normal 2 12 6" xfId="99"/>
    <cellStyle name="Normal 2 12 7" xfId="100"/>
    <cellStyle name="Normal 2 12 8" xfId="101"/>
    <cellStyle name="Normal 2 13" xfId="102"/>
    <cellStyle name="Normal 2 13 2" xfId="103"/>
    <cellStyle name="Normal 2 14" xfId="104"/>
    <cellStyle name="Normal 2 14 2" xfId="105"/>
    <cellStyle name="Normal 2 15" xfId="106"/>
    <cellStyle name="Normal 2 15 2" xfId="107"/>
    <cellStyle name="Normal 2 16" xfId="108"/>
    <cellStyle name="Normal 2 17" xfId="109"/>
    <cellStyle name="Normal 2 18" xfId="110"/>
    <cellStyle name="Normal 2 2" xfId="111"/>
    <cellStyle name="Normal 2 2 10" xfId="112"/>
    <cellStyle name="Normal 2 2 11" xfId="172"/>
    <cellStyle name="Normal 2 2 12" xfId="603"/>
    <cellStyle name="Normal 2 2 2" xfId="113"/>
    <cellStyle name="Normal 2 2 2 2" xfId="114"/>
    <cellStyle name="Normal 2 2 2 3" xfId="115"/>
    <cellStyle name="Normal 2 2 2 4" xfId="116"/>
    <cellStyle name="Normal 2 2 2 5" xfId="117"/>
    <cellStyle name="Normal 2 2 2 6" xfId="118"/>
    <cellStyle name="Normal 2 2 2 7" xfId="119"/>
    <cellStyle name="Normal 2 2 3" xfId="120"/>
    <cellStyle name="Normal 2 2 4" xfId="121"/>
    <cellStyle name="Normal 2 2 5" xfId="122"/>
    <cellStyle name="Normal 2 2 6" xfId="123"/>
    <cellStyle name="Normal 2 2 7" xfId="124"/>
    <cellStyle name="Normal 2 2 8" xfId="125"/>
    <cellStyle name="Normal 2 2 9" xfId="126"/>
    <cellStyle name="Normal 2 3" xfId="127"/>
    <cellStyle name="Normal 2 3 2" xfId="128"/>
    <cellStyle name="Normal 2 3 3" xfId="129"/>
    <cellStyle name="Normal 2 3 4" xfId="604"/>
    <cellStyle name="Normal 2 4" xfId="130"/>
    <cellStyle name="Normal 2 4 2" xfId="131"/>
    <cellStyle name="Normal 2 4 3" xfId="132"/>
    <cellStyle name="Normal 2 4 4" xfId="605"/>
    <cellStyle name="Normal 2 4 5" xfId="606"/>
    <cellStyle name="Normal 2 5" xfId="133"/>
    <cellStyle name="Normal 2 5 2" xfId="134"/>
    <cellStyle name="Normal 2 5 3" xfId="135"/>
    <cellStyle name="Normal 2 6" xfId="136"/>
    <cellStyle name="Normal 2 6 2" xfId="137"/>
    <cellStyle name="Normal 2 7" xfId="138"/>
    <cellStyle name="Normal 2 7 2" xfId="139"/>
    <cellStyle name="Normal 2 8" xfId="140"/>
    <cellStyle name="Normal 2 8 2" xfId="141"/>
    <cellStyle name="Normal 2 9" xfId="142"/>
    <cellStyle name="Normal 2 9 2" xfId="143"/>
    <cellStyle name="Normal 3" xfId="144"/>
    <cellStyle name="Normal 3 2" xfId="145"/>
    <cellStyle name="Normal 3 2 2" xfId="146"/>
    <cellStyle name="Normal 3 2 3" xfId="607"/>
    <cellStyle name="Normal 3 2 4" xfId="608"/>
    <cellStyle name="Normal 3 3" xfId="147"/>
    <cellStyle name="Normal 3 4" xfId="609"/>
    <cellStyle name="Normal 3 5" xfId="610"/>
    <cellStyle name="Normal 4" xfId="148"/>
    <cellStyle name="Normal 4 2" xfId="149"/>
    <cellStyle name="Normal 4 3" xfId="150"/>
    <cellStyle name="Normal 4 4" xfId="611"/>
    <cellStyle name="Normal 5" xfId="151"/>
    <cellStyle name="Normal 5 2" xfId="152"/>
    <cellStyle name="Normal 6" xfId="153"/>
    <cellStyle name="Normal 6 2" xfId="154"/>
    <cellStyle name="Normal 7" xfId="155"/>
    <cellStyle name="Normal 7 2" xfId="156"/>
    <cellStyle name="Normal 8" xfId="157"/>
    <cellStyle name="Normal 8 2" xfId="158"/>
    <cellStyle name="Normal 9" xfId="159"/>
    <cellStyle name="Normal 9 2" xfId="1264"/>
    <cellStyle name="Normal_2006-07 GASB Draft" xfId="3"/>
    <cellStyle name="Normal_SNP" xfId="5"/>
    <cellStyle name="Note 2" xfId="160"/>
    <cellStyle name="Note 2 2" xfId="161"/>
    <cellStyle name="Note 2 3" xfId="162"/>
    <cellStyle name="Note 2 3 10" xfId="612"/>
    <cellStyle name="Note 2 3 10 2" xfId="613"/>
    <cellStyle name="Note 2 3 11" xfId="614"/>
    <cellStyle name="Note 2 3 11 2" xfId="615"/>
    <cellStyle name="Note 2 3 12" xfId="616"/>
    <cellStyle name="Note 2 3 12 2" xfId="617"/>
    <cellStyle name="Note 2 3 13" xfId="618"/>
    <cellStyle name="Note 2 3 13 2" xfId="619"/>
    <cellStyle name="Note 2 3 14" xfId="620"/>
    <cellStyle name="Note 2 3 14 2" xfId="621"/>
    <cellStyle name="Note 2 3 15" xfId="622"/>
    <cellStyle name="Note 2 3 15 2" xfId="623"/>
    <cellStyle name="Note 2 3 16" xfId="624"/>
    <cellStyle name="Note 2 3 16 2" xfId="625"/>
    <cellStyle name="Note 2 3 17" xfId="626"/>
    <cellStyle name="Note 2 3 17 2" xfId="627"/>
    <cellStyle name="Note 2 3 18" xfId="628"/>
    <cellStyle name="Note 2 3 18 2" xfId="629"/>
    <cellStyle name="Note 2 3 19" xfId="630"/>
    <cellStyle name="Note 2 3 19 2" xfId="631"/>
    <cellStyle name="Note 2 3 2" xfId="632"/>
    <cellStyle name="Note 2 3 2 2" xfId="633"/>
    <cellStyle name="Note 2 3 20" xfId="634"/>
    <cellStyle name="Note 2 3 20 2" xfId="635"/>
    <cellStyle name="Note 2 3 21" xfId="636"/>
    <cellStyle name="Note 2 3 21 2" xfId="637"/>
    <cellStyle name="Note 2 3 22" xfId="638"/>
    <cellStyle name="Note 2 3 22 2" xfId="639"/>
    <cellStyle name="Note 2 3 23" xfId="640"/>
    <cellStyle name="Note 2 3 23 2" xfId="641"/>
    <cellStyle name="Note 2 3 24" xfId="642"/>
    <cellStyle name="Note 2 3 24 2" xfId="643"/>
    <cellStyle name="Note 2 3 25" xfId="644"/>
    <cellStyle name="Note 2 3 25 2" xfId="645"/>
    <cellStyle name="Note 2 3 26" xfId="646"/>
    <cellStyle name="Note 2 3 26 2" xfId="647"/>
    <cellStyle name="Note 2 3 27" xfId="648"/>
    <cellStyle name="Note 2 3 27 2" xfId="649"/>
    <cellStyle name="Note 2 3 28" xfId="650"/>
    <cellStyle name="Note 2 3 28 2" xfId="651"/>
    <cellStyle name="Note 2 3 29" xfId="652"/>
    <cellStyle name="Note 2 3 29 2" xfId="653"/>
    <cellStyle name="Note 2 3 3" xfId="654"/>
    <cellStyle name="Note 2 3 3 2" xfId="655"/>
    <cellStyle name="Note 2 3 30" xfId="656"/>
    <cellStyle name="Note 2 3 30 2" xfId="657"/>
    <cellStyle name="Note 2 3 31" xfId="658"/>
    <cellStyle name="Note 2 3 31 2" xfId="659"/>
    <cellStyle name="Note 2 3 32" xfId="660"/>
    <cellStyle name="Note 2 3 32 2" xfId="661"/>
    <cellStyle name="Note 2 3 33" xfId="662"/>
    <cellStyle name="Note 2 3 33 2" xfId="663"/>
    <cellStyle name="Note 2 3 34" xfId="664"/>
    <cellStyle name="Note 2 3 34 2" xfId="665"/>
    <cellStyle name="Note 2 3 35" xfId="666"/>
    <cellStyle name="Note 2 3 35 2" xfId="667"/>
    <cellStyle name="Note 2 3 36" xfId="668"/>
    <cellStyle name="Note 2 3 36 2" xfId="669"/>
    <cellStyle name="Note 2 3 37" xfId="670"/>
    <cellStyle name="Note 2 3 37 2" xfId="671"/>
    <cellStyle name="Note 2 3 38" xfId="672"/>
    <cellStyle name="Note 2 3 38 2" xfId="673"/>
    <cellStyle name="Note 2 3 39" xfId="674"/>
    <cellStyle name="Note 2 3 39 2" xfId="675"/>
    <cellStyle name="Note 2 3 4" xfId="676"/>
    <cellStyle name="Note 2 3 4 2" xfId="677"/>
    <cellStyle name="Note 2 3 40" xfId="678"/>
    <cellStyle name="Note 2 3 40 2" xfId="679"/>
    <cellStyle name="Note 2 3 41" xfId="680"/>
    <cellStyle name="Note 2 3 41 2" xfId="681"/>
    <cellStyle name="Note 2 3 42" xfId="682"/>
    <cellStyle name="Note 2 3 42 2" xfId="683"/>
    <cellStyle name="Note 2 3 43" xfId="684"/>
    <cellStyle name="Note 2 3 43 2" xfId="685"/>
    <cellStyle name="Note 2 3 44" xfId="686"/>
    <cellStyle name="Note 2 3 44 2" xfId="687"/>
    <cellStyle name="Note 2 3 45" xfId="688"/>
    <cellStyle name="Note 2 3 45 2" xfId="689"/>
    <cellStyle name="Note 2 3 46" xfId="690"/>
    <cellStyle name="Note 2 3 46 2" xfId="691"/>
    <cellStyle name="Note 2 3 47" xfId="692"/>
    <cellStyle name="Note 2 3 47 2" xfId="693"/>
    <cellStyle name="Note 2 3 48" xfId="694"/>
    <cellStyle name="Note 2 3 48 2" xfId="695"/>
    <cellStyle name="Note 2 3 49" xfId="696"/>
    <cellStyle name="Note 2 3 49 2" xfId="697"/>
    <cellStyle name="Note 2 3 5" xfId="698"/>
    <cellStyle name="Note 2 3 5 2" xfId="699"/>
    <cellStyle name="Note 2 3 50" xfId="700"/>
    <cellStyle name="Note 2 3 50 2" xfId="701"/>
    <cellStyle name="Note 2 3 51" xfId="702"/>
    <cellStyle name="Note 2 3 51 2" xfId="703"/>
    <cellStyle name="Note 2 3 52" xfId="704"/>
    <cellStyle name="Note 2 3 52 2" xfId="705"/>
    <cellStyle name="Note 2 3 53" xfId="706"/>
    <cellStyle name="Note 2 3 54" xfId="707"/>
    <cellStyle name="Note 2 3 55" xfId="708"/>
    <cellStyle name="Note 2 3 56" xfId="709"/>
    <cellStyle name="Note 2 3 57" xfId="710"/>
    <cellStyle name="Note 2 3 58" xfId="1297"/>
    <cellStyle name="Note 2 3 59" xfId="1298"/>
    <cellStyle name="Note 2 3 6" xfId="711"/>
    <cellStyle name="Note 2 3 6 2" xfId="712"/>
    <cellStyle name="Note 2 3 60" xfId="1299"/>
    <cellStyle name="Note 2 3 61" xfId="1300"/>
    <cellStyle name="Note 2 3 7" xfId="713"/>
    <cellStyle name="Note 2 3 7 2" xfId="714"/>
    <cellStyle name="Note 2 3 8" xfId="715"/>
    <cellStyle name="Note 2 3 8 2" xfId="716"/>
    <cellStyle name="Note 2 3 9" xfId="717"/>
    <cellStyle name="Note 2 3 9 2" xfId="718"/>
    <cellStyle name="Note 2 4" xfId="163"/>
    <cellStyle name="Note 2 4 10" xfId="719"/>
    <cellStyle name="Note 2 4 10 2" xfId="720"/>
    <cellStyle name="Note 2 4 11" xfId="721"/>
    <cellStyle name="Note 2 4 11 2" xfId="722"/>
    <cellStyle name="Note 2 4 12" xfId="723"/>
    <cellStyle name="Note 2 4 12 2" xfId="724"/>
    <cellStyle name="Note 2 4 13" xfId="725"/>
    <cellStyle name="Note 2 4 13 2" xfId="726"/>
    <cellStyle name="Note 2 4 14" xfId="727"/>
    <cellStyle name="Note 2 4 14 2" xfId="728"/>
    <cellStyle name="Note 2 4 15" xfId="729"/>
    <cellStyle name="Note 2 4 15 2" xfId="730"/>
    <cellStyle name="Note 2 4 16" xfId="731"/>
    <cellStyle name="Note 2 4 16 2" xfId="732"/>
    <cellStyle name="Note 2 4 17" xfId="733"/>
    <cellStyle name="Note 2 4 17 2" xfId="734"/>
    <cellStyle name="Note 2 4 18" xfId="735"/>
    <cellStyle name="Note 2 4 18 2" xfId="736"/>
    <cellStyle name="Note 2 4 19" xfId="737"/>
    <cellStyle name="Note 2 4 19 2" xfId="738"/>
    <cellStyle name="Note 2 4 2" xfId="739"/>
    <cellStyle name="Note 2 4 2 2" xfId="740"/>
    <cellStyle name="Note 2 4 20" xfId="741"/>
    <cellStyle name="Note 2 4 20 2" xfId="742"/>
    <cellStyle name="Note 2 4 21" xfId="743"/>
    <cellStyle name="Note 2 4 21 2" xfId="744"/>
    <cellStyle name="Note 2 4 22" xfId="745"/>
    <cellStyle name="Note 2 4 22 2" xfId="746"/>
    <cellStyle name="Note 2 4 23" xfId="747"/>
    <cellStyle name="Note 2 4 23 2" xfId="748"/>
    <cellStyle name="Note 2 4 24" xfId="749"/>
    <cellStyle name="Note 2 4 24 2" xfId="750"/>
    <cellStyle name="Note 2 4 25" xfId="751"/>
    <cellStyle name="Note 2 4 25 2" xfId="752"/>
    <cellStyle name="Note 2 4 26" xfId="753"/>
    <cellStyle name="Note 2 4 26 2" xfId="754"/>
    <cellStyle name="Note 2 4 27" xfId="755"/>
    <cellStyle name="Note 2 4 27 2" xfId="756"/>
    <cellStyle name="Note 2 4 28" xfId="757"/>
    <cellStyle name="Note 2 4 28 2" xfId="758"/>
    <cellStyle name="Note 2 4 29" xfId="759"/>
    <cellStyle name="Note 2 4 29 2" xfId="760"/>
    <cellStyle name="Note 2 4 3" xfId="761"/>
    <cellStyle name="Note 2 4 3 2" xfId="762"/>
    <cellStyle name="Note 2 4 30" xfId="763"/>
    <cellStyle name="Note 2 4 30 2" xfId="764"/>
    <cellStyle name="Note 2 4 31" xfId="765"/>
    <cellStyle name="Note 2 4 31 2" xfId="766"/>
    <cellStyle name="Note 2 4 32" xfId="767"/>
    <cellStyle name="Note 2 4 32 2" xfId="768"/>
    <cellStyle name="Note 2 4 33" xfId="769"/>
    <cellStyle name="Note 2 4 33 2" xfId="770"/>
    <cellStyle name="Note 2 4 34" xfId="771"/>
    <cellStyle name="Note 2 4 34 2" xfId="772"/>
    <cellStyle name="Note 2 4 35" xfId="773"/>
    <cellStyle name="Note 2 4 35 2" xfId="774"/>
    <cellStyle name="Note 2 4 36" xfId="775"/>
    <cellStyle name="Note 2 4 36 2" xfId="776"/>
    <cellStyle name="Note 2 4 37" xfId="777"/>
    <cellStyle name="Note 2 4 37 2" xfId="778"/>
    <cellStyle name="Note 2 4 38" xfId="779"/>
    <cellStyle name="Note 2 4 38 2" xfId="780"/>
    <cellStyle name="Note 2 4 39" xfId="781"/>
    <cellStyle name="Note 2 4 39 2" xfId="782"/>
    <cellStyle name="Note 2 4 4" xfId="783"/>
    <cellStyle name="Note 2 4 4 2" xfId="784"/>
    <cellStyle name="Note 2 4 40" xfId="785"/>
    <cellStyle name="Note 2 4 40 2" xfId="786"/>
    <cellStyle name="Note 2 4 41" xfId="787"/>
    <cellStyle name="Note 2 4 41 2" xfId="788"/>
    <cellStyle name="Note 2 4 42" xfId="789"/>
    <cellStyle name="Note 2 4 42 2" xfId="790"/>
    <cellStyle name="Note 2 4 43" xfId="791"/>
    <cellStyle name="Note 2 4 43 2" xfId="792"/>
    <cellStyle name="Note 2 4 44" xfId="793"/>
    <cellStyle name="Note 2 4 44 2" xfId="794"/>
    <cellStyle name="Note 2 4 45" xfId="795"/>
    <cellStyle name="Note 2 4 45 2" xfId="796"/>
    <cellStyle name="Note 2 4 46" xfId="797"/>
    <cellStyle name="Note 2 4 46 2" xfId="798"/>
    <cellStyle name="Note 2 4 47" xfId="799"/>
    <cellStyle name="Note 2 4 47 2" xfId="800"/>
    <cellStyle name="Note 2 4 48" xfId="801"/>
    <cellStyle name="Note 2 4 48 2" xfId="802"/>
    <cellStyle name="Note 2 4 49" xfId="803"/>
    <cellStyle name="Note 2 4 49 2" xfId="804"/>
    <cellStyle name="Note 2 4 5" xfId="805"/>
    <cellStyle name="Note 2 4 5 2" xfId="806"/>
    <cellStyle name="Note 2 4 50" xfId="807"/>
    <cellStyle name="Note 2 4 50 2" xfId="808"/>
    <cellStyle name="Note 2 4 51" xfId="809"/>
    <cellStyle name="Note 2 4 51 2" xfId="810"/>
    <cellStyle name="Note 2 4 52" xfId="811"/>
    <cellStyle name="Note 2 4 52 2" xfId="812"/>
    <cellStyle name="Note 2 4 53" xfId="813"/>
    <cellStyle name="Note 2 4 54" xfId="814"/>
    <cellStyle name="Note 2 4 55" xfId="815"/>
    <cellStyle name="Note 2 4 56" xfId="816"/>
    <cellStyle name="Note 2 4 57" xfId="817"/>
    <cellStyle name="Note 2 4 58" xfId="1301"/>
    <cellStyle name="Note 2 4 59" xfId="1302"/>
    <cellStyle name="Note 2 4 6" xfId="818"/>
    <cellStyle name="Note 2 4 6 2" xfId="819"/>
    <cellStyle name="Note 2 4 60" xfId="1303"/>
    <cellStyle name="Note 2 4 61" xfId="1304"/>
    <cellStyle name="Note 2 4 7" xfId="820"/>
    <cellStyle name="Note 2 4 7 2" xfId="821"/>
    <cellStyle name="Note 2 4 8" xfId="822"/>
    <cellStyle name="Note 2 4 8 2" xfId="823"/>
    <cellStyle name="Note 2 4 9" xfId="824"/>
    <cellStyle name="Note 2 4 9 2" xfId="825"/>
    <cellStyle name="Note 2 5" xfId="826"/>
    <cellStyle name="Note 2 5 2" xfId="827"/>
    <cellStyle name="Note 2 5 3" xfId="1305"/>
    <cellStyle name="Note 2 5 4" xfId="1306"/>
    <cellStyle name="Note 2 5 5" xfId="1307"/>
    <cellStyle name="Note 2 5 6" xfId="1308"/>
    <cellStyle name="Note 2 6" xfId="828"/>
    <cellStyle name="Note 2 6 2" xfId="829"/>
    <cellStyle name="Note 2 6 3" xfId="1309"/>
    <cellStyle name="Note 2 6 4" xfId="1310"/>
    <cellStyle name="Note 2 6 5" xfId="1311"/>
    <cellStyle name="Note 2 6 6" xfId="1312"/>
    <cellStyle name="Note 2 7" xfId="830"/>
    <cellStyle name="Note 2 7 2" xfId="831"/>
    <cellStyle name="Note 2 7 3" xfId="1313"/>
    <cellStyle name="Note 2 7 4" xfId="1314"/>
    <cellStyle name="Note 2 7 5" xfId="1315"/>
    <cellStyle name="Note 2 7 6" xfId="1316"/>
    <cellStyle name="Note 2 8" xfId="832"/>
    <cellStyle name="Note 3" xfId="164"/>
    <cellStyle name="Output 2" xfId="165"/>
    <cellStyle name="Output 2 10" xfId="833"/>
    <cellStyle name="Output 2 10 2" xfId="834"/>
    <cellStyle name="Output 2 11" xfId="835"/>
    <cellStyle name="Output 2 11 2" xfId="836"/>
    <cellStyle name="Output 2 12" xfId="837"/>
    <cellStyle name="Output 2 12 2" xfId="838"/>
    <cellStyle name="Output 2 13" xfId="839"/>
    <cellStyle name="Output 2 13 2" xfId="840"/>
    <cellStyle name="Output 2 14" xfId="841"/>
    <cellStyle name="Output 2 14 2" xfId="842"/>
    <cellStyle name="Output 2 15" xfId="843"/>
    <cellStyle name="Output 2 15 2" xfId="844"/>
    <cellStyle name="Output 2 16" xfId="845"/>
    <cellStyle name="Output 2 16 2" xfId="846"/>
    <cellStyle name="Output 2 17" xfId="847"/>
    <cellStyle name="Output 2 17 2" xfId="848"/>
    <cellStyle name="Output 2 18" xfId="849"/>
    <cellStyle name="Output 2 18 2" xfId="850"/>
    <cellStyle name="Output 2 19" xfId="851"/>
    <cellStyle name="Output 2 19 2" xfId="852"/>
    <cellStyle name="Output 2 2" xfId="166"/>
    <cellStyle name="Output 2 2 10" xfId="853"/>
    <cellStyle name="Output 2 2 10 2" xfId="854"/>
    <cellStyle name="Output 2 2 11" xfId="855"/>
    <cellStyle name="Output 2 2 11 2" xfId="856"/>
    <cellStyle name="Output 2 2 12" xfId="857"/>
    <cellStyle name="Output 2 2 12 2" xfId="858"/>
    <cellStyle name="Output 2 2 13" xfId="859"/>
    <cellStyle name="Output 2 2 13 2" xfId="860"/>
    <cellStyle name="Output 2 2 14" xfId="861"/>
    <cellStyle name="Output 2 2 14 2" xfId="862"/>
    <cellStyle name="Output 2 2 15" xfId="863"/>
    <cellStyle name="Output 2 2 15 2" xfId="864"/>
    <cellStyle name="Output 2 2 16" xfId="865"/>
    <cellStyle name="Output 2 2 16 2" xfId="866"/>
    <cellStyle name="Output 2 2 17" xfId="867"/>
    <cellStyle name="Output 2 2 17 2" xfId="868"/>
    <cellStyle name="Output 2 2 18" xfId="869"/>
    <cellStyle name="Output 2 2 18 2" xfId="870"/>
    <cellStyle name="Output 2 2 19" xfId="871"/>
    <cellStyle name="Output 2 2 19 2" xfId="872"/>
    <cellStyle name="Output 2 2 2" xfId="873"/>
    <cellStyle name="Output 2 2 2 2" xfId="874"/>
    <cellStyle name="Output 2 2 20" xfId="875"/>
    <cellStyle name="Output 2 2 20 2" xfId="876"/>
    <cellStyle name="Output 2 2 21" xfId="877"/>
    <cellStyle name="Output 2 2 21 2" xfId="878"/>
    <cellStyle name="Output 2 2 22" xfId="879"/>
    <cellStyle name="Output 2 2 22 2" xfId="880"/>
    <cellStyle name="Output 2 2 23" xfId="881"/>
    <cellStyle name="Output 2 2 23 2" xfId="882"/>
    <cellStyle name="Output 2 2 24" xfId="883"/>
    <cellStyle name="Output 2 2 24 2" xfId="884"/>
    <cellStyle name="Output 2 2 25" xfId="885"/>
    <cellStyle name="Output 2 2 25 2" xfId="886"/>
    <cellStyle name="Output 2 2 26" xfId="887"/>
    <cellStyle name="Output 2 2 26 2" xfId="888"/>
    <cellStyle name="Output 2 2 27" xfId="889"/>
    <cellStyle name="Output 2 2 27 2" xfId="890"/>
    <cellStyle name="Output 2 2 28" xfId="891"/>
    <cellStyle name="Output 2 2 28 2" xfId="892"/>
    <cellStyle name="Output 2 2 29" xfId="893"/>
    <cellStyle name="Output 2 2 29 2" xfId="894"/>
    <cellStyle name="Output 2 2 3" xfId="895"/>
    <cellStyle name="Output 2 2 3 2" xfId="896"/>
    <cellStyle name="Output 2 2 30" xfId="897"/>
    <cellStyle name="Output 2 2 30 2" xfId="898"/>
    <cellStyle name="Output 2 2 31" xfId="899"/>
    <cellStyle name="Output 2 2 31 2" xfId="900"/>
    <cellStyle name="Output 2 2 32" xfId="901"/>
    <cellStyle name="Output 2 2 32 2" xfId="902"/>
    <cellStyle name="Output 2 2 33" xfId="903"/>
    <cellStyle name="Output 2 2 33 2" xfId="904"/>
    <cellStyle name="Output 2 2 34" xfId="905"/>
    <cellStyle name="Output 2 2 34 2" xfId="906"/>
    <cellStyle name="Output 2 2 35" xfId="907"/>
    <cellStyle name="Output 2 2 35 2" xfId="908"/>
    <cellStyle name="Output 2 2 36" xfId="909"/>
    <cellStyle name="Output 2 2 36 2" xfId="910"/>
    <cellStyle name="Output 2 2 37" xfId="911"/>
    <cellStyle name="Output 2 2 37 2" xfId="912"/>
    <cellStyle name="Output 2 2 38" xfId="913"/>
    <cellStyle name="Output 2 2 38 2" xfId="914"/>
    <cellStyle name="Output 2 2 39" xfId="915"/>
    <cellStyle name="Output 2 2 39 2" xfId="916"/>
    <cellStyle name="Output 2 2 4" xfId="917"/>
    <cellStyle name="Output 2 2 4 2" xfId="918"/>
    <cellStyle name="Output 2 2 40" xfId="919"/>
    <cellStyle name="Output 2 2 40 2" xfId="920"/>
    <cellStyle name="Output 2 2 41" xfId="921"/>
    <cellStyle name="Output 2 2 41 2" xfId="922"/>
    <cellStyle name="Output 2 2 42" xfId="923"/>
    <cellStyle name="Output 2 2 42 2" xfId="924"/>
    <cellStyle name="Output 2 2 43" xfId="925"/>
    <cellStyle name="Output 2 2 43 2" xfId="926"/>
    <cellStyle name="Output 2 2 44" xfId="927"/>
    <cellStyle name="Output 2 2 44 2" xfId="928"/>
    <cellStyle name="Output 2 2 45" xfId="929"/>
    <cellStyle name="Output 2 2 45 2" xfId="930"/>
    <cellStyle name="Output 2 2 46" xfId="931"/>
    <cellStyle name="Output 2 2 46 2" xfId="932"/>
    <cellStyle name="Output 2 2 47" xfId="933"/>
    <cellStyle name="Output 2 2 47 2" xfId="934"/>
    <cellStyle name="Output 2 2 48" xfId="935"/>
    <cellStyle name="Output 2 2 48 2" xfId="936"/>
    <cellStyle name="Output 2 2 49" xfId="937"/>
    <cellStyle name="Output 2 2 49 2" xfId="938"/>
    <cellStyle name="Output 2 2 5" xfId="939"/>
    <cellStyle name="Output 2 2 5 2" xfId="940"/>
    <cellStyle name="Output 2 2 50" xfId="941"/>
    <cellStyle name="Output 2 2 50 2" xfId="942"/>
    <cellStyle name="Output 2 2 51" xfId="943"/>
    <cellStyle name="Output 2 2 51 2" xfId="944"/>
    <cellStyle name="Output 2 2 52" xfId="945"/>
    <cellStyle name="Output 2 2 52 2" xfId="946"/>
    <cellStyle name="Output 2 2 53" xfId="947"/>
    <cellStyle name="Output 2 2 54" xfId="948"/>
    <cellStyle name="Output 2 2 55" xfId="949"/>
    <cellStyle name="Output 2 2 56" xfId="950"/>
    <cellStyle name="Output 2 2 57" xfId="951"/>
    <cellStyle name="Output 2 2 58" xfId="1317"/>
    <cellStyle name="Output 2 2 59" xfId="1318"/>
    <cellStyle name="Output 2 2 6" xfId="952"/>
    <cellStyle name="Output 2 2 6 2" xfId="953"/>
    <cellStyle name="Output 2 2 60" xfId="1319"/>
    <cellStyle name="Output 2 2 61" xfId="1320"/>
    <cellStyle name="Output 2 2 7" xfId="954"/>
    <cellStyle name="Output 2 2 7 2" xfId="955"/>
    <cellStyle name="Output 2 2 8" xfId="956"/>
    <cellStyle name="Output 2 2 8 2" xfId="957"/>
    <cellStyle name="Output 2 2 9" xfId="958"/>
    <cellStyle name="Output 2 2 9 2" xfId="959"/>
    <cellStyle name="Output 2 20" xfId="960"/>
    <cellStyle name="Output 2 20 2" xfId="961"/>
    <cellStyle name="Output 2 21" xfId="962"/>
    <cellStyle name="Output 2 21 2" xfId="963"/>
    <cellStyle name="Output 2 22" xfId="964"/>
    <cellStyle name="Output 2 22 2" xfId="965"/>
    <cellStyle name="Output 2 23" xfId="966"/>
    <cellStyle name="Output 2 23 2" xfId="967"/>
    <cellStyle name="Output 2 24" xfId="968"/>
    <cellStyle name="Output 2 24 2" xfId="969"/>
    <cellStyle name="Output 2 25" xfId="970"/>
    <cellStyle name="Output 2 25 2" xfId="971"/>
    <cellStyle name="Output 2 26" xfId="972"/>
    <cellStyle name="Output 2 26 2" xfId="973"/>
    <cellStyle name="Output 2 27" xfId="974"/>
    <cellStyle name="Output 2 27 2" xfId="975"/>
    <cellStyle name="Output 2 28" xfId="976"/>
    <cellStyle name="Output 2 28 2" xfId="977"/>
    <cellStyle name="Output 2 29" xfId="978"/>
    <cellStyle name="Output 2 29 2" xfId="979"/>
    <cellStyle name="Output 2 3" xfId="980"/>
    <cellStyle name="Output 2 3 2" xfId="981"/>
    <cellStyle name="Output 2 3 3" xfId="1321"/>
    <cellStyle name="Output 2 3 4" xfId="1322"/>
    <cellStyle name="Output 2 3 5" xfId="1323"/>
    <cellStyle name="Output 2 3 6" xfId="1324"/>
    <cellStyle name="Output 2 30" xfId="982"/>
    <cellStyle name="Output 2 30 2" xfId="983"/>
    <cellStyle name="Output 2 31" xfId="984"/>
    <cellStyle name="Output 2 31 2" xfId="985"/>
    <cellStyle name="Output 2 32" xfId="986"/>
    <cellStyle name="Output 2 32 2" xfId="987"/>
    <cellStyle name="Output 2 33" xfId="988"/>
    <cellStyle name="Output 2 33 2" xfId="989"/>
    <cellStyle name="Output 2 34" xfId="990"/>
    <cellStyle name="Output 2 34 2" xfId="991"/>
    <cellStyle name="Output 2 35" xfId="992"/>
    <cellStyle name="Output 2 35 2" xfId="993"/>
    <cellStyle name="Output 2 36" xfId="994"/>
    <cellStyle name="Output 2 36 2" xfId="995"/>
    <cellStyle name="Output 2 37" xfId="996"/>
    <cellStyle name="Output 2 37 2" xfId="997"/>
    <cellStyle name="Output 2 38" xfId="998"/>
    <cellStyle name="Output 2 38 2" xfId="999"/>
    <cellStyle name="Output 2 39" xfId="1000"/>
    <cellStyle name="Output 2 39 2" xfId="1001"/>
    <cellStyle name="Output 2 4" xfId="1002"/>
    <cellStyle name="Output 2 4 2" xfId="1003"/>
    <cellStyle name="Output 2 4 3" xfId="1325"/>
    <cellStyle name="Output 2 4 4" xfId="1326"/>
    <cellStyle name="Output 2 4 5" xfId="1327"/>
    <cellStyle name="Output 2 4 6" xfId="1328"/>
    <cellStyle name="Output 2 40" xfId="1004"/>
    <cellStyle name="Output 2 40 2" xfId="1005"/>
    <cellStyle name="Output 2 41" xfId="1006"/>
    <cellStyle name="Output 2 41 2" xfId="1007"/>
    <cellStyle name="Output 2 42" xfId="1008"/>
    <cellStyle name="Output 2 42 2" xfId="1009"/>
    <cellStyle name="Output 2 43" xfId="1010"/>
    <cellStyle name="Output 2 43 2" xfId="1011"/>
    <cellStyle name="Output 2 44" xfId="1012"/>
    <cellStyle name="Output 2 44 2" xfId="1013"/>
    <cellStyle name="Output 2 45" xfId="1014"/>
    <cellStyle name="Output 2 45 2" xfId="1015"/>
    <cellStyle name="Output 2 46" xfId="1016"/>
    <cellStyle name="Output 2 46 2" xfId="1017"/>
    <cellStyle name="Output 2 47" xfId="1018"/>
    <cellStyle name="Output 2 47 2" xfId="1019"/>
    <cellStyle name="Output 2 48" xfId="1020"/>
    <cellStyle name="Output 2 48 2" xfId="1021"/>
    <cellStyle name="Output 2 49" xfId="1022"/>
    <cellStyle name="Output 2 49 2" xfId="1023"/>
    <cellStyle name="Output 2 5" xfId="1024"/>
    <cellStyle name="Output 2 5 2" xfId="1025"/>
    <cellStyle name="Output 2 5 3" xfId="1329"/>
    <cellStyle name="Output 2 5 4" xfId="1330"/>
    <cellStyle name="Output 2 5 5" xfId="1331"/>
    <cellStyle name="Output 2 5 6" xfId="1332"/>
    <cellStyle name="Output 2 50" xfId="1026"/>
    <cellStyle name="Output 2 50 2" xfId="1027"/>
    <cellStyle name="Output 2 51" xfId="1028"/>
    <cellStyle name="Output 2 51 2" xfId="1029"/>
    <cellStyle name="Output 2 52" xfId="1030"/>
    <cellStyle name="Output 2 52 2" xfId="1031"/>
    <cellStyle name="Output 2 53" xfId="1032"/>
    <cellStyle name="Output 2 53 2" xfId="1033"/>
    <cellStyle name="Output 2 54" xfId="1034"/>
    <cellStyle name="Output 2 55" xfId="1035"/>
    <cellStyle name="Output 2 56" xfId="1036"/>
    <cellStyle name="Output 2 57" xfId="1037"/>
    <cellStyle name="Output 2 58" xfId="1038"/>
    <cellStyle name="Output 2 6" xfId="1039"/>
    <cellStyle name="Output 2 6 2" xfId="1040"/>
    <cellStyle name="Output 2 7" xfId="1041"/>
    <cellStyle name="Output 2 7 2" xfId="1042"/>
    <cellStyle name="Output 2 8" xfId="1043"/>
    <cellStyle name="Output 2 8 2" xfId="1044"/>
    <cellStyle name="Output 2 9" xfId="1045"/>
    <cellStyle name="Output 2 9 2" xfId="1046"/>
    <cellStyle name="Percent 2" xfId="167"/>
    <cellStyle name="Percent 2 2" xfId="1047"/>
    <cellStyle name="Percent 2 3" xfId="1048"/>
    <cellStyle name="Title 2" xfId="168"/>
    <cellStyle name="Total 2" xfId="169"/>
    <cellStyle name="Total 2 10" xfId="1049"/>
    <cellStyle name="Total 2 10 2" xfId="1050"/>
    <cellStyle name="Total 2 11" xfId="1051"/>
    <cellStyle name="Total 2 11 2" xfId="1052"/>
    <cellStyle name="Total 2 12" xfId="1053"/>
    <cellStyle name="Total 2 12 2" xfId="1054"/>
    <cellStyle name="Total 2 13" xfId="1055"/>
    <cellStyle name="Total 2 13 2" xfId="1056"/>
    <cellStyle name="Total 2 14" xfId="1057"/>
    <cellStyle name="Total 2 14 2" xfId="1058"/>
    <cellStyle name="Total 2 15" xfId="1059"/>
    <cellStyle name="Total 2 15 2" xfId="1060"/>
    <cellStyle name="Total 2 16" xfId="1061"/>
    <cellStyle name="Total 2 16 2" xfId="1062"/>
    <cellStyle name="Total 2 17" xfId="1063"/>
    <cellStyle name="Total 2 17 2" xfId="1064"/>
    <cellStyle name="Total 2 18" xfId="1065"/>
    <cellStyle name="Total 2 18 2" xfId="1066"/>
    <cellStyle name="Total 2 19" xfId="1067"/>
    <cellStyle name="Total 2 19 2" xfId="1068"/>
    <cellStyle name="Total 2 2" xfId="170"/>
    <cellStyle name="Total 2 2 10" xfId="1069"/>
    <cellStyle name="Total 2 2 10 2" xfId="1070"/>
    <cellStyle name="Total 2 2 11" xfId="1071"/>
    <cellStyle name="Total 2 2 11 2" xfId="1072"/>
    <cellStyle name="Total 2 2 12" xfId="1073"/>
    <cellStyle name="Total 2 2 12 2" xfId="1074"/>
    <cellStyle name="Total 2 2 13" xfId="1075"/>
    <cellStyle name="Total 2 2 13 2" xfId="1076"/>
    <cellStyle name="Total 2 2 14" xfId="1077"/>
    <cellStyle name="Total 2 2 14 2" xfId="1078"/>
    <cellStyle name="Total 2 2 15" xfId="1079"/>
    <cellStyle name="Total 2 2 15 2" xfId="1080"/>
    <cellStyle name="Total 2 2 16" xfId="1081"/>
    <cellStyle name="Total 2 2 16 2" xfId="1082"/>
    <cellStyle name="Total 2 2 17" xfId="1083"/>
    <cellStyle name="Total 2 2 17 2" xfId="1084"/>
    <cellStyle name="Total 2 2 18" xfId="1085"/>
    <cellStyle name="Total 2 2 18 2" xfId="1086"/>
    <cellStyle name="Total 2 2 19" xfId="1087"/>
    <cellStyle name="Total 2 2 19 2" xfId="1088"/>
    <cellStyle name="Total 2 2 2" xfId="1089"/>
    <cellStyle name="Total 2 2 2 2" xfId="1090"/>
    <cellStyle name="Total 2 2 20" xfId="1091"/>
    <cellStyle name="Total 2 2 20 2" xfId="1092"/>
    <cellStyle name="Total 2 2 21" xfId="1093"/>
    <cellStyle name="Total 2 2 21 2" xfId="1094"/>
    <cellStyle name="Total 2 2 22" xfId="1095"/>
    <cellStyle name="Total 2 2 22 2" xfId="1096"/>
    <cellStyle name="Total 2 2 23" xfId="1097"/>
    <cellStyle name="Total 2 2 23 2" xfId="1098"/>
    <cellStyle name="Total 2 2 24" xfId="1099"/>
    <cellStyle name="Total 2 2 24 2" xfId="1100"/>
    <cellStyle name="Total 2 2 25" xfId="1101"/>
    <cellStyle name="Total 2 2 25 2" xfId="1102"/>
    <cellStyle name="Total 2 2 26" xfId="1103"/>
    <cellStyle name="Total 2 2 26 2" xfId="1104"/>
    <cellStyle name="Total 2 2 27" xfId="1105"/>
    <cellStyle name="Total 2 2 27 2" xfId="1106"/>
    <cellStyle name="Total 2 2 28" xfId="1107"/>
    <cellStyle name="Total 2 2 28 2" xfId="1108"/>
    <cellStyle name="Total 2 2 29" xfId="1109"/>
    <cellStyle name="Total 2 2 29 2" xfId="1110"/>
    <cellStyle name="Total 2 2 3" xfId="1111"/>
    <cellStyle name="Total 2 2 3 2" xfId="1112"/>
    <cellStyle name="Total 2 2 30" xfId="1113"/>
    <cellStyle name="Total 2 2 30 2" xfId="1114"/>
    <cellStyle name="Total 2 2 31" xfId="1115"/>
    <cellStyle name="Total 2 2 31 2" xfId="1116"/>
    <cellStyle name="Total 2 2 32" xfId="1117"/>
    <cellStyle name="Total 2 2 32 2" xfId="1118"/>
    <cellStyle name="Total 2 2 33" xfId="1119"/>
    <cellStyle name="Total 2 2 33 2" xfId="1120"/>
    <cellStyle name="Total 2 2 34" xfId="1121"/>
    <cellStyle name="Total 2 2 34 2" xfId="1122"/>
    <cellStyle name="Total 2 2 35" xfId="1123"/>
    <cellStyle name="Total 2 2 35 2" xfId="1124"/>
    <cellStyle name="Total 2 2 36" xfId="1125"/>
    <cellStyle name="Total 2 2 36 2" xfId="1126"/>
    <cellStyle name="Total 2 2 37" xfId="1127"/>
    <cellStyle name="Total 2 2 37 2" xfId="1128"/>
    <cellStyle name="Total 2 2 38" xfId="1129"/>
    <cellStyle name="Total 2 2 38 2" xfId="1130"/>
    <cellStyle name="Total 2 2 39" xfId="1131"/>
    <cellStyle name="Total 2 2 39 2" xfId="1132"/>
    <cellStyle name="Total 2 2 4" xfId="1133"/>
    <cellStyle name="Total 2 2 4 2" xfId="1134"/>
    <cellStyle name="Total 2 2 40" xfId="1135"/>
    <cellStyle name="Total 2 2 40 2" xfId="1136"/>
    <cellStyle name="Total 2 2 41" xfId="1137"/>
    <cellStyle name="Total 2 2 41 2" xfId="1138"/>
    <cellStyle name="Total 2 2 42" xfId="1139"/>
    <cellStyle name="Total 2 2 42 2" xfId="1140"/>
    <cellStyle name="Total 2 2 43" xfId="1141"/>
    <cellStyle name="Total 2 2 43 2" xfId="1142"/>
    <cellStyle name="Total 2 2 44" xfId="1143"/>
    <cellStyle name="Total 2 2 44 2" xfId="1144"/>
    <cellStyle name="Total 2 2 45" xfId="1145"/>
    <cellStyle name="Total 2 2 45 2" xfId="1146"/>
    <cellStyle name="Total 2 2 46" xfId="1147"/>
    <cellStyle name="Total 2 2 46 2" xfId="1148"/>
    <cellStyle name="Total 2 2 47" xfId="1149"/>
    <cellStyle name="Total 2 2 47 2" xfId="1150"/>
    <cellStyle name="Total 2 2 48" xfId="1151"/>
    <cellStyle name="Total 2 2 48 2" xfId="1152"/>
    <cellStyle name="Total 2 2 49" xfId="1153"/>
    <cellStyle name="Total 2 2 49 2" xfId="1154"/>
    <cellStyle name="Total 2 2 5" xfId="1155"/>
    <cellStyle name="Total 2 2 5 2" xfId="1156"/>
    <cellStyle name="Total 2 2 50" xfId="1157"/>
    <cellStyle name="Total 2 2 50 2" xfId="1158"/>
    <cellStyle name="Total 2 2 51" xfId="1159"/>
    <cellStyle name="Total 2 2 51 2" xfId="1160"/>
    <cellStyle name="Total 2 2 52" xfId="1161"/>
    <cellStyle name="Total 2 2 52 2" xfId="1162"/>
    <cellStyle name="Total 2 2 53" xfId="1163"/>
    <cellStyle name="Total 2 2 54" xfId="1164"/>
    <cellStyle name="Total 2 2 55" xfId="1165"/>
    <cellStyle name="Total 2 2 56" xfId="1166"/>
    <cellStyle name="Total 2 2 57" xfId="1167"/>
    <cellStyle name="Total 2 2 58" xfId="1333"/>
    <cellStyle name="Total 2 2 59" xfId="1334"/>
    <cellStyle name="Total 2 2 6" xfId="1168"/>
    <cellStyle name="Total 2 2 6 2" xfId="1169"/>
    <cellStyle name="Total 2 2 60" xfId="1335"/>
    <cellStyle name="Total 2 2 61" xfId="1336"/>
    <cellStyle name="Total 2 2 7" xfId="1170"/>
    <cellStyle name="Total 2 2 7 2" xfId="1171"/>
    <cellStyle name="Total 2 2 8" xfId="1172"/>
    <cellStyle name="Total 2 2 8 2" xfId="1173"/>
    <cellStyle name="Total 2 2 9" xfId="1174"/>
    <cellStyle name="Total 2 2 9 2" xfId="1175"/>
    <cellStyle name="Total 2 20" xfId="1176"/>
    <cellStyle name="Total 2 20 2" xfId="1177"/>
    <cellStyle name="Total 2 21" xfId="1178"/>
    <cellStyle name="Total 2 21 2" xfId="1179"/>
    <cellStyle name="Total 2 22" xfId="1180"/>
    <cellStyle name="Total 2 22 2" xfId="1181"/>
    <cellStyle name="Total 2 23" xfId="1182"/>
    <cellStyle name="Total 2 23 2" xfId="1183"/>
    <cellStyle name="Total 2 24" xfId="1184"/>
    <cellStyle name="Total 2 24 2" xfId="1185"/>
    <cellStyle name="Total 2 25" xfId="1186"/>
    <cellStyle name="Total 2 25 2" xfId="1187"/>
    <cellStyle name="Total 2 26" xfId="1188"/>
    <cellStyle name="Total 2 26 2" xfId="1189"/>
    <cellStyle name="Total 2 27" xfId="1190"/>
    <cellStyle name="Total 2 27 2" xfId="1191"/>
    <cellStyle name="Total 2 28" xfId="1192"/>
    <cellStyle name="Total 2 28 2" xfId="1193"/>
    <cellStyle name="Total 2 29" xfId="1194"/>
    <cellStyle name="Total 2 29 2" xfId="1195"/>
    <cellStyle name="Total 2 3" xfId="1196"/>
    <cellStyle name="Total 2 3 2" xfId="1197"/>
    <cellStyle name="Total 2 3 3" xfId="1337"/>
    <cellStyle name="Total 2 3 4" xfId="1338"/>
    <cellStyle name="Total 2 3 5" xfId="1339"/>
    <cellStyle name="Total 2 3 6" xfId="1340"/>
    <cellStyle name="Total 2 30" xfId="1198"/>
    <cellStyle name="Total 2 30 2" xfId="1199"/>
    <cellStyle name="Total 2 31" xfId="1200"/>
    <cellStyle name="Total 2 31 2" xfId="1201"/>
    <cellStyle name="Total 2 32" xfId="1202"/>
    <cellStyle name="Total 2 32 2" xfId="1203"/>
    <cellStyle name="Total 2 33" xfId="1204"/>
    <cellStyle name="Total 2 33 2" xfId="1205"/>
    <cellStyle name="Total 2 34" xfId="1206"/>
    <cellStyle name="Total 2 34 2" xfId="1207"/>
    <cellStyle name="Total 2 35" xfId="1208"/>
    <cellStyle name="Total 2 35 2" xfId="1209"/>
    <cellStyle name="Total 2 36" xfId="1210"/>
    <cellStyle name="Total 2 36 2" xfId="1211"/>
    <cellStyle name="Total 2 37" xfId="1212"/>
    <cellStyle name="Total 2 37 2" xfId="1213"/>
    <cellStyle name="Total 2 38" xfId="1214"/>
    <cellStyle name="Total 2 38 2" xfId="1215"/>
    <cellStyle name="Total 2 39" xfId="1216"/>
    <cellStyle name="Total 2 39 2" xfId="1217"/>
    <cellStyle name="Total 2 4" xfId="1218"/>
    <cellStyle name="Total 2 4 2" xfId="1219"/>
    <cellStyle name="Total 2 4 3" xfId="1341"/>
    <cellStyle name="Total 2 4 4" xfId="1342"/>
    <cellStyle name="Total 2 4 5" xfId="1343"/>
    <cellStyle name="Total 2 4 6" xfId="1344"/>
    <cellStyle name="Total 2 40" xfId="1220"/>
    <cellStyle name="Total 2 40 2" xfId="1221"/>
    <cellStyle name="Total 2 41" xfId="1222"/>
    <cellStyle name="Total 2 41 2" xfId="1223"/>
    <cellStyle name="Total 2 42" xfId="1224"/>
    <cellStyle name="Total 2 42 2" xfId="1225"/>
    <cellStyle name="Total 2 43" xfId="1226"/>
    <cellStyle name="Total 2 43 2" xfId="1227"/>
    <cellStyle name="Total 2 44" xfId="1228"/>
    <cellStyle name="Total 2 44 2" xfId="1229"/>
    <cellStyle name="Total 2 45" xfId="1230"/>
    <cellStyle name="Total 2 45 2" xfId="1231"/>
    <cellStyle name="Total 2 46" xfId="1232"/>
    <cellStyle name="Total 2 46 2" xfId="1233"/>
    <cellStyle name="Total 2 47" xfId="1234"/>
    <cellStyle name="Total 2 47 2" xfId="1235"/>
    <cellStyle name="Total 2 48" xfId="1236"/>
    <cellStyle name="Total 2 48 2" xfId="1237"/>
    <cellStyle name="Total 2 49" xfId="1238"/>
    <cellStyle name="Total 2 49 2" xfId="1239"/>
    <cellStyle name="Total 2 5" xfId="1240"/>
    <cellStyle name="Total 2 5 2" xfId="1241"/>
    <cellStyle name="Total 2 5 3" xfId="1345"/>
    <cellStyle name="Total 2 5 4" xfId="1346"/>
    <cellStyle name="Total 2 5 5" xfId="1347"/>
    <cellStyle name="Total 2 5 6" xfId="1348"/>
    <cellStyle name="Total 2 50" xfId="1242"/>
    <cellStyle name="Total 2 50 2" xfId="1243"/>
    <cellStyle name="Total 2 51" xfId="1244"/>
    <cellStyle name="Total 2 51 2" xfId="1245"/>
    <cellStyle name="Total 2 52" xfId="1246"/>
    <cellStyle name="Total 2 52 2" xfId="1247"/>
    <cellStyle name="Total 2 53" xfId="1248"/>
    <cellStyle name="Total 2 53 2" xfId="1249"/>
    <cellStyle name="Total 2 54" xfId="1250"/>
    <cellStyle name="Total 2 55" xfId="1251"/>
    <cellStyle name="Total 2 56" xfId="1252"/>
    <cellStyle name="Total 2 57" xfId="1253"/>
    <cellStyle name="Total 2 58" xfId="1254"/>
    <cellStyle name="Total 2 6" xfId="1255"/>
    <cellStyle name="Total 2 6 2" xfId="1256"/>
    <cellStyle name="Total 2 7" xfId="1257"/>
    <cellStyle name="Total 2 7 2" xfId="1258"/>
    <cellStyle name="Total 2 8" xfId="1259"/>
    <cellStyle name="Total 2 8 2" xfId="1260"/>
    <cellStyle name="Total 2 9" xfId="1261"/>
    <cellStyle name="Total 2 9 2" xfId="1262"/>
    <cellStyle name="Warning Text 2" xfId="171"/>
  </cellStyles>
  <dxfs count="515"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9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42" Type="http://schemas.openxmlformats.org/officeDocument/2006/relationships/externalLink" Target="externalLinks/externalLink12.xml"/><Relationship Id="rId47" Type="http://schemas.openxmlformats.org/officeDocument/2006/relationships/externalLink" Target="externalLinks/externalLink17.xml"/><Relationship Id="rId50" Type="http://schemas.openxmlformats.org/officeDocument/2006/relationships/externalLink" Target="externalLinks/externalLink20.xml"/><Relationship Id="rId55" Type="http://schemas.openxmlformats.org/officeDocument/2006/relationships/externalLink" Target="externalLinks/externalLink25.xml"/><Relationship Id="rId63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externalLink" Target="externalLinks/externalLink11.xml"/><Relationship Id="rId54" Type="http://schemas.openxmlformats.org/officeDocument/2006/relationships/externalLink" Target="externalLinks/externalLink24.xml"/><Relationship Id="rId62" Type="http://schemas.openxmlformats.org/officeDocument/2006/relationships/externalLink" Target="externalLinks/externalLink3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externalLink" Target="externalLinks/externalLink7.xml"/><Relationship Id="rId40" Type="http://schemas.openxmlformats.org/officeDocument/2006/relationships/externalLink" Target="externalLinks/externalLink10.xml"/><Relationship Id="rId45" Type="http://schemas.openxmlformats.org/officeDocument/2006/relationships/externalLink" Target="externalLinks/externalLink15.xml"/><Relationship Id="rId53" Type="http://schemas.openxmlformats.org/officeDocument/2006/relationships/externalLink" Target="externalLinks/externalLink23.xml"/><Relationship Id="rId58" Type="http://schemas.openxmlformats.org/officeDocument/2006/relationships/externalLink" Target="externalLinks/externalLink28.xml"/><Relationship Id="rId66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6.xml"/><Relationship Id="rId49" Type="http://schemas.openxmlformats.org/officeDocument/2006/relationships/externalLink" Target="externalLinks/externalLink19.xml"/><Relationship Id="rId57" Type="http://schemas.openxmlformats.org/officeDocument/2006/relationships/externalLink" Target="externalLinks/externalLink27.xml"/><Relationship Id="rId61" Type="http://schemas.openxmlformats.org/officeDocument/2006/relationships/externalLink" Target="externalLinks/externalLink3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4" Type="http://schemas.openxmlformats.org/officeDocument/2006/relationships/externalLink" Target="externalLinks/externalLink14.xml"/><Relationship Id="rId52" Type="http://schemas.openxmlformats.org/officeDocument/2006/relationships/externalLink" Target="externalLinks/externalLink22.xml"/><Relationship Id="rId60" Type="http://schemas.openxmlformats.org/officeDocument/2006/relationships/externalLink" Target="externalLinks/externalLink30.xml"/><Relationship Id="rId6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5.xml"/><Relationship Id="rId43" Type="http://schemas.openxmlformats.org/officeDocument/2006/relationships/externalLink" Target="externalLinks/externalLink13.xml"/><Relationship Id="rId48" Type="http://schemas.openxmlformats.org/officeDocument/2006/relationships/externalLink" Target="externalLinks/externalLink18.xml"/><Relationship Id="rId56" Type="http://schemas.openxmlformats.org/officeDocument/2006/relationships/externalLink" Target="externalLinks/externalLink26.xml"/><Relationship Id="rId64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38" Type="http://schemas.openxmlformats.org/officeDocument/2006/relationships/externalLink" Target="externalLinks/externalLink8.xml"/><Relationship Id="rId46" Type="http://schemas.openxmlformats.org/officeDocument/2006/relationships/externalLink" Target="externalLinks/externalLink16.xml"/><Relationship Id="rId59" Type="http://schemas.openxmlformats.org/officeDocument/2006/relationships/externalLink" Target="externalLinks/externalLink2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ustomXml" Target="../ink/ink2.xml"/><Relationship Id="rId2" Type="http://schemas.openxmlformats.org/officeDocument/2006/relationships/image" Target="../media/image1.emf"/><Relationship Id="rId1" Type="http://schemas.openxmlformats.org/officeDocument/2006/relationships/customXml" Target="../ink/ink1.xml"/><Relationship Id="rId4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433844</xdr:colOff>
      <xdr:row>65</xdr:row>
      <xdr:rowOff>95320</xdr:rowOff>
    </xdr:from>
    <xdr:to>
      <xdr:col>25</xdr:col>
      <xdr:colOff>434204</xdr:colOff>
      <xdr:row>65</xdr:row>
      <xdr:rowOff>95680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4" name="Ink 3"/>
            <xdr14:cNvContentPartPr/>
          </xdr14:nvContentPartPr>
          <xdr14:nvPr macro=""/>
          <xdr14:xfrm>
            <a:off x="17525927" y="10234153"/>
            <a:ext cx="360" cy="360"/>
          </xdr14:xfrm>
        </xdr:contentPart>
      </mc:Choice>
      <mc:Fallback xmlns="">
        <xdr:pic>
          <xdr:nvPicPr>
            <xdr:cNvPr id="4" name="Ink 3"/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7514047" y="10222273"/>
              <a:ext cx="24120" cy="2412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18</xdr:col>
      <xdr:colOff>508150</xdr:colOff>
      <xdr:row>56</xdr:row>
      <xdr:rowOff>84790</xdr:rowOff>
    </xdr:from>
    <xdr:to>
      <xdr:col>26</xdr:col>
      <xdr:colOff>222570</xdr:colOff>
      <xdr:row>60</xdr:row>
      <xdr:rowOff>11030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7" name="Ink 6"/>
            <xdr14:cNvContentPartPr/>
          </xdr14:nvContentPartPr>
          <xdr14:nvPr macro=""/>
          <xdr14:xfrm>
            <a:off x="11927567" y="8794873"/>
            <a:ext cx="6127920" cy="561240"/>
          </xdr14:xfrm>
        </xdr:contentPart>
      </mc:Choice>
      <mc:Fallback xmlns="">
        <xdr:pic>
          <xdr:nvPicPr>
            <xdr:cNvPr id="7" name="Ink 6"/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11904717" y="8782993"/>
              <a:ext cx="6173620" cy="5850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Y%202009\Reports\AFR\Statements\SEFA\SEFA%20Schedule%206%20FINAL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Florida%20Southwestern%20FINAL%2012.2.15%20-%20TDR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FSC%20at%20Jacksonville%20FINAL%2011.20.15%20-%20TDR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Florida%20Keys%20FINAL%2011.19.15%20-%20TDR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Gulf%20Coast%20FINAL%2011.24.15%20-%20TDR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Hillsborough%20FINAL%2011.19.15%20-%20TDR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Indian%20River%20FINAL%2011.19.15%20-%20TDR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Florida%20Gateway%20FINAL%2011.19.15%20-%20TDR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Lake%20Sumter%20FINAL%2011.19.15%20-%20TDR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State%20College%20of%20Florida-Manatee%20FINAL%2011.19.15%20-%20TDR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Miami%20Dade%20FINAL%2011%2023%2015%20-%20TDR%20(Adj%20form%20update%2012%204%2015%20ASB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phillil\LOCALS~1\Temp\XPgrpwise\Sched%206%2080608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North%20Florida%20FINAL%2011.20.15%20-%20TDR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Northwest%20Florida%20FINAL%2011.19.15%20-%20TDR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Palm%20Beach%20FINAL%2011.20.15%20-%20TDR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Pasco%20Hernando%20FINAL%2011.23.15%20-%20TDR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Pensacola%20FINAL%2011.23.15%20-%20TDR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Polk%20FINAL%2011.23.15%20-%20TDR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St%20Johns%20River%20FINAL%2011.23.15%20-%20TDR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St%20Petersburg%20FINAL%2011.23.15%20-%20TDR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Santa%20Fe%20FINAL%2011.24.15%20-%20TDR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Seminole%20REVISED%20(did%20not%20send%20to%20DFS)%2011.24.15%20-%20TD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Archive%20-%20AFR/2014-2015/2014-15%20AFR%20Summaries/Consolidated%2014-15%20SNP%20-%20FINAL-sent%20to%20Andy%20for%20review%2012.9.15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South%20Florida%20FINAL%2011.23.15%20-%20TDR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Tallahassee%20FINAL%2011.23.15%20-%20TDR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Valencia%20FINAL%2011.23.15%20-%20TDR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Work/Reports%20&amp;%20Surveys/AFR/2013-2014/College%20AFRs/Eastern%20Florida/Eastern%20Florida%202013-14%20AFR%20Workbook%202014%20v03%20JRD%207-31-14%20JRD%20REVISED%208-15-14%20JRD%2011-20-14%20Final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Eastern%20FINAL%2011.23.15%20-%20TDR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Broward%20FINAL%2011.18.15%20-%20TDR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Central%20Florida%20FINAL%2011.20.15%20-%20TDR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Chipola%20FINAL%2011.19.15%20-%20TDR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Daytona%20State%20FINAL%2011.18.15%20-%20TD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FA Data"/>
      <sheetName val="Noncash"/>
      <sheetName val="Loan"/>
      <sheetName val="Lender"/>
      <sheetName val="Wrksht Exp"/>
      <sheetName val="List"/>
      <sheetName val="CFDA Program Titles Table"/>
      <sheetName val="OFA UNK"/>
      <sheetName val="Fed. Agency Identifier Table"/>
      <sheetName val="Perkins"/>
      <sheetName val="Recon Template"/>
      <sheetName val="Certification"/>
    </sheetNames>
    <sheetDataSet>
      <sheetData sheetId="0"/>
      <sheetData sheetId="1"/>
      <sheetData sheetId="2"/>
      <sheetData sheetId="3"/>
      <sheetData sheetId="4"/>
      <sheetData sheetId="5">
        <row r="1">
          <cell r="C1" t="str">
            <v>Yes</v>
          </cell>
        </row>
        <row r="2">
          <cell r="C2" t="str">
            <v>No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Tuition and Fee Report"/>
      <sheetName val="FCS Notes Sched Inv &amp; Cash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FLORIDA SOUTHWESTERN STATE COLLEGE</v>
          </cell>
        </row>
      </sheetData>
      <sheetData sheetId="3"/>
      <sheetData sheetId="4">
        <row r="481">
          <cell r="O481">
            <v>6155538.9700000007</v>
          </cell>
        </row>
      </sheetData>
      <sheetData sheetId="5">
        <row r="9">
          <cell r="M9" t="str">
            <v>Unit</v>
          </cell>
        </row>
        <row r="119">
          <cell r="K119">
            <v>144544714</v>
          </cell>
          <cell r="M119">
            <v>50123517</v>
          </cell>
          <cell r="N119">
            <v>194668231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44">
          <cell r="A44" t="str">
            <v>EASTERN FLORIDA STATE COLLEGE</v>
          </cell>
          <cell r="B44">
            <v>132823495</v>
          </cell>
          <cell r="C44">
            <v>19357044</v>
          </cell>
          <cell r="D44">
            <v>152180539</v>
          </cell>
        </row>
        <row r="45">
          <cell r="A45" t="str">
            <v>BROWARD COLLEGE</v>
          </cell>
          <cell r="B45">
            <v>269782584</v>
          </cell>
          <cell r="C45">
            <v>74616540</v>
          </cell>
          <cell r="D45">
            <v>344399124</v>
          </cell>
        </row>
        <row r="46">
          <cell r="A46" t="str">
            <v>COLLEGE OF CENTRAL FLORIDA</v>
          </cell>
          <cell r="B46">
            <v>85764502</v>
          </cell>
          <cell r="C46">
            <v>85913922</v>
          </cell>
          <cell r="D46">
            <v>171678424</v>
          </cell>
        </row>
        <row r="47">
          <cell r="A47" t="str">
            <v>CHIPOLA COLLEGE</v>
          </cell>
          <cell r="B47">
            <v>61327492</v>
          </cell>
          <cell r="C47">
            <v>17916736</v>
          </cell>
          <cell r="D47">
            <v>79244228</v>
          </cell>
        </row>
        <row r="48">
          <cell r="A48" t="str">
            <v>DAYTONA STATE COLLEGE</v>
          </cell>
          <cell r="B48">
            <v>185737997</v>
          </cell>
          <cell r="C48">
            <v>19861695</v>
          </cell>
          <cell r="D48">
            <v>205599692</v>
          </cell>
        </row>
        <row r="49">
          <cell r="A49" t="str">
            <v>FLORIDA SOUTHWESTERN STATE COLLEGE</v>
          </cell>
          <cell r="B49">
            <v>157746233</v>
          </cell>
          <cell r="C49">
            <v>44708159</v>
          </cell>
          <cell r="D49">
            <v>202454392</v>
          </cell>
        </row>
        <row r="50">
          <cell r="A50" t="str">
            <v>FLORIDA STATE COLLEGE AT JACKSONVILLE</v>
          </cell>
          <cell r="B50">
            <v>271686692</v>
          </cell>
          <cell r="C50">
            <v>46467136</v>
          </cell>
          <cell r="D50">
            <v>318153828</v>
          </cell>
        </row>
        <row r="51">
          <cell r="A51" t="str">
            <v>FLORIDA KEYS COMMUNITY COLLEGE</v>
          </cell>
          <cell r="B51">
            <v>27300839</v>
          </cell>
          <cell r="C51">
            <v>3185648</v>
          </cell>
          <cell r="D51">
            <v>30486487</v>
          </cell>
        </row>
        <row r="52">
          <cell r="A52" t="str">
            <v>GULF COAST STATE COLLEGE</v>
          </cell>
          <cell r="B52">
            <v>106192762</v>
          </cell>
          <cell r="C52">
            <v>30132408</v>
          </cell>
          <cell r="D52">
            <v>136325170</v>
          </cell>
        </row>
        <row r="53">
          <cell r="A53" t="str">
            <v>HILLSBOROUGH COMMUNITY COLLEGE</v>
          </cell>
          <cell r="B53">
            <v>224905527</v>
          </cell>
          <cell r="C53">
            <v>6045935</v>
          </cell>
          <cell r="D53">
            <v>230951462</v>
          </cell>
        </row>
        <row r="54">
          <cell r="A54" t="str">
            <v>INDIAN RIVER STATE COLLEGE</v>
          </cell>
          <cell r="B54">
            <v>260057408</v>
          </cell>
          <cell r="C54">
            <v>75707790</v>
          </cell>
          <cell r="D54">
            <v>335765198</v>
          </cell>
        </row>
        <row r="55">
          <cell r="A55" t="str">
            <v>FLORIDA GATEWAY COLLEGE</v>
          </cell>
          <cell r="B55">
            <v>45331129</v>
          </cell>
          <cell r="C55">
            <v>14581122</v>
          </cell>
          <cell r="D55">
            <v>59912251</v>
          </cell>
        </row>
        <row r="56">
          <cell r="A56" t="str">
            <v>LAKE-SUMTER STATE COLLEGE</v>
          </cell>
          <cell r="B56">
            <v>64614715</v>
          </cell>
          <cell r="C56">
            <v>14967295</v>
          </cell>
          <cell r="D56">
            <v>79582010</v>
          </cell>
        </row>
        <row r="57">
          <cell r="A57" t="str">
            <v>STATE COLLEGE OF FLORIDA, MANATEE-SARASOTA</v>
          </cell>
          <cell r="B57">
            <v>106202461</v>
          </cell>
          <cell r="C57">
            <v>48675246</v>
          </cell>
          <cell r="D57">
            <v>154877707</v>
          </cell>
        </row>
        <row r="58">
          <cell r="A58" t="str">
            <v>MIAMI DADE COLLEGE</v>
          </cell>
          <cell r="B58">
            <v>1363606850</v>
          </cell>
          <cell r="C58">
            <v>125521527</v>
          </cell>
          <cell r="D58">
            <v>1489128377</v>
          </cell>
        </row>
        <row r="59">
          <cell r="A59" t="str">
            <v>NORTH FLORIDA COMMUNITY COLLEGE</v>
          </cell>
          <cell r="B59">
            <v>28783665</v>
          </cell>
          <cell r="C59">
            <v>3592212</v>
          </cell>
          <cell r="D59">
            <v>32375877</v>
          </cell>
        </row>
        <row r="60">
          <cell r="A60" t="str">
            <v>NORTHWEST FLORIDA STATE COLLEGE</v>
          </cell>
          <cell r="B60">
            <v>132330581</v>
          </cell>
          <cell r="C60">
            <v>43200907</v>
          </cell>
          <cell r="D60">
            <v>175531488</v>
          </cell>
        </row>
        <row r="61">
          <cell r="A61" t="str">
            <v>PALM BEACH STATE COLLEGE</v>
          </cell>
          <cell r="B61">
            <v>260208009</v>
          </cell>
          <cell r="C61">
            <v>31670321</v>
          </cell>
          <cell r="D61">
            <v>291878330</v>
          </cell>
        </row>
        <row r="62">
          <cell r="A62" t="str">
            <v>PASCO-HERNANDO STATE COLLEGE</v>
          </cell>
          <cell r="B62">
            <v>184896923</v>
          </cell>
          <cell r="C62">
            <v>42827111</v>
          </cell>
          <cell r="D62">
            <v>227724034</v>
          </cell>
        </row>
        <row r="63">
          <cell r="A63" t="str">
            <v>PENSACOLA STATE COLLEGE</v>
          </cell>
          <cell r="B63">
            <v>66127174</v>
          </cell>
          <cell r="C63">
            <v>22005756</v>
          </cell>
          <cell r="D63">
            <v>88132930</v>
          </cell>
        </row>
        <row r="64">
          <cell r="A64" t="str">
            <v>POLK STATE COLLEGE</v>
          </cell>
          <cell r="B64">
            <v>93965821</v>
          </cell>
          <cell r="C64">
            <v>26848685</v>
          </cell>
          <cell r="D64">
            <v>120814506</v>
          </cell>
        </row>
        <row r="65">
          <cell r="A65" t="str">
            <v>ST. JOHNS RIVER STATE COLLEGE</v>
          </cell>
          <cell r="B65">
            <v>69710424</v>
          </cell>
          <cell r="C65">
            <v>12079291</v>
          </cell>
          <cell r="D65">
            <v>81789715</v>
          </cell>
        </row>
        <row r="66">
          <cell r="A66" t="str">
            <v>ST. PETERSBURG COLLEGE</v>
          </cell>
          <cell r="B66">
            <v>295561213</v>
          </cell>
          <cell r="C66">
            <v>59962439</v>
          </cell>
          <cell r="D66">
            <v>355523652</v>
          </cell>
        </row>
        <row r="67">
          <cell r="A67" t="str">
            <v>SANTA FE COLLEGE</v>
          </cell>
          <cell r="B67">
            <v>125509097</v>
          </cell>
          <cell r="C67">
            <v>41770253</v>
          </cell>
          <cell r="D67">
            <v>167279350</v>
          </cell>
        </row>
        <row r="68">
          <cell r="A68" t="str">
            <v>SEMINOLE STATE COLLEGE OF FLORIDA</v>
          </cell>
          <cell r="B68">
            <v>202894160</v>
          </cell>
          <cell r="C68">
            <v>18724758</v>
          </cell>
          <cell r="D68">
            <v>221618918</v>
          </cell>
        </row>
        <row r="69">
          <cell r="A69" t="str">
            <v>SOUTH FLORIDA STATE COLLEGE</v>
          </cell>
          <cell r="B69">
            <v>71887178</v>
          </cell>
          <cell r="C69">
            <v>10634447</v>
          </cell>
          <cell r="D69">
            <v>82521625</v>
          </cell>
        </row>
        <row r="70">
          <cell r="A70" t="str">
            <v>TALLAHASSEE COMMUNITY COLLEGE</v>
          </cell>
          <cell r="B70">
            <v>135497218</v>
          </cell>
          <cell r="C70">
            <v>16120502</v>
          </cell>
          <cell r="D70">
            <v>151617720</v>
          </cell>
        </row>
        <row r="71">
          <cell r="A71" t="str">
            <v>VALENCIA COLLEGE</v>
          </cell>
          <cell r="B71">
            <v>304247165</v>
          </cell>
          <cell r="C71">
            <v>75042790</v>
          </cell>
          <cell r="D71">
            <v>379289955</v>
          </cell>
        </row>
      </sheetData>
      <sheetData sheetId="4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FLORIDA STATE COLLEGE AT JACKSONVILLE</v>
          </cell>
        </row>
      </sheetData>
      <sheetData sheetId="3"/>
      <sheetData sheetId="4">
        <row r="215">
          <cell r="O215">
            <v>4372389.0999999996</v>
          </cell>
        </row>
        <row r="481">
          <cell r="O481">
            <v>10080683.09</v>
          </cell>
        </row>
      </sheetData>
      <sheetData sheetId="5">
        <row r="9">
          <cell r="M9" t="str">
            <v>Unit</v>
          </cell>
        </row>
        <row r="119">
          <cell r="K119">
            <v>221394023</v>
          </cell>
          <cell r="M119">
            <v>46322941</v>
          </cell>
          <cell r="N119">
            <v>267716964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44">
          <cell r="A44" t="str">
            <v>EASTERN FLORIDA STATE COLLEGE</v>
          </cell>
          <cell r="B44">
            <v>132823495</v>
          </cell>
          <cell r="C44">
            <v>19357044</v>
          </cell>
          <cell r="D44">
            <v>152180539</v>
          </cell>
        </row>
        <row r="45">
          <cell r="A45" t="str">
            <v>BROWARD COLLEGE</v>
          </cell>
          <cell r="B45">
            <v>269782584</v>
          </cell>
          <cell r="C45">
            <v>74616540</v>
          </cell>
          <cell r="D45">
            <v>344399124</v>
          </cell>
        </row>
        <row r="46">
          <cell r="A46" t="str">
            <v>COLLEGE OF CENTRAL FLORIDA</v>
          </cell>
          <cell r="B46">
            <v>85764502</v>
          </cell>
          <cell r="C46">
            <v>85913922</v>
          </cell>
          <cell r="D46">
            <v>171678424</v>
          </cell>
        </row>
        <row r="47">
          <cell r="A47" t="str">
            <v>CHIPOLA COLLEGE</v>
          </cell>
          <cell r="B47">
            <v>61327492</v>
          </cell>
          <cell r="C47">
            <v>17916736</v>
          </cell>
          <cell r="D47">
            <v>79244228</v>
          </cell>
        </row>
        <row r="48">
          <cell r="A48" t="str">
            <v>DAYTONA STATE COLLEGE</v>
          </cell>
          <cell r="B48">
            <v>185737997</v>
          </cell>
          <cell r="C48">
            <v>19861695</v>
          </cell>
          <cell r="D48">
            <v>205599692</v>
          </cell>
        </row>
        <row r="49">
          <cell r="A49" t="str">
            <v>FLORIDA SOUTHWESTERN STATE COLLEGE</v>
          </cell>
          <cell r="B49">
            <v>157746233</v>
          </cell>
          <cell r="C49">
            <v>44708159</v>
          </cell>
          <cell r="D49">
            <v>202454392</v>
          </cell>
        </row>
        <row r="50">
          <cell r="A50" t="str">
            <v>FLORIDA STATE COLLEGE AT JACKSONVILLE</v>
          </cell>
          <cell r="B50">
            <v>271686692</v>
          </cell>
          <cell r="C50">
            <v>46467136</v>
          </cell>
          <cell r="D50">
            <v>318153828</v>
          </cell>
        </row>
        <row r="51">
          <cell r="A51" t="str">
            <v>FLORIDA KEYS COMMUNITY COLLEGE</v>
          </cell>
          <cell r="B51">
            <v>27300839</v>
          </cell>
          <cell r="C51">
            <v>3185648</v>
          </cell>
          <cell r="D51">
            <v>30486487</v>
          </cell>
        </row>
        <row r="52">
          <cell r="A52" t="str">
            <v>GULF COAST STATE COLLEGE</v>
          </cell>
          <cell r="B52">
            <v>106192762</v>
          </cell>
          <cell r="C52">
            <v>30132408</v>
          </cell>
          <cell r="D52">
            <v>136325170</v>
          </cell>
        </row>
        <row r="53">
          <cell r="A53" t="str">
            <v>HILLSBOROUGH COMMUNITY COLLEGE</v>
          </cell>
          <cell r="B53">
            <v>224905527</v>
          </cell>
          <cell r="C53">
            <v>6045935</v>
          </cell>
          <cell r="D53">
            <v>230951462</v>
          </cell>
        </row>
        <row r="54">
          <cell r="A54" t="str">
            <v>INDIAN RIVER STATE COLLEGE</v>
          </cell>
          <cell r="B54">
            <v>260057408</v>
          </cell>
          <cell r="C54">
            <v>75707790</v>
          </cell>
          <cell r="D54">
            <v>335765198</v>
          </cell>
        </row>
        <row r="55">
          <cell r="A55" t="str">
            <v>FLORIDA GATEWAY COLLEGE</v>
          </cell>
          <cell r="B55">
            <v>45331129</v>
          </cell>
          <cell r="C55">
            <v>14581122</v>
          </cell>
          <cell r="D55">
            <v>59912251</v>
          </cell>
        </row>
        <row r="56">
          <cell r="A56" t="str">
            <v>LAKE-SUMTER STATE COLLEGE</v>
          </cell>
          <cell r="B56">
            <v>64614715</v>
          </cell>
          <cell r="C56">
            <v>14967295</v>
          </cell>
          <cell r="D56">
            <v>79582010</v>
          </cell>
        </row>
        <row r="57">
          <cell r="A57" t="str">
            <v>STATE COLLEGE OF FLORIDA, MANATEE-SARASOTA</v>
          </cell>
          <cell r="B57">
            <v>106202461</v>
          </cell>
          <cell r="C57">
            <v>48675246</v>
          </cell>
          <cell r="D57">
            <v>154877707</v>
          </cell>
        </row>
        <row r="58">
          <cell r="A58" t="str">
            <v>MIAMI DADE COLLEGE</v>
          </cell>
          <cell r="B58">
            <v>1363606850</v>
          </cell>
          <cell r="C58">
            <v>125521527</v>
          </cell>
          <cell r="D58">
            <v>1489128377</v>
          </cell>
        </row>
        <row r="59">
          <cell r="A59" t="str">
            <v>NORTH FLORIDA COMMUNITY COLLEGE</v>
          </cell>
          <cell r="B59">
            <v>28783665</v>
          </cell>
          <cell r="C59">
            <v>3592212</v>
          </cell>
          <cell r="D59">
            <v>32375877</v>
          </cell>
        </row>
        <row r="60">
          <cell r="A60" t="str">
            <v>NORTHWEST FLORIDA STATE COLLEGE</v>
          </cell>
          <cell r="B60">
            <v>132330581</v>
          </cell>
          <cell r="C60">
            <v>43200907</v>
          </cell>
          <cell r="D60">
            <v>175531488</v>
          </cell>
        </row>
        <row r="61">
          <cell r="A61" t="str">
            <v>PALM BEACH STATE COLLEGE</v>
          </cell>
          <cell r="B61">
            <v>260208009</v>
          </cell>
          <cell r="C61">
            <v>31670321</v>
          </cell>
          <cell r="D61">
            <v>291878330</v>
          </cell>
        </row>
        <row r="62">
          <cell r="A62" t="str">
            <v>PASCO-HERNANDO STATE COLLEGE</v>
          </cell>
          <cell r="B62">
            <v>184896923</v>
          </cell>
          <cell r="C62">
            <v>42827111</v>
          </cell>
          <cell r="D62">
            <v>227724034</v>
          </cell>
        </row>
        <row r="63">
          <cell r="A63" t="str">
            <v>PENSACOLA STATE COLLEGE</v>
          </cell>
          <cell r="B63">
            <v>66127174</v>
          </cell>
          <cell r="C63">
            <v>22005756</v>
          </cell>
          <cell r="D63">
            <v>88132930</v>
          </cell>
        </row>
        <row r="64">
          <cell r="A64" t="str">
            <v>POLK STATE COLLEGE</v>
          </cell>
          <cell r="B64">
            <v>93965821</v>
          </cell>
          <cell r="C64">
            <v>26848685</v>
          </cell>
          <cell r="D64">
            <v>120814506</v>
          </cell>
        </row>
        <row r="65">
          <cell r="A65" t="str">
            <v>ST. JOHNS RIVER STATE COLLEGE</v>
          </cell>
          <cell r="B65">
            <v>69710424</v>
          </cell>
          <cell r="C65">
            <v>12079291</v>
          </cell>
          <cell r="D65">
            <v>81789715</v>
          </cell>
        </row>
        <row r="66">
          <cell r="A66" t="str">
            <v>ST. PETERSBURG COLLEGE</v>
          </cell>
          <cell r="B66">
            <v>295561213</v>
          </cell>
          <cell r="C66">
            <v>59962439</v>
          </cell>
          <cell r="D66">
            <v>355523652</v>
          </cell>
        </row>
        <row r="67">
          <cell r="A67" t="str">
            <v>SANTA FE COLLEGE</v>
          </cell>
          <cell r="B67">
            <v>125509097</v>
          </cell>
          <cell r="C67">
            <v>41770253</v>
          </cell>
          <cell r="D67">
            <v>167279350</v>
          </cell>
        </row>
        <row r="68">
          <cell r="A68" t="str">
            <v>SEMINOLE STATE COLLEGE OF FLORIDA</v>
          </cell>
          <cell r="B68">
            <v>202894160</v>
          </cell>
          <cell r="C68">
            <v>18724758</v>
          </cell>
          <cell r="D68">
            <v>221618918</v>
          </cell>
        </row>
        <row r="69">
          <cell r="A69" t="str">
            <v>SOUTH FLORIDA STATE COLLEGE</v>
          </cell>
          <cell r="B69">
            <v>71887178</v>
          </cell>
          <cell r="C69">
            <v>10634447</v>
          </cell>
          <cell r="D69">
            <v>82521625</v>
          </cell>
        </row>
        <row r="70">
          <cell r="A70" t="str">
            <v>TALLAHASSEE COMMUNITY COLLEGE</v>
          </cell>
          <cell r="B70">
            <v>135497218</v>
          </cell>
          <cell r="C70">
            <v>16120502</v>
          </cell>
          <cell r="D70">
            <v>151617720</v>
          </cell>
        </row>
        <row r="71">
          <cell r="A71" t="str">
            <v>VALENCIA COLLEGE</v>
          </cell>
          <cell r="B71">
            <v>304247165</v>
          </cell>
          <cell r="C71">
            <v>75042790</v>
          </cell>
          <cell r="D71">
            <v>379289955</v>
          </cell>
        </row>
      </sheetData>
      <sheetData sheetId="4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FLORIDA KEYS COMMUNITY COLLEGE</v>
          </cell>
        </row>
      </sheetData>
      <sheetData sheetId="3"/>
      <sheetData sheetId="4">
        <row r="215">
          <cell r="O215">
            <v>280709.36</v>
          </cell>
        </row>
        <row r="481">
          <cell r="O481">
            <v>1127353.3999999999</v>
          </cell>
        </row>
      </sheetData>
      <sheetData sheetId="5">
        <row r="9">
          <cell r="M9" t="str">
            <v>Unit</v>
          </cell>
        </row>
        <row r="119">
          <cell r="K119">
            <v>24243016</v>
          </cell>
          <cell r="M119">
            <v>3217354</v>
          </cell>
          <cell r="N119">
            <v>27460370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44">
          <cell r="A44" t="str">
            <v>EASTERN FLORIDA STATE COLLEGE</v>
          </cell>
          <cell r="B44">
            <v>132823495</v>
          </cell>
          <cell r="C44">
            <v>19357044</v>
          </cell>
          <cell r="D44">
            <v>152180539</v>
          </cell>
        </row>
        <row r="45">
          <cell r="A45" t="str">
            <v>BROWARD COLLEGE</v>
          </cell>
          <cell r="B45">
            <v>269782584</v>
          </cell>
          <cell r="C45">
            <v>74616540</v>
          </cell>
          <cell r="D45">
            <v>344399124</v>
          </cell>
        </row>
        <row r="46">
          <cell r="A46" t="str">
            <v>COLLEGE OF CENTRAL FLORIDA</v>
          </cell>
          <cell r="B46">
            <v>85764502</v>
          </cell>
          <cell r="C46">
            <v>85913922</v>
          </cell>
          <cell r="D46">
            <v>171678424</v>
          </cell>
        </row>
        <row r="47">
          <cell r="A47" t="str">
            <v>CHIPOLA COLLEGE</v>
          </cell>
          <cell r="B47">
            <v>61327492</v>
          </cell>
          <cell r="C47">
            <v>17916736</v>
          </cell>
          <cell r="D47">
            <v>79244228</v>
          </cell>
        </row>
        <row r="48">
          <cell r="A48" t="str">
            <v>DAYTONA STATE COLLEGE</v>
          </cell>
          <cell r="B48">
            <v>185737997</v>
          </cell>
          <cell r="C48">
            <v>19861695</v>
          </cell>
          <cell r="D48">
            <v>205599692</v>
          </cell>
        </row>
        <row r="49">
          <cell r="A49" t="str">
            <v>FLORIDA SOUTHWESTERN STATE COLLEGE</v>
          </cell>
          <cell r="B49">
            <v>157746233</v>
          </cell>
          <cell r="C49">
            <v>44708159</v>
          </cell>
          <cell r="D49">
            <v>202454392</v>
          </cell>
        </row>
        <row r="50">
          <cell r="A50" t="str">
            <v>FLORIDA STATE COLLEGE AT JACKSONVILLE</v>
          </cell>
          <cell r="B50">
            <v>271686692</v>
          </cell>
          <cell r="C50">
            <v>46467136</v>
          </cell>
          <cell r="D50">
            <v>318153828</v>
          </cell>
        </row>
        <row r="51">
          <cell r="A51" t="str">
            <v>FLORIDA KEYS COMMUNITY COLLEGE</v>
          </cell>
          <cell r="B51">
            <v>27300839</v>
          </cell>
          <cell r="C51">
            <v>3185648</v>
          </cell>
          <cell r="D51">
            <v>30486487</v>
          </cell>
        </row>
        <row r="52">
          <cell r="A52" t="str">
            <v>GULF COAST STATE COLLEGE</v>
          </cell>
          <cell r="B52">
            <v>106192762</v>
          </cell>
          <cell r="C52">
            <v>30132408</v>
          </cell>
          <cell r="D52">
            <v>136325170</v>
          </cell>
        </row>
        <row r="53">
          <cell r="A53" t="str">
            <v>HILLSBOROUGH COMMUNITY COLLEGE</v>
          </cell>
          <cell r="B53">
            <v>224905527</v>
          </cell>
          <cell r="C53">
            <v>6045935</v>
          </cell>
          <cell r="D53">
            <v>230951462</v>
          </cell>
        </row>
        <row r="54">
          <cell r="A54" t="str">
            <v>INDIAN RIVER STATE COLLEGE</v>
          </cell>
          <cell r="B54">
            <v>260057408</v>
          </cell>
          <cell r="C54">
            <v>75707790</v>
          </cell>
          <cell r="D54">
            <v>335765198</v>
          </cell>
        </row>
        <row r="55">
          <cell r="A55" t="str">
            <v>FLORIDA GATEWAY COLLEGE</v>
          </cell>
          <cell r="B55">
            <v>45331129</v>
          </cell>
          <cell r="C55">
            <v>14581122</v>
          </cell>
          <cell r="D55">
            <v>59912251</v>
          </cell>
        </row>
        <row r="56">
          <cell r="A56" t="str">
            <v>LAKE-SUMTER STATE COLLEGE</v>
          </cell>
          <cell r="B56">
            <v>64614715</v>
          </cell>
          <cell r="C56">
            <v>14967295</v>
          </cell>
          <cell r="D56">
            <v>79582010</v>
          </cell>
        </row>
        <row r="57">
          <cell r="A57" t="str">
            <v>STATE COLLEGE OF FLORIDA, MANATEE-SARASOTA</v>
          </cell>
          <cell r="B57">
            <v>106202461</v>
          </cell>
          <cell r="C57">
            <v>48675246</v>
          </cell>
          <cell r="D57">
            <v>154877707</v>
          </cell>
        </row>
        <row r="58">
          <cell r="A58" t="str">
            <v>MIAMI DADE COLLEGE</v>
          </cell>
          <cell r="B58">
            <v>1363606850</v>
          </cell>
          <cell r="C58">
            <v>125521527</v>
          </cell>
          <cell r="D58">
            <v>1489128377</v>
          </cell>
        </row>
        <row r="59">
          <cell r="A59" t="str">
            <v>NORTH FLORIDA COMMUNITY COLLEGE</v>
          </cell>
          <cell r="B59">
            <v>28783665</v>
          </cell>
          <cell r="C59">
            <v>3592212</v>
          </cell>
          <cell r="D59">
            <v>32375877</v>
          </cell>
        </row>
        <row r="60">
          <cell r="A60" t="str">
            <v>NORTHWEST FLORIDA STATE COLLEGE</v>
          </cell>
          <cell r="B60">
            <v>132330581</v>
          </cell>
          <cell r="C60">
            <v>43200907</v>
          </cell>
          <cell r="D60">
            <v>175531488</v>
          </cell>
        </row>
        <row r="61">
          <cell r="A61" t="str">
            <v>PALM BEACH STATE COLLEGE</v>
          </cell>
          <cell r="B61">
            <v>260208009</v>
          </cell>
          <cell r="C61">
            <v>31670321</v>
          </cell>
          <cell r="D61">
            <v>291878330</v>
          </cell>
        </row>
        <row r="62">
          <cell r="A62" t="str">
            <v>PASCO-HERNANDO STATE COLLEGE</v>
          </cell>
          <cell r="B62">
            <v>184896923</v>
          </cell>
          <cell r="C62">
            <v>42827111</v>
          </cell>
          <cell r="D62">
            <v>227724034</v>
          </cell>
        </row>
        <row r="63">
          <cell r="A63" t="str">
            <v>PENSACOLA STATE COLLEGE</v>
          </cell>
          <cell r="B63">
            <v>66127174</v>
          </cell>
          <cell r="C63">
            <v>22005756</v>
          </cell>
          <cell r="D63">
            <v>88132930</v>
          </cell>
        </row>
        <row r="64">
          <cell r="A64" t="str">
            <v>POLK STATE COLLEGE</v>
          </cell>
          <cell r="B64">
            <v>93965821</v>
          </cell>
          <cell r="C64">
            <v>26848685</v>
          </cell>
          <cell r="D64">
            <v>120814506</v>
          </cell>
        </row>
        <row r="65">
          <cell r="A65" t="str">
            <v>ST. JOHNS RIVER STATE COLLEGE</v>
          </cell>
          <cell r="B65">
            <v>69710424</v>
          </cell>
          <cell r="C65">
            <v>12079291</v>
          </cell>
          <cell r="D65">
            <v>81789715</v>
          </cell>
        </row>
        <row r="66">
          <cell r="A66" t="str">
            <v>ST. PETERSBURG COLLEGE</v>
          </cell>
          <cell r="B66">
            <v>295561213</v>
          </cell>
          <cell r="C66">
            <v>59962439</v>
          </cell>
          <cell r="D66">
            <v>355523652</v>
          </cell>
        </row>
        <row r="67">
          <cell r="A67" t="str">
            <v>SANTA FE COLLEGE</v>
          </cell>
          <cell r="B67">
            <v>125509097</v>
          </cell>
          <cell r="C67">
            <v>41770253</v>
          </cell>
          <cell r="D67">
            <v>167279350</v>
          </cell>
        </row>
        <row r="68">
          <cell r="A68" t="str">
            <v>SEMINOLE STATE COLLEGE OF FLORIDA</v>
          </cell>
          <cell r="B68">
            <v>202894160</v>
          </cell>
          <cell r="C68">
            <v>18724758</v>
          </cell>
          <cell r="D68">
            <v>221618918</v>
          </cell>
        </row>
        <row r="69">
          <cell r="A69" t="str">
            <v>SOUTH FLORIDA STATE COLLEGE</v>
          </cell>
          <cell r="B69">
            <v>71887178</v>
          </cell>
          <cell r="C69">
            <v>10634447</v>
          </cell>
          <cell r="D69">
            <v>82521625</v>
          </cell>
        </row>
        <row r="70">
          <cell r="A70" t="str">
            <v>TALLAHASSEE COMMUNITY COLLEGE</v>
          </cell>
          <cell r="B70">
            <v>135497218</v>
          </cell>
          <cell r="C70">
            <v>16120502</v>
          </cell>
          <cell r="D70">
            <v>151617720</v>
          </cell>
        </row>
        <row r="71">
          <cell r="A71" t="str">
            <v>VALENCIA COLLEGE</v>
          </cell>
          <cell r="B71">
            <v>304247165</v>
          </cell>
          <cell r="C71">
            <v>75042790</v>
          </cell>
          <cell r="D71">
            <v>379289955</v>
          </cell>
        </row>
      </sheetData>
      <sheetData sheetId="4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GULF COAST STATE COLLEGE</v>
          </cell>
        </row>
      </sheetData>
      <sheetData sheetId="3"/>
      <sheetData sheetId="4">
        <row r="215">
          <cell r="O215">
            <v>760121.56</v>
          </cell>
        </row>
        <row r="481">
          <cell r="O481">
            <v>4378855.1100000003</v>
          </cell>
        </row>
      </sheetData>
      <sheetData sheetId="5">
        <row r="9">
          <cell r="M9" t="str">
            <v>Unit</v>
          </cell>
        </row>
        <row r="119">
          <cell r="K119">
            <v>105924678</v>
          </cell>
          <cell r="M119">
            <v>30515507</v>
          </cell>
          <cell r="N119">
            <v>136440185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44">
          <cell r="A44" t="str">
            <v>EASTERN FLORIDA STATE COLLEGE</v>
          </cell>
          <cell r="B44">
            <v>132823495</v>
          </cell>
          <cell r="C44">
            <v>19357044</v>
          </cell>
          <cell r="D44">
            <v>152180539</v>
          </cell>
        </row>
        <row r="45">
          <cell r="A45" t="str">
            <v>BROWARD COLLEGE</v>
          </cell>
          <cell r="B45">
            <v>269782584</v>
          </cell>
          <cell r="C45">
            <v>74616540</v>
          </cell>
          <cell r="D45">
            <v>344399124</v>
          </cell>
        </row>
        <row r="46">
          <cell r="A46" t="str">
            <v>COLLEGE OF CENTRAL FLORIDA</v>
          </cell>
          <cell r="B46">
            <v>85764502</v>
          </cell>
          <cell r="C46">
            <v>85913922</v>
          </cell>
          <cell r="D46">
            <v>171678424</v>
          </cell>
        </row>
        <row r="47">
          <cell r="A47" t="str">
            <v>CHIPOLA COLLEGE</v>
          </cell>
          <cell r="B47">
            <v>61327492</v>
          </cell>
          <cell r="C47">
            <v>17916736</v>
          </cell>
          <cell r="D47">
            <v>79244228</v>
          </cell>
        </row>
        <row r="48">
          <cell r="A48" t="str">
            <v>DAYTONA STATE COLLEGE</v>
          </cell>
          <cell r="B48">
            <v>185737997</v>
          </cell>
          <cell r="C48">
            <v>19861695</v>
          </cell>
          <cell r="D48">
            <v>205599692</v>
          </cell>
        </row>
        <row r="49">
          <cell r="A49" t="str">
            <v>FLORIDA SOUTHWESTERN STATE COLLEGE</v>
          </cell>
          <cell r="B49">
            <v>157746233</v>
          </cell>
          <cell r="C49">
            <v>44708159</v>
          </cell>
          <cell r="D49">
            <v>202454392</v>
          </cell>
        </row>
        <row r="50">
          <cell r="A50" t="str">
            <v>FLORIDA STATE COLLEGE AT JACKSONVILLE</v>
          </cell>
          <cell r="B50">
            <v>271686692</v>
          </cell>
          <cell r="C50">
            <v>46467136</v>
          </cell>
          <cell r="D50">
            <v>318153828</v>
          </cell>
        </row>
        <row r="51">
          <cell r="A51" t="str">
            <v>FLORIDA KEYS COMMUNITY COLLEGE</v>
          </cell>
          <cell r="B51">
            <v>27300839</v>
          </cell>
          <cell r="C51">
            <v>3185648</v>
          </cell>
          <cell r="D51">
            <v>30486487</v>
          </cell>
        </row>
        <row r="52">
          <cell r="A52" t="str">
            <v>GULF COAST STATE COLLEGE</v>
          </cell>
          <cell r="B52">
            <v>106192762</v>
          </cell>
          <cell r="C52">
            <v>30132408</v>
          </cell>
          <cell r="D52">
            <v>136325170</v>
          </cell>
        </row>
        <row r="53">
          <cell r="A53" t="str">
            <v>HILLSBOROUGH COMMUNITY COLLEGE</v>
          </cell>
          <cell r="B53">
            <v>224905527</v>
          </cell>
          <cell r="C53">
            <v>6045935</v>
          </cell>
          <cell r="D53">
            <v>230951462</v>
          </cell>
        </row>
        <row r="54">
          <cell r="A54" t="str">
            <v>INDIAN RIVER STATE COLLEGE</v>
          </cell>
          <cell r="B54">
            <v>260057408</v>
          </cell>
          <cell r="C54">
            <v>75707790</v>
          </cell>
          <cell r="D54">
            <v>335765198</v>
          </cell>
        </row>
        <row r="55">
          <cell r="A55" t="str">
            <v>FLORIDA GATEWAY COLLEGE</v>
          </cell>
          <cell r="B55">
            <v>45331129</v>
          </cell>
          <cell r="C55">
            <v>14581122</v>
          </cell>
          <cell r="D55">
            <v>59912251</v>
          </cell>
        </row>
        <row r="56">
          <cell r="A56" t="str">
            <v>LAKE-SUMTER STATE COLLEGE</v>
          </cell>
          <cell r="B56">
            <v>64614715</v>
          </cell>
          <cell r="C56">
            <v>14967295</v>
          </cell>
          <cell r="D56">
            <v>79582010</v>
          </cell>
        </row>
        <row r="57">
          <cell r="A57" t="str">
            <v>STATE COLLEGE OF FLORIDA, MANATEE-SARASOTA</v>
          </cell>
          <cell r="B57">
            <v>106202461</v>
          </cell>
          <cell r="C57">
            <v>48675246</v>
          </cell>
          <cell r="D57">
            <v>154877707</v>
          </cell>
        </row>
        <row r="58">
          <cell r="A58" t="str">
            <v>MIAMI DADE COLLEGE</v>
          </cell>
          <cell r="B58">
            <v>1363606850</v>
          </cell>
          <cell r="C58">
            <v>125521527</v>
          </cell>
          <cell r="D58">
            <v>1489128377</v>
          </cell>
        </row>
        <row r="59">
          <cell r="A59" t="str">
            <v>NORTH FLORIDA COMMUNITY COLLEGE</v>
          </cell>
          <cell r="B59">
            <v>28783665</v>
          </cell>
          <cell r="C59">
            <v>3592212</v>
          </cell>
          <cell r="D59">
            <v>32375877</v>
          </cell>
        </row>
        <row r="60">
          <cell r="A60" t="str">
            <v>NORTHWEST FLORIDA STATE COLLEGE</v>
          </cell>
          <cell r="B60">
            <v>132330581</v>
          </cell>
          <cell r="C60">
            <v>43200907</v>
          </cell>
          <cell r="D60">
            <v>175531488</v>
          </cell>
        </row>
        <row r="61">
          <cell r="A61" t="str">
            <v>PALM BEACH STATE COLLEGE</v>
          </cell>
          <cell r="B61">
            <v>260208009</v>
          </cell>
          <cell r="C61">
            <v>31670321</v>
          </cell>
          <cell r="D61">
            <v>291878330</v>
          </cell>
        </row>
        <row r="62">
          <cell r="A62" t="str">
            <v>PASCO-HERNANDO STATE COLLEGE</v>
          </cell>
          <cell r="B62">
            <v>184896923</v>
          </cell>
          <cell r="C62">
            <v>42827111</v>
          </cell>
          <cell r="D62">
            <v>227724034</v>
          </cell>
        </row>
        <row r="63">
          <cell r="A63" t="str">
            <v>PENSACOLA STATE COLLEGE</v>
          </cell>
          <cell r="B63">
            <v>66127174</v>
          </cell>
          <cell r="C63">
            <v>22005756</v>
          </cell>
          <cell r="D63">
            <v>88132930</v>
          </cell>
        </row>
        <row r="64">
          <cell r="A64" t="str">
            <v>POLK STATE COLLEGE</v>
          </cell>
          <cell r="B64">
            <v>93965821</v>
          </cell>
          <cell r="C64">
            <v>26848685</v>
          </cell>
          <cell r="D64">
            <v>120814506</v>
          </cell>
        </row>
        <row r="65">
          <cell r="A65" t="str">
            <v>ST. JOHNS RIVER STATE COLLEGE</v>
          </cell>
          <cell r="B65">
            <v>69710424</v>
          </cell>
          <cell r="C65">
            <v>12079291</v>
          </cell>
          <cell r="D65">
            <v>81789715</v>
          </cell>
        </row>
        <row r="66">
          <cell r="A66" t="str">
            <v>ST. PETERSBURG COLLEGE</v>
          </cell>
          <cell r="B66">
            <v>295561213</v>
          </cell>
          <cell r="C66">
            <v>59962439</v>
          </cell>
          <cell r="D66">
            <v>355523652</v>
          </cell>
        </row>
        <row r="67">
          <cell r="A67" t="str">
            <v>SANTA FE COLLEGE</v>
          </cell>
          <cell r="B67">
            <v>125509097</v>
          </cell>
          <cell r="C67">
            <v>41770253</v>
          </cell>
          <cell r="D67">
            <v>167279350</v>
          </cell>
        </row>
        <row r="68">
          <cell r="A68" t="str">
            <v>SEMINOLE STATE COLLEGE OF FLORIDA</v>
          </cell>
          <cell r="B68">
            <v>202894160</v>
          </cell>
          <cell r="C68">
            <v>18724758</v>
          </cell>
          <cell r="D68">
            <v>221618918</v>
          </cell>
        </row>
        <row r="69">
          <cell r="A69" t="str">
            <v>SOUTH FLORIDA STATE COLLEGE</v>
          </cell>
          <cell r="B69">
            <v>71887178</v>
          </cell>
          <cell r="C69">
            <v>10634447</v>
          </cell>
          <cell r="D69">
            <v>82521625</v>
          </cell>
        </row>
        <row r="70">
          <cell r="A70" t="str">
            <v>TALLAHASSEE COMMUNITY COLLEGE</v>
          </cell>
          <cell r="B70">
            <v>135497218</v>
          </cell>
          <cell r="C70">
            <v>16120502</v>
          </cell>
          <cell r="D70">
            <v>151617720</v>
          </cell>
        </row>
        <row r="71">
          <cell r="A71" t="str">
            <v>VALENCIA COLLEGE</v>
          </cell>
          <cell r="B71">
            <v>304247165</v>
          </cell>
          <cell r="C71">
            <v>75042790</v>
          </cell>
          <cell r="D71">
            <v>379289955</v>
          </cell>
        </row>
      </sheetData>
      <sheetData sheetId="4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HILLSBOROUGH COMMUNITY COLLEGE</v>
          </cell>
        </row>
      </sheetData>
      <sheetData sheetId="3"/>
      <sheetData sheetId="4">
        <row r="484">
          <cell r="O484">
            <v>9656151.3300000001</v>
          </cell>
        </row>
      </sheetData>
      <sheetData sheetId="5">
        <row r="9">
          <cell r="M9" t="str">
            <v>Unit</v>
          </cell>
        </row>
        <row r="119">
          <cell r="K119">
            <v>189383841</v>
          </cell>
          <cell r="M119">
            <v>6904947</v>
          </cell>
          <cell r="N119">
            <v>196288788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44">
          <cell r="A44" t="str">
            <v>EASTERN FLORIDA STATE COLLEGE</v>
          </cell>
          <cell r="B44">
            <v>132823495</v>
          </cell>
          <cell r="C44">
            <v>19357044</v>
          </cell>
          <cell r="D44">
            <v>152180539</v>
          </cell>
        </row>
        <row r="45">
          <cell r="A45" t="str">
            <v>BROWARD COLLEGE</v>
          </cell>
          <cell r="B45">
            <v>269782584</v>
          </cell>
          <cell r="C45">
            <v>74616540</v>
          </cell>
          <cell r="D45">
            <v>344399124</v>
          </cell>
        </row>
        <row r="46">
          <cell r="A46" t="str">
            <v>COLLEGE OF CENTRAL FLORIDA</v>
          </cell>
          <cell r="B46">
            <v>85764502</v>
          </cell>
          <cell r="C46">
            <v>85913922</v>
          </cell>
          <cell r="D46">
            <v>171678424</v>
          </cell>
        </row>
        <row r="47">
          <cell r="A47" t="str">
            <v>CHIPOLA COLLEGE</v>
          </cell>
          <cell r="B47">
            <v>61327492</v>
          </cell>
          <cell r="C47">
            <v>17916736</v>
          </cell>
          <cell r="D47">
            <v>79244228</v>
          </cell>
        </row>
        <row r="48">
          <cell r="A48" t="str">
            <v>DAYTONA STATE COLLEGE</v>
          </cell>
          <cell r="B48">
            <v>185737997</v>
          </cell>
          <cell r="C48">
            <v>19861695</v>
          </cell>
          <cell r="D48">
            <v>205599692</v>
          </cell>
        </row>
        <row r="49">
          <cell r="A49" t="str">
            <v>FLORIDA SOUTHWESTERN STATE COLLEGE</v>
          </cell>
          <cell r="B49">
            <v>157746233</v>
          </cell>
          <cell r="C49">
            <v>44708159</v>
          </cell>
          <cell r="D49">
            <v>202454392</v>
          </cell>
        </row>
        <row r="50">
          <cell r="A50" t="str">
            <v>FLORIDA STATE COLLEGE AT JACKSONVILLE</v>
          </cell>
          <cell r="B50">
            <v>271686692</v>
          </cell>
          <cell r="C50">
            <v>46467136</v>
          </cell>
          <cell r="D50">
            <v>318153828</v>
          </cell>
        </row>
        <row r="51">
          <cell r="A51" t="str">
            <v>FLORIDA KEYS COMMUNITY COLLEGE</v>
          </cell>
          <cell r="B51">
            <v>27300839</v>
          </cell>
          <cell r="C51">
            <v>3185648</v>
          </cell>
          <cell r="D51">
            <v>30486487</v>
          </cell>
        </row>
        <row r="52">
          <cell r="A52" t="str">
            <v>GULF COAST STATE COLLEGE</v>
          </cell>
          <cell r="B52">
            <v>106192762</v>
          </cell>
          <cell r="C52">
            <v>30132408</v>
          </cell>
          <cell r="D52">
            <v>136325170</v>
          </cell>
        </row>
        <row r="53">
          <cell r="A53" t="str">
            <v>HILLSBOROUGH COMMUNITY COLLEGE</v>
          </cell>
          <cell r="B53">
            <v>224905527</v>
          </cell>
          <cell r="C53">
            <v>6045935</v>
          </cell>
          <cell r="D53">
            <v>230951462</v>
          </cell>
        </row>
        <row r="54">
          <cell r="A54" t="str">
            <v>INDIAN RIVER STATE COLLEGE</v>
          </cell>
          <cell r="B54">
            <v>260057408</v>
          </cell>
          <cell r="C54">
            <v>75707790</v>
          </cell>
          <cell r="D54">
            <v>335765198</v>
          </cell>
        </row>
        <row r="55">
          <cell r="A55" t="str">
            <v>FLORIDA GATEWAY COLLEGE</v>
          </cell>
          <cell r="B55">
            <v>45331129</v>
          </cell>
          <cell r="C55">
            <v>14581122</v>
          </cell>
          <cell r="D55">
            <v>59912251</v>
          </cell>
        </row>
        <row r="56">
          <cell r="A56" t="str">
            <v>LAKE-SUMTER STATE COLLEGE</v>
          </cell>
          <cell r="B56">
            <v>64614715</v>
          </cell>
          <cell r="C56">
            <v>14967295</v>
          </cell>
          <cell r="D56">
            <v>79582010</v>
          </cell>
        </row>
        <row r="57">
          <cell r="A57" t="str">
            <v>STATE COLLEGE OF FLORIDA, MANATEE-SARASOTA</v>
          </cell>
          <cell r="B57">
            <v>106202461</v>
          </cell>
          <cell r="C57">
            <v>48675246</v>
          </cell>
          <cell r="D57">
            <v>154877707</v>
          </cell>
        </row>
        <row r="58">
          <cell r="A58" t="str">
            <v>MIAMI DADE COLLEGE</v>
          </cell>
          <cell r="B58">
            <v>1363606850</v>
          </cell>
          <cell r="C58">
            <v>125521527</v>
          </cell>
          <cell r="D58">
            <v>1489128377</v>
          </cell>
        </row>
        <row r="59">
          <cell r="A59" t="str">
            <v>NORTH FLORIDA COMMUNITY COLLEGE</v>
          </cell>
          <cell r="B59">
            <v>28783665</v>
          </cell>
          <cell r="C59">
            <v>3592212</v>
          </cell>
          <cell r="D59">
            <v>32375877</v>
          </cell>
        </row>
        <row r="60">
          <cell r="A60" t="str">
            <v>NORTHWEST FLORIDA STATE COLLEGE</v>
          </cell>
          <cell r="B60">
            <v>132330581</v>
          </cell>
          <cell r="C60">
            <v>43200907</v>
          </cell>
          <cell r="D60">
            <v>175531488</v>
          </cell>
        </row>
        <row r="61">
          <cell r="A61" t="str">
            <v>PALM BEACH STATE COLLEGE</v>
          </cell>
          <cell r="B61">
            <v>260208009</v>
          </cell>
          <cell r="C61">
            <v>31670321</v>
          </cell>
          <cell r="D61">
            <v>291878330</v>
          </cell>
        </row>
        <row r="62">
          <cell r="A62" t="str">
            <v>PASCO-HERNANDO STATE COLLEGE</v>
          </cell>
          <cell r="B62">
            <v>184896923</v>
          </cell>
          <cell r="C62">
            <v>42827111</v>
          </cell>
          <cell r="D62">
            <v>227724034</v>
          </cell>
        </row>
        <row r="63">
          <cell r="A63" t="str">
            <v>PENSACOLA STATE COLLEGE</v>
          </cell>
          <cell r="B63">
            <v>66127174</v>
          </cell>
          <cell r="C63">
            <v>22005756</v>
          </cell>
          <cell r="D63">
            <v>88132930</v>
          </cell>
        </row>
        <row r="64">
          <cell r="A64" t="str">
            <v>POLK STATE COLLEGE</v>
          </cell>
          <cell r="B64">
            <v>93965821</v>
          </cell>
          <cell r="C64">
            <v>26848685</v>
          </cell>
          <cell r="D64">
            <v>120814506</v>
          </cell>
        </row>
        <row r="65">
          <cell r="A65" t="str">
            <v>ST. JOHNS RIVER STATE COLLEGE</v>
          </cell>
          <cell r="B65">
            <v>69710424</v>
          </cell>
          <cell r="C65">
            <v>12079291</v>
          </cell>
          <cell r="D65">
            <v>81789715</v>
          </cell>
        </row>
        <row r="66">
          <cell r="A66" t="str">
            <v>ST. PETERSBURG COLLEGE</v>
          </cell>
          <cell r="B66">
            <v>295561213</v>
          </cell>
          <cell r="C66">
            <v>59962439</v>
          </cell>
          <cell r="D66">
            <v>355523652</v>
          </cell>
        </row>
        <row r="67">
          <cell r="A67" t="str">
            <v>SANTA FE COLLEGE</v>
          </cell>
          <cell r="B67">
            <v>125509097</v>
          </cell>
          <cell r="C67">
            <v>41770253</v>
          </cell>
          <cell r="D67">
            <v>167279350</v>
          </cell>
        </row>
        <row r="68">
          <cell r="A68" t="str">
            <v>SEMINOLE STATE COLLEGE OF FLORIDA</v>
          </cell>
          <cell r="B68">
            <v>202894160</v>
          </cell>
          <cell r="C68">
            <v>18724758</v>
          </cell>
          <cell r="D68">
            <v>221618918</v>
          </cell>
        </row>
        <row r="69">
          <cell r="A69" t="str">
            <v>SOUTH FLORIDA STATE COLLEGE</v>
          </cell>
          <cell r="B69">
            <v>71887178</v>
          </cell>
          <cell r="C69">
            <v>10634447</v>
          </cell>
          <cell r="D69">
            <v>82521625</v>
          </cell>
        </row>
        <row r="70">
          <cell r="A70" t="str">
            <v>TALLAHASSEE COMMUNITY COLLEGE</v>
          </cell>
          <cell r="B70">
            <v>135497218</v>
          </cell>
          <cell r="C70">
            <v>16120502</v>
          </cell>
          <cell r="D70">
            <v>151617720</v>
          </cell>
        </row>
        <row r="71">
          <cell r="A71" t="str">
            <v>VALENCIA COLLEGE</v>
          </cell>
          <cell r="B71">
            <v>304247165</v>
          </cell>
          <cell r="C71">
            <v>75042790</v>
          </cell>
          <cell r="D71">
            <v>379289955</v>
          </cell>
        </row>
      </sheetData>
      <sheetData sheetId="4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2015.v03</v>
          </cell>
        </row>
        <row r="5">
          <cell r="C5" t="str">
            <v>INDIAN RIVER STATE COLLEGE</v>
          </cell>
        </row>
      </sheetData>
      <sheetData sheetId="3"/>
      <sheetData sheetId="4">
        <row r="215">
          <cell r="O215">
            <v>2400024.79</v>
          </cell>
        </row>
        <row r="481">
          <cell r="O481">
            <v>8251121.8600000003</v>
          </cell>
        </row>
      </sheetData>
      <sheetData sheetId="5">
        <row r="9">
          <cell r="M9" t="str">
            <v>Unit</v>
          </cell>
        </row>
        <row r="119">
          <cell r="K119">
            <v>225237529</v>
          </cell>
          <cell r="M119">
            <v>81366985</v>
          </cell>
          <cell r="N119">
            <v>306604516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44">
          <cell r="A44" t="str">
            <v>EASTERN FLORIDA STATE COLLEGE</v>
          </cell>
          <cell r="B44">
            <v>132823495</v>
          </cell>
          <cell r="C44">
            <v>19357044</v>
          </cell>
          <cell r="D44">
            <v>152180539</v>
          </cell>
        </row>
        <row r="45">
          <cell r="A45" t="str">
            <v>BROWARD COLLEGE</v>
          </cell>
          <cell r="B45">
            <v>269782584</v>
          </cell>
          <cell r="C45">
            <v>74616540</v>
          </cell>
          <cell r="D45">
            <v>344399124</v>
          </cell>
        </row>
        <row r="46">
          <cell r="A46" t="str">
            <v>COLLEGE OF CENTRAL FLORIDA</v>
          </cell>
          <cell r="B46">
            <v>85764502</v>
          </cell>
          <cell r="C46">
            <v>85913922</v>
          </cell>
          <cell r="D46">
            <v>171678424</v>
          </cell>
        </row>
        <row r="47">
          <cell r="A47" t="str">
            <v>CHIPOLA COLLEGE</v>
          </cell>
          <cell r="B47">
            <v>61327492</v>
          </cell>
          <cell r="C47">
            <v>17916736</v>
          </cell>
          <cell r="D47">
            <v>79244228</v>
          </cell>
        </row>
        <row r="48">
          <cell r="A48" t="str">
            <v>DAYTONA STATE COLLEGE</v>
          </cell>
          <cell r="B48">
            <v>185737997</v>
          </cell>
          <cell r="C48">
            <v>19861695</v>
          </cell>
          <cell r="D48">
            <v>205599692</v>
          </cell>
        </row>
        <row r="49">
          <cell r="A49" t="str">
            <v>FLORIDA SOUTHWESTERN STATE COLLEGE</v>
          </cell>
          <cell r="B49">
            <v>157746233</v>
          </cell>
          <cell r="C49">
            <v>44708159</v>
          </cell>
          <cell r="D49">
            <v>202454392</v>
          </cell>
        </row>
        <row r="50">
          <cell r="A50" t="str">
            <v>FLORIDA STATE COLLEGE AT JACKSONVILLE</v>
          </cell>
          <cell r="B50">
            <v>271686692</v>
          </cell>
          <cell r="C50">
            <v>46467136</v>
          </cell>
          <cell r="D50">
            <v>318153828</v>
          </cell>
        </row>
        <row r="51">
          <cell r="A51" t="str">
            <v>FLORIDA KEYS COMMUNITY COLLEGE</v>
          </cell>
          <cell r="B51">
            <v>27300839</v>
          </cell>
          <cell r="C51">
            <v>3185648</v>
          </cell>
          <cell r="D51">
            <v>30486487</v>
          </cell>
        </row>
        <row r="52">
          <cell r="A52" t="str">
            <v>GULF COAST STATE COLLEGE</v>
          </cell>
          <cell r="B52">
            <v>106192762</v>
          </cell>
          <cell r="C52">
            <v>30132408</v>
          </cell>
          <cell r="D52">
            <v>136325170</v>
          </cell>
        </row>
        <row r="53">
          <cell r="A53" t="str">
            <v>HILLSBOROUGH COMMUNITY COLLEGE</v>
          </cell>
          <cell r="B53">
            <v>224905527</v>
          </cell>
          <cell r="C53">
            <v>6045935</v>
          </cell>
          <cell r="D53">
            <v>230951462</v>
          </cell>
        </row>
        <row r="54">
          <cell r="A54" t="str">
            <v>INDIAN RIVER STATE COLLEGE</v>
          </cell>
          <cell r="B54">
            <v>260057408</v>
          </cell>
          <cell r="C54">
            <v>75707790</v>
          </cell>
          <cell r="D54">
            <v>335765198</v>
          </cell>
        </row>
        <row r="55">
          <cell r="A55" t="str">
            <v>FLORIDA GATEWAY COLLEGE</v>
          </cell>
          <cell r="B55">
            <v>45331129</v>
          </cell>
          <cell r="C55">
            <v>14581122</v>
          </cell>
          <cell r="D55">
            <v>59912251</v>
          </cell>
        </row>
        <row r="56">
          <cell r="A56" t="str">
            <v>LAKE-SUMTER STATE COLLEGE</v>
          </cell>
          <cell r="B56">
            <v>64614715</v>
          </cell>
          <cell r="C56">
            <v>14967295</v>
          </cell>
          <cell r="D56">
            <v>79582010</v>
          </cell>
        </row>
        <row r="57">
          <cell r="A57" t="str">
            <v>STATE COLLEGE OF FLORIDA, MANATEE-SARASOTA</v>
          </cell>
          <cell r="B57">
            <v>106202461</v>
          </cell>
          <cell r="C57">
            <v>48675246</v>
          </cell>
          <cell r="D57">
            <v>154877707</v>
          </cell>
        </row>
        <row r="58">
          <cell r="A58" t="str">
            <v>MIAMI DADE COLLEGE</v>
          </cell>
          <cell r="B58">
            <v>1363606850</v>
          </cell>
          <cell r="C58">
            <v>125521527</v>
          </cell>
          <cell r="D58">
            <v>1489128377</v>
          </cell>
        </row>
        <row r="59">
          <cell r="A59" t="str">
            <v>NORTH FLORIDA COMMUNITY COLLEGE</v>
          </cell>
          <cell r="B59">
            <v>28783665</v>
          </cell>
          <cell r="C59">
            <v>3592212</v>
          </cell>
          <cell r="D59">
            <v>32375877</v>
          </cell>
        </row>
        <row r="60">
          <cell r="A60" t="str">
            <v>NORTHWEST FLORIDA STATE COLLEGE</v>
          </cell>
          <cell r="B60">
            <v>132330581</v>
          </cell>
          <cell r="C60">
            <v>43200907</v>
          </cell>
          <cell r="D60">
            <v>175531488</v>
          </cell>
        </row>
        <row r="61">
          <cell r="A61" t="str">
            <v>PALM BEACH STATE COLLEGE</v>
          </cell>
          <cell r="B61">
            <v>258962011</v>
          </cell>
          <cell r="C61">
            <v>31670321</v>
          </cell>
          <cell r="D61">
            <v>290632332</v>
          </cell>
        </row>
        <row r="62">
          <cell r="A62" t="str">
            <v>PASCO-HERNANDO STATE COLLEGE</v>
          </cell>
          <cell r="B62">
            <v>184896923</v>
          </cell>
          <cell r="C62">
            <v>42827111</v>
          </cell>
          <cell r="D62">
            <v>227724034</v>
          </cell>
        </row>
        <row r="63">
          <cell r="A63" t="str">
            <v>PENSACOLA STATE COLLEGE</v>
          </cell>
          <cell r="B63">
            <v>66127174</v>
          </cell>
          <cell r="C63">
            <v>22005756</v>
          </cell>
          <cell r="D63">
            <v>88132930</v>
          </cell>
        </row>
        <row r="64">
          <cell r="A64" t="str">
            <v>POLK STATE COLLEGE</v>
          </cell>
          <cell r="B64">
            <v>93965821</v>
          </cell>
          <cell r="C64">
            <v>26848685</v>
          </cell>
          <cell r="D64">
            <v>120814506</v>
          </cell>
        </row>
        <row r="65">
          <cell r="A65" t="str">
            <v>ST. JOHNS RIVER STATE COLLEGE</v>
          </cell>
          <cell r="B65">
            <v>69710424</v>
          </cell>
          <cell r="C65">
            <v>12079291</v>
          </cell>
          <cell r="D65">
            <v>81789715</v>
          </cell>
        </row>
        <row r="66">
          <cell r="A66" t="str">
            <v>ST. PETERSBURG COLLEGE</v>
          </cell>
          <cell r="B66">
            <v>295561213</v>
          </cell>
          <cell r="C66">
            <v>59962439</v>
          </cell>
          <cell r="D66">
            <v>355523652</v>
          </cell>
        </row>
        <row r="67">
          <cell r="A67" t="str">
            <v>SANTA FE COLLEGE</v>
          </cell>
          <cell r="B67">
            <v>125509097</v>
          </cell>
          <cell r="C67">
            <v>41770253</v>
          </cell>
          <cell r="D67">
            <v>167279350</v>
          </cell>
        </row>
        <row r="68">
          <cell r="A68" t="str">
            <v>SEMINOLE STATE COLLEGE OF FLORIDA</v>
          </cell>
          <cell r="B68">
            <v>202894160</v>
          </cell>
          <cell r="C68">
            <v>18724758</v>
          </cell>
          <cell r="D68">
            <v>221618918</v>
          </cell>
        </row>
        <row r="69">
          <cell r="A69" t="str">
            <v>SOUTH FLORIDA STATE COLLEGE</v>
          </cell>
          <cell r="B69">
            <v>71887178</v>
          </cell>
          <cell r="C69">
            <v>10634447</v>
          </cell>
          <cell r="D69">
            <v>82521625</v>
          </cell>
        </row>
        <row r="70">
          <cell r="A70" t="str">
            <v>TALLAHASSEE COMMUNITY COLLEGE</v>
          </cell>
          <cell r="B70">
            <v>135497218</v>
          </cell>
          <cell r="C70">
            <v>16120502</v>
          </cell>
          <cell r="D70">
            <v>151617720</v>
          </cell>
        </row>
        <row r="71">
          <cell r="A71" t="str">
            <v>VALENCIA COLLEGE</v>
          </cell>
          <cell r="B71">
            <v>304247165</v>
          </cell>
          <cell r="C71">
            <v>75042790</v>
          </cell>
          <cell r="D71">
            <v>379289955</v>
          </cell>
        </row>
      </sheetData>
      <sheetData sheetId="40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FLORIDA GATEWAY COLLEGE</v>
          </cell>
        </row>
      </sheetData>
      <sheetData sheetId="3"/>
      <sheetData sheetId="4">
        <row r="215">
          <cell r="O215">
            <v>304764.61</v>
          </cell>
        </row>
        <row r="481">
          <cell r="O481">
            <v>2047920.66</v>
          </cell>
        </row>
      </sheetData>
      <sheetData sheetId="5">
        <row r="9">
          <cell r="M9" t="str">
            <v>Unit</v>
          </cell>
        </row>
        <row r="119">
          <cell r="K119">
            <v>37959180</v>
          </cell>
          <cell r="M119">
            <v>15761728</v>
          </cell>
          <cell r="N119">
            <v>53720908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44">
          <cell r="A44" t="str">
            <v>EASTERN FLORIDA STATE COLLEGE</v>
          </cell>
          <cell r="B44">
            <v>132823495</v>
          </cell>
          <cell r="C44">
            <v>19357044</v>
          </cell>
          <cell r="D44">
            <v>152180539</v>
          </cell>
        </row>
        <row r="45">
          <cell r="A45" t="str">
            <v>BROWARD COLLEGE</v>
          </cell>
          <cell r="B45">
            <v>269782584</v>
          </cell>
          <cell r="C45">
            <v>74616540</v>
          </cell>
          <cell r="D45">
            <v>344399124</v>
          </cell>
        </row>
        <row r="46">
          <cell r="A46" t="str">
            <v>COLLEGE OF CENTRAL FLORIDA</v>
          </cell>
          <cell r="B46">
            <v>85764502</v>
          </cell>
          <cell r="C46">
            <v>85913922</v>
          </cell>
          <cell r="D46">
            <v>171678424</v>
          </cell>
        </row>
        <row r="47">
          <cell r="A47" t="str">
            <v>CHIPOLA COLLEGE</v>
          </cell>
          <cell r="B47">
            <v>61327492</v>
          </cell>
          <cell r="C47">
            <v>17916736</v>
          </cell>
          <cell r="D47">
            <v>79244228</v>
          </cell>
        </row>
        <row r="48">
          <cell r="A48" t="str">
            <v>DAYTONA STATE COLLEGE</v>
          </cell>
          <cell r="B48">
            <v>185737997</v>
          </cell>
          <cell r="C48">
            <v>19861695</v>
          </cell>
          <cell r="D48">
            <v>205599692</v>
          </cell>
        </row>
        <row r="49">
          <cell r="A49" t="str">
            <v>FLORIDA SOUTHWESTERN STATE COLLEGE</v>
          </cell>
          <cell r="B49">
            <v>157746233</v>
          </cell>
          <cell r="C49">
            <v>44708159</v>
          </cell>
          <cell r="D49">
            <v>202454392</v>
          </cell>
        </row>
        <row r="50">
          <cell r="A50" t="str">
            <v>FLORIDA STATE COLLEGE AT JACKSONVILLE</v>
          </cell>
          <cell r="B50">
            <v>271686692</v>
          </cell>
          <cell r="C50">
            <v>46467136</v>
          </cell>
          <cell r="D50">
            <v>318153828</v>
          </cell>
        </row>
        <row r="51">
          <cell r="A51" t="str">
            <v>FLORIDA KEYS COMMUNITY COLLEGE</v>
          </cell>
          <cell r="B51">
            <v>27300839</v>
          </cell>
          <cell r="C51">
            <v>3185648</v>
          </cell>
          <cell r="D51">
            <v>30486487</v>
          </cell>
        </row>
        <row r="52">
          <cell r="A52" t="str">
            <v>GULF COAST STATE COLLEGE</v>
          </cell>
          <cell r="B52">
            <v>106192762</v>
          </cell>
          <cell r="C52">
            <v>30132408</v>
          </cell>
          <cell r="D52">
            <v>136325170</v>
          </cell>
        </row>
        <row r="53">
          <cell r="A53" t="str">
            <v>HILLSBOROUGH COMMUNITY COLLEGE</v>
          </cell>
          <cell r="B53">
            <v>224905527</v>
          </cell>
          <cell r="C53">
            <v>6045935</v>
          </cell>
          <cell r="D53">
            <v>230951462</v>
          </cell>
        </row>
        <row r="54">
          <cell r="A54" t="str">
            <v>INDIAN RIVER STATE COLLEGE</v>
          </cell>
          <cell r="B54">
            <v>260057408</v>
          </cell>
          <cell r="C54">
            <v>75707790</v>
          </cell>
          <cell r="D54">
            <v>335765198</v>
          </cell>
        </row>
        <row r="55">
          <cell r="A55" t="str">
            <v>FLORIDA GATEWAY COLLEGE</v>
          </cell>
          <cell r="B55">
            <v>45331129</v>
          </cell>
          <cell r="C55">
            <v>14581122</v>
          </cell>
          <cell r="D55">
            <v>59912251</v>
          </cell>
        </row>
        <row r="56">
          <cell r="A56" t="str">
            <v>LAKE-SUMTER STATE COLLEGE</v>
          </cell>
          <cell r="B56">
            <v>64614715</v>
          </cell>
          <cell r="C56">
            <v>14967295</v>
          </cell>
          <cell r="D56">
            <v>79582010</v>
          </cell>
        </row>
        <row r="57">
          <cell r="A57" t="str">
            <v>STATE COLLEGE OF FLORIDA, MANATEE-SARASOTA</v>
          </cell>
          <cell r="B57">
            <v>106202461</v>
          </cell>
          <cell r="C57">
            <v>48675246</v>
          </cell>
          <cell r="D57">
            <v>154877707</v>
          </cell>
        </row>
        <row r="58">
          <cell r="A58" t="str">
            <v>MIAMI DADE COLLEGE</v>
          </cell>
          <cell r="B58">
            <v>1363606850</v>
          </cell>
          <cell r="C58">
            <v>125521527</v>
          </cell>
          <cell r="D58">
            <v>1489128377</v>
          </cell>
        </row>
        <row r="59">
          <cell r="A59" t="str">
            <v>NORTH FLORIDA COMMUNITY COLLEGE</v>
          </cell>
          <cell r="B59">
            <v>28783665</v>
          </cell>
          <cell r="C59">
            <v>3592212</v>
          </cell>
          <cell r="D59">
            <v>32375877</v>
          </cell>
        </row>
        <row r="60">
          <cell r="A60" t="str">
            <v>NORTHWEST FLORIDA STATE COLLEGE</v>
          </cell>
          <cell r="B60">
            <v>132330581</v>
          </cell>
          <cell r="C60">
            <v>43200907</v>
          </cell>
          <cell r="D60">
            <v>175531488</v>
          </cell>
        </row>
        <row r="61">
          <cell r="A61" t="str">
            <v>PALM BEACH STATE COLLEGE</v>
          </cell>
          <cell r="B61">
            <v>260208009</v>
          </cell>
          <cell r="C61">
            <v>31670321</v>
          </cell>
          <cell r="D61">
            <v>291878330</v>
          </cell>
        </row>
        <row r="62">
          <cell r="A62" t="str">
            <v>PASCO-HERNANDO STATE COLLEGE</v>
          </cell>
          <cell r="B62">
            <v>184896923</v>
          </cell>
          <cell r="C62">
            <v>42827111</v>
          </cell>
          <cell r="D62">
            <v>227724034</v>
          </cell>
        </row>
        <row r="63">
          <cell r="A63" t="str">
            <v>PENSACOLA STATE COLLEGE</v>
          </cell>
          <cell r="B63">
            <v>66127174</v>
          </cell>
          <cell r="C63">
            <v>22005756</v>
          </cell>
          <cell r="D63">
            <v>88132930</v>
          </cell>
        </row>
        <row r="64">
          <cell r="A64" t="str">
            <v>POLK STATE COLLEGE</v>
          </cell>
          <cell r="B64">
            <v>93965821</v>
          </cell>
          <cell r="C64">
            <v>26848685</v>
          </cell>
          <cell r="D64">
            <v>120814506</v>
          </cell>
        </row>
        <row r="65">
          <cell r="A65" t="str">
            <v>ST. JOHNS RIVER STATE COLLEGE</v>
          </cell>
          <cell r="B65">
            <v>69710424</v>
          </cell>
          <cell r="C65">
            <v>12079291</v>
          </cell>
          <cell r="D65">
            <v>81789715</v>
          </cell>
        </row>
        <row r="66">
          <cell r="A66" t="str">
            <v>ST. PETERSBURG COLLEGE</v>
          </cell>
          <cell r="B66">
            <v>295561213</v>
          </cell>
          <cell r="C66">
            <v>59962439</v>
          </cell>
          <cell r="D66">
            <v>355523652</v>
          </cell>
        </row>
        <row r="67">
          <cell r="A67" t="str">
            <v>SANTA FE COLLEGE</v>
          </cell>
          <cell r="B67">
            <v>125509097</v>
          </cell>
          <cell r="C67">
            <v>41770253</v>
          </cell>
          <cell r="D67">
            <v>167279350</v>
          </cell>
        </row>
        <row r="68">
          <cell r="A68" t="str">
            <v>SEMINOLE STATE COLLEGE OF FLORIDA</v>
          </cell>
          <cell r="B68">
            <v>202894160</v>
          </cell>
          <cell r="C68">
            <v>18724758</v>
          </cell>
          <cell r="D68">
            <v>221618918</v>
          </cell>
        </row>
        <row r="69">
          <cell r="A69" t="str">
            <v>SOUTH FLORIDA STATE COLLEGE</v>
          </cell>
          <cell r="B69">
            <v>71887178</v>
          </cell>
          <cell r="C69">
            <v>10634447</v>
          </cell>
          <cell r="D69">
            <v>82521625</v>
          </cell>
        </row>
        <row r="70">
          <cell r="A70" t="str">
            <v>TALLAHASSEE COMMUNITY COLLEGE</v>
          </cell>
          <cell r="B70">
            <v>135497218</v>
          </cell>
          <cell r="C70">
            <v>16120502</v>
          </cell>
          <cell r="D70">
            <v>151617720</v>
          </cell>
        </row>
        <row r="71">
          <cell r="A71" t="str">
            <v>VALENCIA COLLEGE</v>
          </cell>
          <cell r="B71">
            <v>304247165</v>
          </cell>
          <cell r="C71">
            <v>75042790</v>
          </cell>
          <cell r="D71">
            <v>379289955</v>
          </cell>
        </row>
      </sheetData>
      <sheetData sheetId="4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LAKE-SUMTER STATE COLLEGE</v>
          </cell>
        </row>
      </sheetData>
      <sheetData sheetId="3"/>
      <sheetData sheetId="4">
        <row r="215">
          <cell r="O215">
            <v>647519.37</v>
          </cell>
        </row>
        <row r="481">
          <cell r="O481">
            <v>1971466.5</v>
          </cell>
        </row>
      </sheetData>
      <sheetData sheetId="5">
        <row r="9">
          <cell r="M9" t="str">
            <v>Unit</v>
          </cell>
        </row>
        <row r="119">
          <cell r="K119">
            <v>60867949</v>
          </cell>
          <cell r="M119">
            <v>16106775</v>
          </cell>
          <cell r="N119">
            <v>76974724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44">
          <cell r="A44" t="str">
            <v>EASTERN FLORIDA STATE COLLEGE</v>
          </cell>
          <cell r="B44">
            <v>132823495</v>
          </cell>
          <cell r="C44">
            <v>19357044</v>
          </cell>
          <cell r="D44">
            <v>152180539</v>
          </cell>
        </row>
        <row r="45">
          <cell r="A45" t="str">
            <v>BROWARD COLLEGE</v>
          </cell>
          <cell r="B45">
            <v>269782584</v>
          </cell>
          <cell r="C45">
            <v>74616540</v>
          </cell>
          <cell r="D45">
            <v>344399124</v>
          </cell>
        </row>
        <row r="46">
          <cell r="A46" t="str">
            <v>COLLEGE OF CENTRAL FLORIDA</v>
          </cell>
          <cell r="B46">
            <v>85764502</v>
          </cell>
          <cell r="C46">
            <v>85913922</v>
          </cell>
          <cell r="D46">
            <v>171678424</v>
          </cell>
        </row>
        <row r="47">
          <cell r="A47" t="str">
            <v>CHIPOLA COLLEGE</v>
          </cell>
          <cell r="B47">
            <v>61327492</v>
          </cell>
          <cell r="C47">
            <v>17916736</v>
          </cell>
          <cell r="D47">
            <v>79244228</v>
          </cell>
        </row>
        <row r="48">
          <cell r="A48" t="str">
            <v>DAYTONA STATE COLLEGE</v>
          </cell>
          <cell r="B48">
            <v>185737997</v>
          </cell>
          <cell r="C48">
            <v>19861695</v>
          </cell>
          <cell r="D48">
            <v>205599692</v>
          </cell>
        </row>
        <row r="49">
          <cell r="A49" t="str">
            <v>FLORIDA SOUTHWESTERN STATE COLLEGE</v>
          </cell>
          <cell r="B49">
            <v>157746233</v>
          </cell>
          <cell r="C49">
            <v>44708159</v>
          </cell>
          <cell r="D49">
            <v>202454392</v>
          </cell>
        </row>
        <row r="50">
          <cell r="A50" t="str">
            <v>FLORIDA STATE COLLEGE AT JACKSONVILLE</v>
          </cell>
          <cell r="B50">
            <v>271686692</v>
          </cell>
          <cell r="C50">
            <v>46467136</v>
          </cell>
          <cell r="D50">
            <v>318153828</v>
          </cell>
        </row>
        <row r="51">
          <cell r="A51" t="str">
            <v>FLORIDA KEYS COMMUNITY COLLEGE</v>
          </cell>
          <cell r="B51">
            <v>27300839</v>
          </cell>
          <cell r="C51">
            <v>3185648</v>
          </cell>
          <cell r="D51">
            <v>30486487</v>
          </cell>
        </row>
        <row r="52">
          <cell r="A52" t="str">
            <v>GULF COAST STATE COLLEGE</v>
          </cell>
          <cell r="B52">
            <v>106192762</v>
          </cell>
          <cell r="C52">
            <v>30132408</v>
          </cell>
          <cell r="D52">
            <v>136325170</v>
          </cell>
        </row>
        <row r="53">
          <cell r="A53" t="str">
            <v>HILLSBOROUGH COMMUNITY COLLEGE</v>
          </cell>
          <cell r="B53">
            <v>224905527</v>
          </cell>
          <cell r="C53">
            <v>6045935</v>
          </cell>
          <cell r="D53">
            <v>230951462</v>
          </cell>
        </row>
        <row r="54">
          <cell r="A54" t="str">
            <v>INDIAN RIVER STATE COLLEGE</v>
          </cell>
          <cell r="B54">
            <v>260057408</v>
          </cell>
          <cell r="C54">
            <v>75707790</v>
          </cell>
          <cell r="D54">
            <v>335765198</v>
          </cell>
        </row>
        <row r="55">
          <cell r="A55" t="str">
            <v>FLORIDA GATEWAY COLLEGE</v>
          </cell>
          <cell r="B55">
            <v>45331129</v>
          </cell>
          <cell r="C55">
            <v>14581122</v>
          </cell>
          <cell r="D55">
            <v>59912251</v>
          </cell>
        </row>
        <row r="56">
          <cell r="A56" t="str">
            <v>LAKE-SUMTER STATE COLLEGE</v>
          </cell>
          <cell r="B56">
            <v>64614715</v>
          </cell>
          <cell r="C56">
            <v>14967295</v>
          </cell>
          <cell r="D56">
            <v>79582010</v>
          </cell>
        </row>
        <row r="57">
          <cell r="A57" t="str">
            <v>STATE COLLEGE OF FLORIDA, MANATEE-SARASOTA</v>
          </cell>
          <cell r="B57">
            <v>106202461</v>
          </cell>
          <cell r="C57">
            <v>48675246</v>
          </cell>
          <cell r="D57">
            <v>154877707</v>
          </cell>
        </row>
        <row r="58">
          <cell r="A58" t="str">
            <v>MIAMI DADE COLLEGE</v>
          </cell>
          <cell r="B58">
            <v>1363606850</v>
          </cell>
          <cell r="C58">
            <v>125521527</v>
          </cell>
          <cell r="D58">
            <v>1489128377</v>
          </cell>
        </row>
        <row r="59">
          <cell r="A59" t="str">
            <v>NORTH FLORIDA COMMUNITY COLLEGE</v>
          </cell>
          <cell r="B59">
            <v>28783665</v>
          </cell>
          <cell r="C59">
            <v>3592212</v>
          </cell>
          <cell r="D59">
            <v>32375877</v>
          </cell>
        </row>
        <row r="60">
          <cell r="A60" t="str">
            <v>NORTHWEST FLORIDA STATE COLLEGE</v>
          </cell>
          <cell r="B60">
            <v>132330581</v>
          </cell>
          <cell r="C60">
            <v>43200907</v>
          </cell>
          <cell r="D60">
            <v>175531488</v>
          </cell>
        </row>
        <row r="61">
          <cell r="A61" t="str">
            <v>PALM BEACH STATE COLLEGE</v>
          </cell>
          <cell r="B61">
            <v>260208009</v>
          </cell>
          <cell r="C61">
            <v>31670321</v>
          </cell>
          <cell r="D61">
            <v>291878330</v>
          </cell>
        </row>
        <row r="62">
          <cell r="A62" t="str">
            <v>PASCO-HERNANDO STATE COLLEGE</v>
          </cell>
          <cell r="B62">
            <v>184896923</v>
          </cell>
          <cell r="C62">
            <v>42827111</v>
          </cell>
          <cell r="D62">
            <v>227724034</v>
          </cell>
        </row>
        <row r="63">
          <cell r="A63" t="str">
            <v>PENSACOLA STATE COLLEGE</v>
          </cell>
          <cell r="B63">
            <v>66127174</v>
          </cell>
          <cell r="C63">
            <v>22005756</v>
          </cell>
          <cell r="D63">
            <v>88132930</v>
          </cell>
        </row>
        <row r="64">
          <cell r="A64" t="str">
            <v>POLK STATE COLLEGE</v>
          </cell>
          <cell r="B64">
            <v>93965821</v>
          </cell>
          <cell r="C64">
            <v>26848685</v>
          </cell>
          <cell r="D64">
            <v>120814506</v>
          </cell>
        </row>
        <row r="65">
          <cell r="A65" t="str">
            <v>ST. JOHNS RIVER STATE COLLEGE</v>
          </cell>
          <cell r="B65">
            <v>69710424</v>
          </cell>
          <cell r="C65">
            <v>12079291</v>
          </cell>
          <cell r="D65">
            <v>81789715</v>
          </cell>
        </row>
        <row r="66">
          <cell r="A66" t="str">
            <v>ST. PETERSBURG COLLEGE</v>
          </cell>
          <cell r="B66">
            <v>295561213</v>
          </cell>
          <cell r="C66">
            <v>59962439</v>
          </cell>
          <cell r="D66">
            <v>355523652</v>
          </cell>
        </row>
        <row r="67">
          <cell r="A67" t="str">
            <v>SANTA FE COLLEGE</v>
          </cell>
          <cell r="B67">
            <v>125509097</v>
          </cell>
          <cell r="C67">
            <v>41770253</v>
          </cell>
          <cell r="D67">
            <v>167279350</v>
          </cell>
        </row>
        <row r="68">
          <cell r="A68" t="str">
            <v>SEMINOLE STATE COLLEGE OF FLORIDA</v>
          </cell>
          <cell r="B68">
            <v>202894160</v>
          </cell>
          <cell r="C68">
            <v>18724758</v>
          </cell>
          <cell r="D68">
            <v>221618918</v>
          </cell>
        </row>
        <row r="69">
          <cell r="A69" t="str">
            <v>SOUTH FLORIDA STATE COLLEGE</v>
          </cell>
          <cell r="B69">
            <v>71887178</v>
          </cell>
          <cell r="C69">
            <v>10634447</v>
          </cell>
          <cell r="D69">
            <v>82521625</v>
          </cell>
        </row>
        <row r="70">
          <cell r="A70" t="str">
            <v>TALLAHASSEE COMMUNITY COLLEGE</v>
          </cell>
          <cell r="B70">
            <v>135497218</v>
          </cell>
          <cell r="C70">
            <v>16120502</v>
          </cell>
          <cell r="D70">
            <v>151617720</v>
          </cell>
        </row>
        <row r="71">
          <cell r="A71" t="str">
            <v>VALENCIA COLLEGE</v>
          </cell>
          <cell r="B71">
            <v>304247165</v>
          </cell>
          <cell r="C71">
            <v>75042790</v>
          </cell>
          <cell r="D71">
            <v>379289955</v>
          </cell>
        </row>
      </sheetData>
      <sheetData sheetId="40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STATE COLLEGE OF FLORIDA, MANATEE-SARASOTA</v>
          </cell>
        </row>
      </sheetData>
      <sheetData sheetId="3"/>
      <sheetData sheetId="4">
        <row r="215">
          <cell r="O215">
            <v>1782719.16</v>
          </cell>
        </row>
        <row r="481">
          <cell r="O481">
            <v>3790023.94</v>
          </cell>
        </row>
      </sheetData>
      <sheetData sheetId="5">
        <row r="9">
          <cell r="M9" t="str">
            <v>Unit</v>
          </cell>
        </row>
        <row r="119">
          <cell r="K119">
            <v>103233584</v>
          </cell>
          <cell r="M119">
            <v>52506943</v>
          </cell>
          <cell r="N119">
            <v>155740527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44">
          <cell r="A44" t="str">
            <v>EASTERN FLORIDA STATE COLLEGE</v>
          </cell>
          <cell r="B44">
            <v>132823495</v>
          </cell>
          <cell r="C44">
            <v>19357044</v>
          </cell>
          <cell r="D44">
            <v>152180539</v>
          </cell>
        </row>
        <row r="45">
          <cell r="A45" t="str">
            <v>BROWARD COLLEGE</v>
          </cell>
          <cell r="B45">
            <v>269782584</v>
          </cell>
          <cell r="C45">
            <v>74616540</v>
          </cell>
          <cell r="D45">
            <v>344399124</v>
          </cell>
        </row>
        <row r="46">
          <cell r="A46" t="str">
            <v>COLLEGE OF CENTRAL FLORIDA</v>
          </cell>
          <cell r="B46">
            <v>85764502</v>
          </cell>
          <cell r="C46">
            <v>85913922</v>
          </cell>
          <cell r="D46">
            <v>171678424</v>
          </cell>
        </row>
        <row r="47">
          <cell r="A47" t="str">
            <v>CHIPOLA COLLEGE</v>
          </cell>
          <cell r="B47">
            <v>61327492</v>
          </cell>
          <cell r="C47">
            <v>17916736</v>
          </cell>
          <cell r="D47">
            <v>79244228</v>
          </cell>
        </row>
        <row r="48">
          <cell r="A48" t="str">
            <v>DAYTONA STATE COLLEGE</v>
          </cell>
          <cell r="B48">
            <v>185737997</v>
          </cell>
          <cell r="C48">
            <v>19861695</v>
          </cell>
          <cell r="D48">
            <v>205599692</v>
          </cell>
        </row>
        <row r="49">
          <cell r="A49" t="str">
            <v>FLORIDA SOUTHWESTERN STATE COLLEGE</v>
          </cell>
          <cell r="B49">
            <v>157746233</v>
          </cell>
          <cell r="C49">
            <v>44708159</v>
          </cell>
          <cell r="D49">
            <v>202454392</v>
          </cell>
        </row>
        <row r="50">
          <cell r="A50" t="str">
            <v>FLORIDA STATE COLLEGE AT JACKSONVILLE</v>
          </cell>
          <cell r="B50">
            <v>271686692</v>
          </cell>
          <cell r="C50">
            <v>46467136</v>
          </cell>
          <cell r="D50">
            <v>318153828</v>
          </cell>
        </row>
        <row r="51">
          <cell r="A51" t="str">
            <v>FLORIDA KEYS COMMUNITY COLLEGE</v>
          </cell>
          <cell r="B51">
            <v>27300839</v>
          </cell>
          <cell r="C51">
            <v>3185648</v>
          </cell>
          <cell r="D51">
            <v>30486487</v>
          </cell>
        </row>
        <row r="52">
          <cell r="A52" t="str">
            <v>GULF COAST STATE COLLEGE</v>
          </cell>
          <cell r="B52">
            <v>106192762</v>
          </cell>
          <cell r="C52">
            <v>30132408</v>
          </cell>
          <cell r="D52">
            <v>136325170</v>
          </cell>
        </row>
        <row r="53">
          <cell r="A53" t="str">
            <v>HILLSBOROUGH COMMUNITY COLLEGE</v>
          </cell>
          <cell r="B53">
            <v>224905527</v>
          </cell>
          <cell r="C53">
            <v>6045935</v>
          </cell>
          <cell r="D53">
            <v>230951462</v>
          </cell>
        </row>
        <row r="54">
          <cell r="A54" t="str">
            <v>INDIAN RIVER STATE COLLEGE</v>
          </cell>
          <cell r="B54">
            <v>260057408</v>
          </cell>
          <cell r="C54">
            <v>75707790</v>
          </cell>
          <cell r="D54">
            <v>335765198</v>
          </cell>
        </row>
        <row r="55">
          <cell r="A55" t="str">
            <v>FLORIDA GATEWAY COLLEGE</v>
          </cell>
          <cell r="B55">
            <v>45331129</v>
          </cell>
          <cell r="C55">
            <v>14581122</v>
          </cell>
          <cell r="D55">
            <v>59912251</v>
          </cell>
        </row>
        <row r="56">
          <cell r="A56" t="str">
            <v>LAKE-SUMTER STATE COLLEGE</v>
          </cell>
          <cell r="B56">
            <v>64614715</v>
          </cell>
          <cell r="C56">
            <v>14967295</v>
          </cell>
          <cell r="D56">
            <v>79582010</v>
          </cell>
        </row>
        <row r="57">
          <cell r="A57" t="str">
            <v>STATE COLLEGE OF FLORIDA, MANATEE-SARASOTA</v>
          </cell>
          <cell r="B57">
            <v>106202461</v>
          </cell>
          <cell r="C57">
            <v>48675246</v>
          </cell>
          <cell r="D57">
            <v>154877707</v>
          </cell>
        </row>
        <row r="58">
          <cell r="A58" t="str">
            <v>MIAMI DADE COLLEGE</v>
          </cell>
          <cell r="B58">
            <v>1363606850</v>
          </cell>
          <cell r="C58">
            <v>125521527</v>
          </cell>
          <cell r="D58">
            <v>1489128377</v>
          </cell>
        </row>
        <row r="59">
          <cell r="A59" t="str">
            <v>NORTH FLORIDA COMMUNITY COLLEGE</v>
          </cell>
          <cell r="B59">
            <v>28783665</v>
          </cell>
          <cell r="C59">
            <v>3592212</v>
          </cell>
          <cell r="D59">
            <v>32375877</v>
          </cell>
        </row>
        <row r="60">
          <cell r="A60" t="str">
            <v>NORTHWEST FLORIDA STATE COLLEGE</v>
          </cell>
          <cell r="B60">
            <v>132330581</v>
          </cell>
          <cell r="C60">
            <v>43200907</v>
          </cell>
          <cell r="D60">
            <v>175531488</v>
          </cell>
        </row>
        <row r="61">
          <cell r="A61" t="str">
            <v>PALM BEACH STATE COLLEGE</v>
          </cell>
          <cell r="B61">
            <v>260208009</v>
          </cell>
          <cell r="C61">
            <v>31670321</v>
          </cell>
          <cell r="D61">
            <v>291878330</v>
          </cell>
        </row>
        <row r="62">
          <cell r="A62" t="str">
            <v>PASCO-HERNANDO STATE COLLEGE</v>
          </cell>
          <cell r="B62">
            <v>184896923</v>
          </cell>
          <cell r="C62">
            <v>42827111</v>
          </cell>
          <cell r="D62">
            <v>227724034</v>
          </cell>
        </row>
        <row r="63">
          <cell r="A63" t="str">
            <v>PENSACOLA STATE COLLEGE</v>
          </cell>
          <cell r="B63">
            <v>66127174</v>
          </cell>
          <cell r="C63">
            <v>22005756</v>
          </cell>
          <cell r="D63">
            <v>88132930</v>
          </cell>
        </row>
        <row r="64">
          <cell r="A64" t="str">
            <v>POLK STATE COLLEGE</v>
          </cell>
          <cell r="B64">
            <v>93965821</v>
          </cell>
          <cell r="C64">
            <v>26848685</v>
          </cell>
          <cell r="D64">
            <v>120814506</v>
          </cell>
        </row>
        <row r="65">
          <cell r="A65" t="str">
            <v>ST. JOHNS RIVER STATE COLLEGE</v>
          </cell>
          <cell r="B65">
            <v>69710424</v>
          </cell>
          <cell r="C65">
            <v>12079291</v>
          </cell>
          <cell r="D65">
            <v>81789715</v>
          </cell>
        </row>
        <row r="66">
          <cell r="A66" t="str">
            <v>ST. PETERSBURG COLLEGE</v>
          </cell>
          <cell r="B66">
            <v>295561213</v>
          </cell>
          <cell r="C66">
            <v>59962439</v>
          </cell>
          <cell r="D66">
            <v>355523652</v>
          </cell>
        </row>
        <row r="67">
          <cell r="A67" t="str">
            <v>SANTA FE COLLEGE</v>
          </cell>
          <cell r="B67">
            <v>125509097</v>
          </cell>
          <cell r="C67">
            <v>41770253</v>
          </cell>
          <cell r="D67">
            <v>167279350</v>
          </cell>
        </row>
        <row r="68">
          <cell r="A68" t="str">
            <v>SEMINOLE STATE COLLEGE OF FLORIDA</v>
          </cell>
          <cell r="B68">
            <v>202894160</v>
          </cell>
          <cell r="C68">
            <v>18724758</v>
          </cell>
          <cell r="D68">
            <v>221618918</v>
          </cell>
        </row>
        <row r="69">
          <cell r="A69" t="str">
            <v>SOUTH FLORIDA STATE COLLEGE</v>
          </cell>
          <cell r="B69">
            <v>71887178</v>
          </cell>
          <cell r="C69">
            <v>10634447</v>
          </cell>
          <cell r="D69">
            <v>82521625</v>
          </cell>
        </row>
        <row r="70">
          <cell r="A70" t="str">
            <v>TALLAHASSEE COMMUNITY COLLEGE</v>
          </cell>
          <cell r="B70">
            <v>135497218</v>
          </cell>
          <cell r="C70">
            <v>16120502</v>
          </cell>
          <cell r="D70">
            <v>151617720</v>
          </cell>
        </row>
        <row r="71">
          <cell r="A71" t="str">
            <v>VALENCIA COLLEGE</v>
          </cell>
          <cell r="B71">
            <v>304247165</v>
          </cell>
          <cell r="C71">
            <v>75042790</v>
          </cell>
          <cell r="D71">
            <v>379289955</v>
          </cell>
        </row>
      </sheetData>
      <sheetData sheetId="4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2015.v04</v>
          </cell>
        </row>
        <row r="5">
          <cell r="C5" t="str">
            <v>MIAMI DADE COLLEGE</v>
          </cell>
        </row>
      </sheetData>
      <sheetData sheetId="3"/>
      <sheetData sheetId="4"/>
      <sheetData sheetId="5">
        <row r="9">
          <cell r="M9" t="str">
            <v>Unit</v>
          </cell>
        </row>
        <row r="119">
          <cell r="K119">
            <v>1321910439</v>
          </cell>
          <cell r="M119">
            <v>132604689</v>
          </cell>
          <cell r="N119">
            <v>1454515128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44">
          <cell r="A44" t="str">
            <v>EASTERN FLORIDA STATE COLLEGE</v>
          </cell>
          <cell r="B44">
            <v>132823495</v>
          </cell>
          <cell r="C44">
            <v>19357044</v>
          </cell>
          <cell r="D44">
            <v>152180539</v>
          </cell>
        </row>
        <row r="45">
          <cell r="A45" t="str">
            <v>BROWARD COLLEGE</v>
          </cell>
          <cell r="B45">
            <v>269782584</v>
          </cell>
          <cell r="C45">
            <v>74616540</v>
          </cell>
          <cell r="D45">
            <v>344399124</v>
          </cell>
        </row>
        <row r="46">
          <cell r="A46" t="str">
            <v>COLLEGE OF CENTRAL FLORIDA</v>
          </cell>
          <cell r="B46">
            <v>85764502</v>
          </cell>
          <cell r="C46">
            <v>85913922</v>
          </cell>
          <cell r="D46">
            <v>171678424</v>
          </cell>
        </row>
        <row r="47">
          <cell r="A47" t="str">
            <v>CHIPOLA COLLEGE</v>
          </cell>
          <cell r="B47">
            <v>61327492</v>
          </cell>
          <cell r="C47">
            <v>17916736</v>
          </cell>
          <cell r="D47">
            <v>79244228</v>
          </cell>
        </row>
        <row r="48">
          <cell r="A48" t="str">
            <v>DAYTONA STATE COLLEGE</v>
          </cell>
          <cell r="B48">
            <v>185737997</v>
          </cell>
          <cell r="C48">
            <v>19861695</v>
          </cell>
          <cell r="D48">
            <v>205599692</v>
          </cell>
        </row>
        <row r="49">
          <cell r="A49" t="str">
            <v>FLORIDA SOUTHWESTERN STATE COLLEGE</v>
          </cell>
          <cell r="B49">
            <v>157746233</v>
          </cell>
          <cell r="C49">
            <v>44708159</v>
          </cell>
          <cell r="D49">
            <v>202454392</v>
          </cell>
        </row>
        <row r="50">
          <cell r="A50" t="str">
            <v>FLORIDA STATE COLLEGE AT JACKSONVILLE</v>
          </cell>
          <cell r="B50">
            <v>271686692</v>
          </cell>
          <cell r="C50">
            <v>46467136</v>
          </cell>
          <cell r="D50">
            <v>318153828</v>
          </cell>
        </row>
        <row r="51">
          <cell r="A51" t="str">
            <v>FLORIDA KEYS COMMUNITY COLLEGE</v>
          </cell>
          <cell r="B51">
            <v>27300839</v>
          </cell>
          <cell r="C51">
            <v>3185648</v>
          </cell>
          <cell r="D51">
            <v>30486487</v>
          </cell>
        </row>
        <row r="52">
          <cell r="A52" t="str">
            <v>GULF COAST STATE COLLEGE</v>
          </cell>
          <cell r="B52">
            <v>106192762</v>
          </cell>
          <cell r="C52">
            <v>30132408</v>
          </cell>
          <cell r="D52">
            <v>136325170</v>
          </cell>
        </row>
        <row r="53">
          <cell r="A53" t="str">
            <v>HILLSBOROUGH COMMUNITY COLLEGE</v>
          </cell>
          <cell r="B53">
            <v>224905527</v>
          </cell>
          <cell r="C53">
            <v>6045935</v>
          </cell>
          <cell r="D53">
            <v>230951462</v>
          </cell>
        </row>
        <row r="54">
          <cell r="A54" t="str">
            <v>INDIAN RIVER STATE COLLEGE</v>
          </cell>
          <cell r="B54">
            <v>260057408</v>
          </cell>
          <cell r="C54">
            <v>75707790</v>
          </cell>
          <cell r="D54">
            <v>335765198</v>
          </cell>
        </row>
        <row r="55">
          <cell r="A55" t="str">
            <v>FLORIDA GATEWAY COLLEGE</v>
          </cell>
          <cell r="B55">
            <v>45331129</v>
          </cell>
          <cell r="C55">
            <v>14581122</v>
          </cell>
          <cell r="D55">
            <v>59912251</v>
          </cell>
        </row>
        <row r="56">
          <cell r="A56" t="str">
            <v>LAKE-SUMTER STATE COLLEGE</v>
          </cell>
          <cell r="B56">
            <v>64614715</v>
          </cell>
          <cell r="C56">
            <v>14967295</v>
          </cell>
          <cell r="D56">
            <v>79582010</v>
          </cell>
        </row>
        <row r="57">
          <cell r="A57" t="str">
            <v>STATE COLLEGE OF FLORIDA, MANATEE-SARASOTA</v>
          </cell>
          <cell r="B57">
            <v>106202461</v>
          </cell>
          <cell r="C57">
            <v>48675246</v>
          </cell>
          <cell r="D57">
            <v>154877707</v>
          </cell>
        </row>
        <row r="58">
          <cell r="A58" t="str">
            <v>MIAMI DADE COLLEGE</v>
          </cell>
          <cell r="B58">
            <v>1363606850</v>
          </cell>
          <cell r="C58">
            <v>125521527</v>
          </cell>
          <cell r="D58">
            <v>1489128377</v>
          </cell>
        </row>
        <row r="59">
          <cell r="A59" t="str">
            <v>NORTH FLORIDA COMMUNITY COLLEGE</v>
          </cell>
          <cell r="B59">
            <v>28783665</v>
          </cell>
          <cell r="C59">
            <v>3592212</v>
          </cell>
          <cell r="D59">
            <v>32375877</v>
          </cell>
        </row>
        <row r="60">
          <cell r="A60" t="str">
            <v>NORTHWEST FLORIDA STATE COLLEGE</v>
          </cell>
          <cell r="B60">
            <v>132330581</v>
          </cell>
          <cell r="C60">
            <v>43200907</v>
          </cell>
          <cell r="D60">
            <v>175531488</v>
          </cell>
        </row>
        <row r="61">
          <cell r="A61" t="str">
            <v>PALM BEACH STATE COLLEGE</v>
          </cell>
          <cell r="B61">
            <v>260208009</v>
          </cell>
          <cell r="C61">
            <v>31670321</v>
          </cell>
          <cell r="D61">
            <v>291878330</v>
          </cell>
        </row>
        <row r="62">
          <cell r="A62" t="str">
            <v>PASCO-HERNANDO STATE COLLEGE</v>
          </cell>
          <cell r="B62">
            <v>184896923</v>
          </cell>
          <cell r="C62">
            <v>42827111</v>
          </cell>
          <cell r="D62">
            <v>227724034</v>
          </cell>
        </row>
        <row r="63">
          <cell r="A63" t="str">
            <v>PENSACOLA STATE COLLEGE</v>
          </cell>
          <cell r="B63">
            <v>66127174</v>
          </cell>
          <cell r="C63">
            <v>22005756</v>
          </cell>
          <cell r="D63">
            <v>88132930</v>
          </cell>
        </row>
        <row r="64">
          <cell r="A64" t="str">
            <v>POLK STATE COLLEGE</v>
          </cell>
          <cell r="B64">
            <v>93965821</v>
          </cell>
          <cell r="C64">
            <v>26848685</v>
          </cell>
          <cell r="D64">
            <v>120814506</v>
          </cell>
        </row>
        <row r="65">
          <cell r="A65" t="str">
            <v>ST. JOHNS RIVER STATE COLLEGE</v>
          </cell>
          <cell r="B65">
            <v>69710424</v>
          </cell>
          <cell r="C65">
            <v>12079291</v>
          </cell>
          <cell r="D65">
            <v>81789715</v>
          </cell>
        </row>
        <row r="66">
          <cell r="A66" t="str">
            <v>ST. PETERSBURG COLLEGE</v>
          </cell>
          <cell r="B66">
            <v>295561213</v>
          </cell>
          <cell r="C66">
            <v>59962439</v>
          </cell>
          <cell r="D66">
            <v>355523652</v>
          </cell>
        </row>
        <row r="67">
          <cell r="A67" t="str">
            <v>SANTA FE COLLEGE</v>
          </cell>
          <cell r="B67">
            <v>125509097</v>
          </cell>
          <cell r="C67">
            <v>41770253</v>
          </cell>
          <cell r="D67">
            <v>167279350</v>
          </cell>
        </row>
        <row r="68">
          <cell r="A68" t="str">
            <v>SEMINOLE STATE COLLEGE OF FLORIDA</v>
          </cell>
          <cell r="B68">
            <v>202894160</v>
          </cell>
          <cell r="C68">
            <v>18724758</v>
          </cell>
          <cell r="D68">
            <v>221618918</v>
          </cell>
        </row>
        <row r="69">
          <cell r="A69" t="str">
            <v>SOUTH FLORIDA STATE COLLEGE</v>
          </cell>
          <cell r="B69">
            <v>69710424</v>
          </cell>
          <cell r="C69">
            <v>12079291</v>
          </cell>
          <cell r="D69">
            <v>81789715</v>
          </cell>
        </row>
        <row r="70">
          <cell r="A70" t="str">
            <v>TALLAHASSEE COMMUNITY COLLEGE</v>
          </cell>
          <cell r="B70">
            <v>135497218</v>
          </cell>
          <cell r="C70">
            <v>16120502</v>
          </cell>
          <cell r="D70">
            <v>151617720</v>
          </cell>
        </row>
        <row r="71">
          <cell r="A71" t="str">
            <v>VALENCIA COLLEGE</v>
          </cell>
          <cell r="B71">
            <v>304247165</v>
          </cell>
          <cell r="C71">
            <v>75042790</v>
          </cell>
          <cell r="D71">
            <v>379289955</v>
          </cell>
        </row>
      </sheetData>
      <sheetData sheetId="4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6 - SEFA Data"/>
      <sheetName val="Wrksht"/>
      <sheetName val="Wrksht Exp"/>
      <sheetName val="Noncash"/>
      <sheetName val="List"/>
      <sheetName val="CFDA Program Titles Table"/>
      <sheetName val="OFA 999"/>
      <sheetName val="Fed. Agency Identifier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Yes</v>
          </cell>
          <cell r="B1" t="str">
            <v>D</v>
          </cell>
        </row>
        <row r="2">
          <cell r="A2" t="str">
            <v>No</v>
          </cell>
          <cell r="B2" t="str">
            <v>I</v>
          </cell>
        </row>
        <row r="3">
          <cell r="B3" t="str">
            <v>T</v>
          </cell>
        </row>
        <row r="4">
          <cell r="B4" t="str">
            <v>S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NORTH FLORIDA COMMUNITY COLLEGE</v>
          </cell>
        </row>
      </sheetData>
      <sheetData sheetId="3"/>
      <sheetData sheetId="4">
        <row r="215">
          <cell r="O215">
            <v>181195.15</v>
          </cell>
        </row>
        <row r="481">
          <cell r="O481">
            <v>817703.1100000001</v>
          </cell>
        </row>
      </sheetData>
      <sheetData sheetId="5">
        <row r="9">
          <cell r="M9" t="str">
            <v>Unit</v>
          </cell>
        </row>
        <row r="119">
          <cell r="K119">
            <v>25252979</v>
          </cell>
          <cell r="M119">
            <v>3732304</v>
          </cell>
          <cell r="N119">
            <v>28985283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44">
          <cell r="A44" t="str">
            <v>EASTERN FLORIDA STATE COLLEGE</v>
          </cell>
          <cell r="B44">
            <v>132823495</v>
          </cell>
          <cell r="C44">
            <v>19357044</v>
          </cell>
          <cell r="D44">
            <v>152180539</v>
          </cell>
        </row>
        <row r="45">
          <cell r="A45" t="str">
            <v>BROWARD COLLEGE</v>
          </cell>
          <cell r="B45">
            <v>269782584</v>
          </cell>
          <cell r="C45">
            <v>74616540</v>
          </cell>
          <cell r="D45">
            <v>344399124</v>
          </cell>
        </row>
        <row r="46">
          <cell r="A46" t="str">
            <v>COLLEGE OF CENTRAL FLORIDA</v>
          </cell>
          <cell r="B46">
            <v>85764502</v>
          </cell>
          <cell r="C46">
            <v>85913922</v>
          </cell>
          <cell r="D46">
            <v>171678424</v>
          </cell>
        </row>
        <row r="47">
          <cell r="A47" t="str">
            <v>CHIPOLA COLLEGE</v>
          </cell>
          <cell r="B47">
            <v>61327492</v>
          </cell>
          <cell r="C47">
            <v>17916736</v>
          </cell>
          <cell r="D47">
            <v>79244228</v>
          </cell>
        </row>
        <row r="48">
          <cell r="A48" t="str">
            <v>DAYTONA STATE COLLEGE</v>
          </cell>
          <cell r="B48">
            <v>185737997</v>
          </cell>
          <cell r="C48">
            <v>19861695</v>
          </cell>
          <cell r="D48">
            <v>205599692</v>
          </cell>
        </row>
        <row r="49">
          <cell r="A49" t="str">
            <v>FLORIDA SOUTHWESTERN STATE COLLEGE</v>
          </cell>
          <cell r="B49">
            <v>157746233</v>
          </cell>
          <cell r="C49">
            <v>44708159</v>
          </cell>
          <cell r="D49">
            <v>202454392</v>
          </cell>
        </row>
        <row r="50">
          <cell r="A50" t="str">
            <v>FLORIDA STATE COLLEGE AT JACKSONVILLE</v>
          </cell>
          <cell r="B50">
            <v>271686692</v>
          </cell>
          <cell r="C50">
            <v>46467136</v>
          </cell>
          <cell r="D50">
            <v>318153828</v>
          </cell>
        </row>
        <row r="51">
          <cell r="A51" t="str">
            <v>FLORIDA KEYS COMMUNITY COLLEGE</v>
          </cell>
          <cell r="B51">
            <v>27300839</v>
          </cell>
          <cell r="C51">
            <v>3185648</v>
          </cell>
          <cell r="D51">
            <v>30486487</v>
          </cell>
        </row>
        <row r="52">
          <cell r="A52" t="str">
            <v>GULF COAST STATE COLLEGE</v>
          </cell>
          <cell r="B52">
            <v>106192762</v>
          </cell>
          <cell r="C52">
            <v>30132408</v>
          </cell>
          <cell r="D52">
            <v>136325170</v>
          </cell>
        </row>
        <row r="53">
          <cell r="A53" t="str">
            <v>HILLSBOROUGH COMMUNITY COLLEGE</v>
          </cell>
          <cell r="B53">
            <v>224905527</v>
          </cell>
          <cell r="C53">
            <v>6045935</v>
          </cell>
          <cell r="D53">
            <v>230951462</v>
          </cell>
        </row>
        <row r="54">
          <cell r="A54" t="str">
            <v>INDIAN RIVER STATE COLLEGE</v>
          </cell>
          <cell r="B54">
            <v>260057408</v>
          </cell>
          <cell r="C54">
            <v>75707790</v>
          </cell>
          <cell r="D54">
            <v>335765198</v>
          </cell>
        </row>
        <row r="55">
          <cell r="A55" t="str">
            <v>FLORIDA GATEWAY COLLEGE</v>
          </cell>
          <cell r="B55">
            <v>45331129</v>
          </cell>
          <cell r="C55">
            <v>14581122</v>
          </cell>
          <cell r="D55">
            <v>59912251</v>
          </cell>
        </row>
        <row r="56">
          <cell r="A56" t="str">
            <v>LAKE-SUMTER STATE COLLEGE</v>
          </cell>
          <cell r="B56">
            <v>64614715</v>
          </cell>
          <cell r="C56">
            <v>14967295</v>
          </cell>
          <cell r="D56">
            <v>79582010</v>
          </cell>
        </row>
        <row r="57">
          <cell r="A57" t="str">
            <v>STATE COLLEGE OF FLORIDA, MANATEE-SARASOTA</v>
          </cell>
          <cell r="B57">
            <v>106202461</v>
          </cell>
          <cell r="C57">
            <v>48675246</v>
          </cell>
          <cell r="D57">
            <v>154877707</v>
          </cell>
        </row>
        <row r="58">
          <cell r="A58" t="str">
            <v>MIAMI DADE COLLEGE</v>
          </cell>
          <cell r="B58">
            <v>1363606850</v>
          </cell>
          <cell r="C58">
            <v>125521527</v>
          </cell>
          <cell r="D58">
            <v>1489128377</v>
          </cell>
        </row>
        <row r="59">
          <cell r="A59" t="str">
            <v>NORTH FLORIDA COMMUNITY COLLEGE</v>
          </cell>
          <cell r="B59">
            <v>28783665</v>
          </cell>
          <cell r="C59">
            <v>3592212</v>
          </cell>
          <cell r="D59">
            <v>32375877</v>
          </cell>
        </row>
        <row r="60">
          <cell r="A60" t="str">
            <v>NORTHWEST FLORIDA STATE COLLEGE</v>
          </cell>
          <cell r="B60">
            <v>132330581</v>
          </cell>
          <cell r="C60">
            <v>43200907</v>
          </cell>
          <cell r="D60">
            <v>175531488</v>
          </cell>
        </row>
        <row r="61">
          <cell r="A61" t="str">
            <v>PALM BEACH STATE COLLEGE</v>
          </cell>
          <cell r="B61">
            <v>260208009</v>
          </cell>
          <cell r="C61">
            <v>31670321</v>
          </cell>
          <cell r="D61">
            <v>291878330</v>
          </cell>
        </row>
        <row r="62">
          <cell r="A62" t="str">
            <v>PASCO-HERNANDO STATE COLLEGE</v>
          </cell>
          <cell r="B62">
            <v>184896923</v>
          </cell>
          <cell r="C62">
            <v>42827111</v>
          </cell>
          <cell r="D62">
            <v>227724034</v>
          </cell>
        </row>
        <row r="63">
          <cell r="A63" t="str">
            <v>PENSACOLA STATE COLLEGE</v>
          </cell>
          <cell r="B63">
            <v>66127174</v>
          </cell>
          <cell r="C63">
            <v>22005756</v>
          </cell>
          <cell r="D63">
            <v>88132930</v>
          </cell>
        </row>
        <row r="64">
          <cell r="A64" t="str">
            <v>POLK STATE COLLEGE</v>
          </cell>
          <cell r="B64">
            <v>93965821</v>
          </cell>
          <cell r="C64">
            <v>26848685</v>
          </cell>
          <cell r="D64">
            <v>120814506</v>
          </cell>
        </row>
        <row r="65">
          <cell r="A65" t="str">
            <v>ST. JOHNS RIVER STATE COLLEGE</v>
          </cell>
          <cell r="B65">
            <v>69710424</v>
          </cell>
          <cell r="C65">
            <v>12079291</v>
          </cell>
          <cell r="D65">
            <v>81789715</v>
          </cell>
        </row>
        <row r="66">
          <cell r="A66" t="str">
            <v>ST. PETERSBURG COLLEGE</v>
          </cell>
          <cell r="B66">
            <v>295561213</v>
          </cell>
          <cell r="C66">
            <v>59962439</v>
          </cell>
          <cell r="D66">
            <v>355523652</v>
          </cell>
        </row>
        <row r="67">
          <cell r="A67" t="str">
            <v>SANTA FE COLLEGE</v>
          </cell>
          <cell r="B67">
            <v>125509097</v>
          </cell>
          <cell r="C67">
            <v>41770253</v>
          </cell>
          <cell r="D67">
            <v>167279350</v>
          </cell>
        </row>
        <row r="68">
          <cell r="A68" t="str">
            <v>SEMINOLE STATE COLLEGE OF FLORIDA</v>
          </cell>
          <cell r="B68">
            <v>202894160</v>
          </cell>
          <cell r="C68">
            <v>18724758</v>
          </cell>
          <cell r="D68">
            <v>221618918</v>
          </cell>
        </row>
        <row r="69">
          <cell r="A69" t="str">
            <v>SOUTH FLORIDA STATE COLLEGE</v>
          </cell>
          <cell r="B69">
            <v>71887178</v>
          </cell>
          <cell r="C69">
            <v>10634447</v>
          </cell>
          <cell r="D69">
            <v>82521625</v>
          </cell>
        </row>
        <row r="70">
          <cell r="A70" t="str">
            <v>TALLAHASSEE COMMUNITY COLLEGE</v>
          </cell>
          <cell r="B70">
            <v>135497218</v>
          </cell>
          <cell r="C70">
            <v>16120502</v>
          </cell>
          <cell r="D70">
            <v>151617720</v>
          </cell>
        </row>
        <row r="71">
          <cell r="A71" t="str">
            <v>VALENCIA COLLEGE</v>
          </cell>
          <cell r="B71">
            <v>304247165</v>
          </cell>
          <cell r="C71">
            <v>75042790</v>
          </cell>
          <cell r="D71">
            <v>379289955</v>
          </cell>
        </row>
      </sheetData>
      <sheetData sheetId="40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NORTHWEST FLORIDA STATE COLLEGE</v>
          </cell>
        </row>
      </sheetData>
      <sheetData sheetId="3"/>
      <sheetData sheetId="4">
        <row r="215">
          <cell r="O215">
            <v>1496437.85</v>
          </cell>
        </row>
        <row r="481">
          <cell r="O481">
            <v>6194627.75</v>
          </cell>
        </row>
      </sheetData>
      <sheetData sheetId="5">
        <row r="9">
          <cell r="M9" t="str">
            <v>Unit</v>
          </cell>
        </row>
        <row r="119">
          <cell r="K119">
            <v>118979633</v>
          </cell>
          <cell r="M119">
            <v>47687091</v>
          </cell>
          <cell r="N119">
            <v>166666724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44">
          <cell r="A44" t="str">
            <v>EASTERN FLORIDA STATE COLLEGE</v>
          </cell>
          <cell r="B44">
            <v>132823495</v>
          </cell>
          <cell r="C44">
            <v>19357044</v>
          </cell>
          <cell r="D44">
            <v>152180539</v>
          </cell>
        </row>
        <row r="45">
          <cell r="A45" t="str">
            <v>BROWARD COLLEGE</v>
          </cell>
          <cell r="B45">
            <v>269782584</v>
          </cell>
          <cell r="C45">
            <v>74616540</v>
          </cell>
          <cell r="D45">
            <v>344399124</v>
          </cell>
        </row>
        <row r="46">
          <cell r="A46" t="str">
            <v>COLLEGE OF CENTRAL FLORIDA</v>
          </cell>
          <cell r="B46">
            <v>85764502</v>
          </cell>
          <cell r="C46">
            <v>85913922</v>
          </cell>
          <cell r="D46">
            <v>171678424</v>
          </cell>
        </row>
        <row r="47">
          <cell r="A47" t="str">
            <v>CHIPOLA COLLEGE</v>
          </cell>
          <cell r="B47">
            <v>61327492</v>
          </cell>
          <cell r="C47">
            <v>17916736</v>
          </cell>
          <cell r="D47">
            <v>79244228</v>
          </cell>
        </row>
        <row r="48">
          <cell r="A48" t="str">
            <v>DAYTONA STATE COLLEGE</v>
          </cell>
          <cell r="B48">
            <v>185737997</v>
          </cell>
          <cell r="C48">
            <v>19861695</v>
          </cell>
          <cell r="D48">
            <v>205599692</v>
          </cell>
        </row>
        <row r="49">
          <cell r="A49" t="str">
            <v>FLORIDA SOUTHWESTERN STATE COLLEGE</v>
          </cell>
          <cell r="B49">
            <v>157746233</v>
          </cell>
          <cell r="C49">
            <v>44708159</v>
          </cell>
          <cell r="D49">
            <v>202454392</v>
          </cell>
        </row>
        <row r="50">
          <cell r="A50" t="str">
            <v>FLORIDA STATE COLLEGE AT JACKSONVILLE</v>
          </cell>
          <cell r="B50">
            <v>271686692</v>
          </cell>
          <cell r="C50">
            <v>46467136</v>
          </cell>
          <cell r="D50">
            <v>318153828</v>
          </cell>
        </row>
        <row r="51">
          <cell r="A51" t="str">
            <v>FLORIDA KEYS COMMUNITY COLLEGE</v>
          </cell>
          <cell r="B51">
            <v>27300839</v>
          </cell>
          <cell r="C51">
            <v>3185648</v>
          </cell>
          <cell r="D51">
            <v>30486487</v>
          </cell>
        </row>
        <row r="52">
          <cell r="A52" t="str">
            <v>GULF COAST STATE COLLEGE</v>
          </cell>
          <cell r="B52">
            <v>106192762</v>
          </cell>
          <cell r="C52">
            <v>30132408</v>
          </cell>
          <cell r="D52">
            <v>136325170</v>
          </cell>
        </row>
        <row r="53">
          <cell r="A53" t="str">
            <v>HILLSBOROUGH COMMUNITY COLLEGE</v>
          </cell>
          <cell r="B53">
            <v>224905527</v>
          </cell>
          <cell r="C53">
            <v>6045935</v>
          </cell>
          <cell r="D53">
            <v>230951462</v>
          </cell>
        </row>
        <row r="54">
          <cell r="A54" t="str">
            <v>INDIAN RIVER STATE COLLEGE</v>
          </cell>
          <cell r="B54">
            <v>260057408</v>
          </cell>
          <cell r="C54">
            <v>75707790</v>
          </cell>
          <cell r="D54">
            <v>335765198</v>
          </cell>
        </row>
        <row r="55">
          <cell r="A55" t="str">
            <v>FLORIDA GATEWAY COLLEGE</v>
          </cell>
          <cell r="B55">
            <v>45331129</v>
          </cell>
          <cell r="C55">
            <v>14581122</v>
          </cell>
          <cell r="D55">
            <v>59912251</v>
          </cell>
        </row>
        <row r="56">
          <cell r="A56" t="str">
            <v>LAKE-SUMTER STATE COLLEGE</v>
          </cell>
          <cell r="B56">
            <v>64614715</v>
          </cell>
          <cell r="C56">
            <v>14967295</v>
          </cell>
          <cell r="D56">
            <v>79582010</v>
          </cell>
        </row>
        <row r="57">
          <cell r="A57" t="str">
            <v>STATE COLLEGE OF FLORIDA, MANATEE-SARASOTA</v>
          </cell>
          <cell r="B57">
            <v>106202461</v>
          </cell>
          <cell r="C57">
            <v>48675246</v>
          </cell>
          <cell r="D57">
            <v>154877707</v>
          </cell>
        </row>
        <row r="58">
          <cell r="A58" t="str">
            <v>MIAMI DADE COLLEGE</v>
          </cell>
          <cell r="B58">
            <v>1363606850</v>
          </cell>
          <cell r="C58">
            <v>125521527</v>
          </cell>
          <cell r="D58">
            <v>1489128377</v>
          </cell>
        </row>
        <row r="59">
          <cell r="A59" t="str">
            <v>NORTH FLORIDA COMMUNITY COLLEGE</v>
          </cell>
          <cell r="B59">
            <v>28783665</v>
          </cell>
          <cell r="C59">
            <v>3592212</v>
          </cell>
          <cell r="D59">
            <v>32375877</v>
          </cell>
        </row>
        <row r="60">
          <cell r="A60" t="str">
            <v>NORTHWEST FLORIDA STATE COLLEGE</v>
          </cell>
          <cell r="B60">
            <v>132330581</v>
          </cell>
          <cell r="C60">
            <v>43200907</v>
          </cell>
          <cell r="D60">
            <v>175531488</v>
          </cell>
        </row>
        <row r="61">
          <cell r="A61" t="str">
            <v>PALM BEACH STATE COLLEGE</v>
          </cell>
          <cell r="B61">
            <v>260208009</v>
          </cell>
          <cell r="C61">
            <v>31670321</v>
          </cell>
          <cell r="D61">
            <v>291878330</v>
          </cell>
        </row>
        <row r="62">
          <cell r="A62" t="str">
            <v>PASCO-HERNANDO STATE COLLEGE</v>
          </cell>
          <cell r="B62">
            <v>184896923</v>
          </cell>
          <cell r="C62">
            <v>42827111</v>
          </cell>
          <cell r="D62">
            <v>227724034</v>
          </cell>
        </row>
        <row r="63">
          <cell r="A63" t="str">
            <v>PENSACOLA STATE COLLEGE</v>
          </cell>
          <cell r="B63">
            <v>66127174</v>
          </cell>
          <cell r="C63">
            <v>22005756</v>
          </cell>
          <cell r="D63">
            <v>88132930</v>
          </cell>
        </row>
        <row r="64">
          <cell r="A64" t="str">
            <v>POLK STATE COLLEGE</v>
          </cell>
          <cell r="B64">
            <v>93965821</v>
          </cell>
          <cell r="C64">
            <v>26848685</v>
          </cell>
          <cell r="D64">
            <v>120814506</v>
          </cell>
        </row>
        <row r="65">
          <cell r="A65" t="str">
            <v>ST. JOHNS RIVER STATE COLLEGE</v>
          </cell>
          <cell r="B65">
            <v>69710424</v>
          </cell>
          <cell r="C65">
            <v>12079291</v>
          </cell>
          <cell r="D65">
            <v>81789715</v>
          </cell>
        </row>
        <row r="66">
          <cell r="A66" t="str">
            <v>ST. PETERSBURG COLLEGE</v>
          </cell>
          <cell r="B66">
            <v>295561213</v>
          </cell>
          <cell r="C66">
            <v>59962439</v>
          </cell>
          <cell r="D66">
            <v>355523652</v>
          </cell>
        </row>
        <row r="67">
          <cell r="A67" t="str">
            <v>SANTA FE COLLEGE</v>
          </cell>
          <cell r="B67">
            <v>125509097</v>
          </cell>
          <cell r="C67">
            <v>41770253</v>
          </cell>
          <cell r="D67">
            <v>167279350</v>
          </cell>
        </row>
        <row r="68">
          <cell r="A68" t="str">
            <v>SEMINOLE STATE COLLEGE OF FLORIDA</v>
          </cell>
          <cell r="B68">
            <v>202894160</v>
          </cell>
          <cell r="C68">
            <v>18724758</v>
          </cell>
          <cell r="D68">
            <v>221618918</v>
          </cell>
        </row>
        <row r="69">
          <cell r="A69" t="str">
            <v>SOUTH FLORIDA STATE COLLEGE</v>
          </cell>
          <cell r="B69">
            <v>71887178</v>
          </cell>
          <cell r="C69">
            <v>10634447</v>
          </cell>
          <cell r="D69">
            <v>82521625</v>
          </cell>
        </row>
        <row r="70">
          <cell r="A70" t="str">
            <v>TALLAHASSEE COMMUNITY COLLEGE</v>
          </cell>
          <cell r="B70">
            <v>135497218</v>
          </cell>
          <cell r="C70">
            <v>16120502</v>
          </cell>
          <cell r="D70">
            <v>151617720</v>
          </cell>
        </row>
        <row r="71">
          <cell r="A71" t="str">
            <v>VALENCIA COLLEGE</v>
          </cell>
          <cell r="B71">
            <v>304247165</v>
          </cell>
          <cell r="C71">
            <v>75042790</v>
          </cell>
          <cell r="D71">
            <v>379289955</v>
          </cell>
        </row>
      </sheetData>
      <sheetData sheetId="4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2015.v03</v>
          </cell>
        </row>
        <row r="5">
          <cell r="C5" t="str">
            <v>PALM BEACH STATE COLLEGE</v>
          </cell>
        </row>
      </sheetData>
      <sheetData sheetId="3"/>
      <sheetData sheetId="4">
        <row r="215">
          <cell r="O215">
            <v>4759030.2300000004</v>
          </cell>
        </row>
        <row r="481">
          <cell r="O481">
            <v>11330507.07</v>
          </cell>
        </row>
      </sheetData>
      <sheetData sheetId="5">
        <row r="9">
          <cell r="M9" t="str">
            <v>Unit</v>
          </cell>
        </row>
        <row r="119">
          <cell r="K119">
            <v>233173947</v>
          </cell>
          <cell r="M119">
            <v>32345184</v>
          </cell>
          <cell r="N119">
            <v>265519129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44">
          <cell r="A44" t="str">
            <v>EASTERN FLORIDA STATE COLLEGE</v>
          </cell>
          <cell r="B44">
            <v>132823495</v>
          </cell>
          <cell r="C44">
            <v>19357044</v>
          </cell>
          <cell r="D44">
            <v>152180539</v>
          </cell>
        </row>
        <row r="45">
          <cell r="A45" t="str">
            <v>BROWARD COLLEGE</v>
          </cell>
          <cell r="B45">
            <v>269782584</v>
          </cell>
          <cell r="C45">
            <v>74616540</v>
          </cell>
          <cell r="D45">
            <v>344399124</v>
          </cell>
        </row>
        <row r="46">
          <cell r="A46" t="str">
            <v>COLLEGE OF CENTRAL FLORIDA</v>
          </cell>
          <cell r="B46">
            <v>85764502</v>
          </cell>
          <cell r="C46">
            <v>85913922</v>
          </cell>
          <cell r="D46">
            <v>171678424</v>
          </cell>
        </row>
        <row r="47">
          <cell r="A47" t="str">
            <v>CHIPOLA COLLEGE</v>
          </cell>
          <cell r="B47">
            <v>61327492</v>
          </cell>
          <cell r="C47">
            <v>17916736</v>
          </cell>
          <cell r="D47">
            <v>79244228</v>
          </cell>
        </row>
        <row r="48">
          <cell r="A48" t="str">
            <v>DAYTONA STATE COLLEGE</v>
          </cell>
          <cell r="B48">
            <v>185737997</v>
          </cell>
          <cell r="C48">
            <v>19861695</v>
          </cell>
          <cell r="D48">
            <v>205599692</v>
          </cell>
        </row>
        <row r="49">
          <cell r="A49" t="str">
            <v>FLORIDA SOUTHWESTERN STATE COLLEGE</v>
          </cell>
          <cell r="B49">
            <v>157746233</v>
          </cell>
          <cell r="C49">
            <v>44708159</v>
          </cell>
          <cell r="D49">
            <v>202454392</v>
          </cell>
        </row>
        <row r="50">
          <cell r="A50" t="str">
            <v>FLORIDA STATE COLLEGE AT JACKSONVILLE</v>
          </cell>
          <cell r="B50">
            <v>271686692</v>
          </cell>
          <cell r="C50">
            <v>46467136</v>
          </cell>
          <cell r="D50">
            <v>318153828</v>
          </cell>
        </row>
        <row r="51">
          <cell r="A51" t="str">
            <v>FLORIDA KEYS COMMUNITY COLLEGE</v>
          </cell>
          <cell r="B51">
            <v>27300839</v>
          </cell>
          <cell r="C51">
            <v>3185648</v>
          </cell>
          <cell r="D51">
            <v>30486487</v>
          </cell>
        </row>
        <row r="52">
          <cell r="A52" t="str">
            <v>GULF COAST STATE COLLEGE</v>
          </cell>
          <cell r="B52">
            <v>106192762</v>
          </cell>
          <cell r="C52">
            <v>30132408</v>
          </cell>
          <cell r="D52">
            <v>136325170</v>
          </cell>
        </row>
        <row r="53">
          <cell r="A53" t="str">
            <v>HILLSBOROUGH COMMUNITY COLLEGE</v>
          </cell>
          <cell r="B53">
            <v>224905527</v>
          </cell>
          <cell r="C53">
            <v>6045935</v>
          </cell>
          <cell r="D53">
            <v>230951462</v>
          </cell>
        </row>
        <row r="54">
          <cell r="A54" t="str">
            <v>INDIAN RIVER STATE COLLEGE</v>
          </cell>
          <cell r="B54">
            <v>260057408</v>
          </cell>
          <cell r="C54">
            <v>75707790</v>
          </cell>
          <cell r="D54">
            <v>335765198</v>
          </cell>
        </row>
        <row r="55">
          <cell r="A55" t="str">
            <v>FLORIDA GATEWAY COLLEGE</v>
          </cell>
          <cell r="B55">
            <v>45331129</v>
          </cell>
          <cell r="C55">
            <v>14581122</v>
          </cell>
          <cell r="D55">
            <v>59912251</v>
          </cell>
        </row>
        <row r="56">
          <cell r="A56" t="str">
            <v>LAKE-SUMTER STATE COLLEGE</v>
          </cell>
          <cell r="B56">
            <v>64614715</v>
          </cell>
          <cell r="C56">
            <v>14967295</v>
          </cell>
          <cell r="D56">
            <v>79582010</v>
          </cell>
        </row>
        <row r="57">
          <cell r="A57" t="str">
            <v>STATE COLLEGE OF FLORIDA, MANATEE-SARASOTA</v>
          </cell>
          <cell r="B57">
            <v>106202461</v>
          </cell>
          <cell r="C57">
            <v>48675246</v>
          </cell>
          <cell r="D57">
            <v>154877707</v>
          </cell>
        </row>
        <row r="58">
          <cell r="A58" t="str">
            <v>MIAMI DADE COLLEGE</v>
          </cell>
          <cell r="B58">
            <v>1363606850</v>
          </cell>
          <cell r="C58">
            <v>125521527</v>
          </cell>
          <cell r="D58">
            <v>1489128377</v>
          </cell>
        </row>
        <row r="59">
          <cell r="A59" t="str">
            <v>NORTH FLORIDA COMMUNITY COLLEGE</v>
          </cell>
          <cell r="B59">
            <v>28783665</v>
          </cell>
          <cell r="C59">
            <v>3592212</v>
          </cell>
          <cell r="D59">
            <v>32375877</v>
          </cell>
        </row>
        <row r="60">
          <cell r="A60" t="str">
            <v>NORTHWEST FLORIDA STATE COLLEGE</v>
          </cell>
          <cell r="B60">
            <v>132330581</v>
          </cell>
          <cell r="C60">
            <v>43200907</v>
          </cell>
          <cell r="D60">
            <v>175531488</v>
          </cell>
        </row>
        <row r="61">
          <cell r="A61" t="str">
            <v>PALM BEACH STATE COLLEGE</v>
          </cell>
          <cell r="B61">
            <v>258962011</v>
          </cell>
          <cell r="C61">
            <v>31670321</v>
          </cell>
          <cell r="D61">
            <v>290632332</v>
          </cell>
        </row>
        <row r="62">
          <cell r="A62" t="str">
            <v>PASCO-HERNANDO STATE COLLEGE</v>
          </cell>
          <cell r="B62">
            <v>184896923</v>
          </cell>
          <cell r="C62">
            <v>42827111</v>
          </cell>
          <cell r="D62">
            <v>227724034</v>
          </cell>
        </row>
        <row r="63">
          <cell r="A63" t="str">
            <v>PENSACOLA STATE COLLEGE</v>
          </cell>
          <cell r="B63">
            <v>66127174</v>
          </cell>
          <cell r="C63">
            <v>22005756</v>
          </cell>
          <cell r="D63">
            <v>88132930</v>
          </cell>
        </row>
        <row r="64">
          <cell r="A64" t="str">
            <v>POLK STATE COLLEGE</v>
          </cell>
          <cell r="B64">
            <v>93965821</v>
          </cell>
          <cell r="C64">
            <v>26848685</v>
          </cell>
          <cell r="D64">
            <v>120814506</v>
          </cell>
        </row>
        <row r="65">
          <cell r="A65" t="str">
            <v>ST. JOHNS RIVER STATE COLLEGE</v>
          </cell>
          <cell r="B65">
            <v>69710424</v>
          </cell>
          <cell r="C65">
            <v>12079291</v>
          </cell>
          <cell r="D65">
            <v>81789715</v>
          </cell>
        </row>
        <row r="66">
          <cell r="A66" t="str">
            <v>ST. PETERSBURG COLLEGE</v>
          </cell>
          <cell r="B66">
            <v>295561213</v>
          </cell>
          <cell r="C66">
            <v>59962439</v>
          </cell>
          <cell r="D66">
            <v>355523652</v>
          </cell>
        </row>
        <row r="67">
          <cell r="A67" t="str">
            <v>SANTA FE COLLEGE</v>
          </cell>
          <cell r="B67">
            <v>125509097</v>
          </cell>
          <cell r="C67">
            <v>41770253</v>
          </cell>
          <cell r="D67">
            <v>167279350</v>
          </cell>
        </row>
        <row r="68">
          <cell r="A68" t="str">
            <v>SEMINOLE STATE COLLEGE OF FLORIDA</v>
          </cell>
          <cell r="B68">
            <v>202894160</v>
          </cell>
          <cell r="C68">
            <v>18724758</v>
          </cell>
          <cell r="D68">
            <v>221618918</v>
          </cell>
        </row>
        <row r="69">
          <cell r="A69" t="str">
            <v>SOUTH FLORIDA STATE COLLEGE</v>
          </cell>
          <cell r="B69">
            <v>71887178</v>
          </cell>
          <cell r="C69">
            <v>10634447</v>
          </cell>
          <cell r="D69">
            <v>82521625</v>
          </cell>
        </row>
        <row r="70">
          <cell r="A70" t="str">
            <v>TALLAHASSEE COMMUNITY COLLEGE</v>
          </cell>
          <cell r="B70">
            <v>135497218</v>
          </cell>
          <cell r="C70">
            <v>16120502</v>
          </cell>
          <cell r="D70">
            <v>151617720</v>
          </cell>
        </row>
        <row r="71">
          <cell r="A71" t="str">
            <v>VALENCIA COLLEGE</v>
          </cell>
          <cell r="B71">
            <v>304247165</v>
          </cell>
          <cell r="C71">
            <v>75042790</v>
          </cell>
          <cell r="D71">
            <v>379289955</v>
          </cell>
        </row>
      </sheetData>
      <sheetData sheetId="40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PASCO-HERNANDO STATE COLLEGE</v>
          </cell>
        </row>
      </sheetData>
      <sheetData sheetId="3"/>
      <sheetData sheetId="4">
        <row r="215">
          <cell r="O215">
            <v>2736037.63</v>
          </cell>
        </row>
        <row r="481">
          <cell r="O481">
            <v>8585074.9499999993</v>
          </cell>
        </row>
      </sheetData>
      <sheetData sheetId="5">
        <row r="9">
          <cell r="M9" t="str">
            <v>Unit</v>
          </cell>
        </row>
        <row r="119">
          <cell r="K119">
            <v>180724141</v>
          </cell>
          <cell r="M119">
            <v>47077062</v>
          </cell>
          <cell r="N119">
            <v>227801203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44">
          <cell r="A44" t="str">
            <v>EASTERN FLORIDA STATE COLLEGE</v>
          </cell>
          <cell r="B44">
            <v>132823495</v>
          </cell>
          <cell r="C44">
            <v>19357044</v>
          </cell>
          <cell r="D44">
            <v>152180539</v>
          </cell>
        </row>
        <row r="45">
          <cell r="A45" t="str">
            <v>BROWARD COLLEGE</v>
          </cell>
          <cell r="B45">
            <v>269782584</v>
          </cell>
          <cell r="C45">
            <v>74616540</v>
          </cell>
          <cell r="D45">
            <v>344399124</v>
          </cell>
        </row>
        <row r="46">
          <cell r="A46" t="str">
            <v>COLLEGE OF CENTRAL FLORIDA</v>
          </cell>
          <cell r="B46">
            <v>85764502</v>
          </cell>
          <cell r="C46">
            <v>85913922</v>
          </cell>
          <cell r="D46">
            <v>171678424</v>
          </cell>
        </row>
        <row r="47">
          <cell r="A47" t="str">
            <v>CHIPOLA COLLEGE</v>
          </cell>
          <cell r="B47">
            <v>61327492</v>
          </cell>
          <cell r="C47">
            <v>17916736</v>
          </cell>
          <cell r="D47">
            <v>79244228</v>
          </cell>
        </row>
        <row r="48">
          <cell r="A48" t="str">
            <v>DAYTONA STATE COLLEGE</v>
          </cell>
          <cell r="B48">
            <v>185737997</v>
          </cell>
          <cell r="C48">
            <v>19861695</v>
          </cell>
          <cell r="D48">
            <v>205599692</v>
          </cell>
        </row>
        <row r="49">
          <cell r="A49" t="str">
            <v>FLORIDA SOUTHWESTERN STATE COLLEGE</v>
          </cell>
          <cell r="B49">
            <v>157746233</v>
          </cell>
          <cell r="C49">
            <v>44708159</v>
          </cell>
          <cell r="D49">
            <v>202454392</v>
          </cell>
        </row>
        <row r="50">
          <cell r="A50" t="str">
            <v>FLORIDA STATE COLLEGE AT JACKSONVILLE</v>
          </cell>
          <cell r="B50">
            <v>271686692</v>
          </cell>
          <cell r="C50">
            <v>46467136</v>
          </cell>
          <cell r="D50">
            <v>318153828</v>
          </cell>
        </row>
        <row r="51">
          <cell r="A51" t="str">
            <v>FLORIDA KEYS COMMUNITY COLLEGE</v>
          </cell>
          <cell r="B51">
            <v>27300839</v>
          </cell>
          <cell r="C51">
            <v>3185648</v>
          </cell>
          <cell r="D51">
            <v>30486487</v>
          </cell>
        </row>
        <row r="52">
          <cell r="A52" t="str">
            <v>GULF COAST STATE COLLEGE</v>
          </cell>
          <cell r="B52">
            <v>106192762</v>
          </cell>
          <cell r="C52">
            <v>30132408</v>
          </cell>
          <cell r="D52">
            <v>136325170</v>
          </cell>
        </row>
        <row r="53">
          <cell r="A53" t="str">
            <v>HILLSBOROUGH COMMUNITY COLLEGE</v>
          </cell>
          <cell r="B53">
            <v>224905527</v>
          </cell>
          <cell r="C53">
            <v>6045935</v>
          </cell>
          <cell r="D53">
            <v>230951462</v>
          </cell>
        </row>
        <row r="54">
          <cell r="A54" t="str">
            <v>INDIAN RIVER STATE COLLEGE</v>
          </cell>
          <cell r="B54">
            <v>260057408</v>
          </cell>
          <cell r="C54">
            <v>75707790</v>
          </cell>
          <cell r="D54">
            <v>335765198</v>
          </cell>
        </row>
        <row r="55">
          <cell r="A55" t="str">
            <v>FLORIDA GATEWAY COLLEGE</v>
          </cell>
          <cell r="B55">
            <v>45331129</v>
          </cell>
          <cell r="C55">
            <v>14581122</v>
          </cell>
          <cell r="D55">
            <v>59912251</v>
          </cell>
        </row>
        <row r="56">
          <cell r="A56" t="str">
            <v>LAKE-SUMTER STATE COLLEGE</v>
          </cell>
          <cell r="B56">
            <v>64614715</v>
          </cell>
          <cell r="C56">
            <v>14967295</v>
          </cell>
          <cell r="D56">
            <v>79582010</v>
          </cell>
        </row>
        <row r="57">
          <cell r="A57" t="str">
            <v>STATE COLLEGE OF FLORIDA, MANATEE-SARASOTA</v>
          </cell>
          <cell r="B57">
            <v>106202461</v>
          </cell>
          <cell r="C57">
            <v>48675246</v>
          </cell>
          <cell r="D57">
            <v>154877707</v>
          </cell>
        </row>
        <row r="58">
          <cell r="A58" t="str">
            <v>MIAMI DADE COLLEGE</v>
          </cell>
          <cell r="B58">
            <v>1363606850</v>
          </cell>
          <cell r="C58">
            <v>125521527</v>
          </cell>
          <cell r="D58">
            <v>1489128377</v>
          </cell>
        </row>
        <row r="59">
          <cell r="A59" t="str">
            <v>NORTH FLORIDA COMMUNITY COLLEGE</v>
          </cell>
          <cell r="B59">
            <v>28783665</v>
          </cell>
          <cell r="C59">
            <v>3592212</v>
          </cell>
          <cell r="D59">
            <v>32375877</v>
          </cell>
        </row>
        <row r="60">
          <cell r="A60" t="str">
            <v>NORTHWEST FLORIDA STATE COLLEGE</v>
          </cell>
          <cell r="B60">
            <v>132330581</v>
          </cell>
          <cell r="C60">
            <v>43200907</v>
          </cell>
          <cell r="D60">
            <v>175531488</v>
          </cell>
        </row>
        <row r="61">
          <cell r="A61" t="str">
            <v>PALM BEACH STATE COLLEGE</v>
          </cell>
          <cell r="B61">
            <v>260208009</v>
          </cell>
          <cell r="C61">
            <v>31670321</v>
          </cell>
          <cell r="D61">
            <v>291878330</v>
          </cell>
        </row>
        <row r="62">
          <cell r="A62" t="str">
            <v>PASCO-HERNANDO STATE COLLEGE</v>
          </cell>
          <cell r="B62">
            <v>184896923</v>
          </cell>
          <cell r="C62">
            <v>42827111</v>
          </cell>
          <cell r="D62">
            <v>227724034</v>
          </cell>
        </row>
        <row r="63">
          <cell r="A63" t="str">
            <v>PENSACOLA STATE COLLEGE</v>
          </cell>
          <cell r="B63">
            <v>66127174</v>
          </cell>
          <cell r="C63">
            <v>22005756</v>
          </cell>
          <cell r="D63">
            <v>88132930</v>
          </cell>
        </row>
        <row r="64">
          <cell r="A64" t="str">
            <v>POLK STATE COLLEGE</v>
          </cell>
          <cell r="B64">
            <v>93965821</v>
          </cell>
          <cell r="C64">
            <v>26848685</v>
          </cell>
          <cell r="D64">
            <v>120814506</v>
          </cell>
        </row>
        <row r="65">
          <cell r="A65" t="str">
            <v>ST. JOHNS RIVER STATE COLLEGE</v>
          </cell>
          <cell r="B65">
            <v>69710424</v>
          </cell>
          <cell r="C65">
            <v>12079291</v>
          </cell>
          <cell r="D65">
            <v>81789715</v>
          </cell>
        </row>
        <row r="66">
          <cell r="A66" t="str">
            <v>ST. PETERSBURG COLLEGE</v>
          </cell>
          <cell r="B66">
            <v>295561213</v>
          </cell>
          <cell r="C66">
            <v>59962439</v>
          </cell>
          <cell r="D66">
            <v>355523652</v>
          </cell>
        </row>
        <row r="67">
          <cell r="A67" t="str">
            <v>SANTA FE COLLEGE</v>
          </cell>
          <cell r="B67">
            <v>125509097</v>
          </cell>
          <cell r="C67">
            <v>41770253</v>
          </cell>
          <cell r="D67">
            <v>167279350</v>
          </cell>
        </row>
        <row r="68">
          <cell r="A68" t="str">
            <v>SEMINOLE STATE COLLEGE OF FLORIDA</v>
          </cell>
          <cell r="B68">
            <v>202894160</v>
          </cell>
          <cell r="C68">
            <v>18724758</v>
          </cell>
          <cell r="D68">
            <v>221618918</v>
          </cell>
        </row>
        <row r="69">
          <cell r="A69" t="str">
            <v>SOUTH FLORIDA STATE COLLEGE</v>
          </cell>
          <cell r="B69">
            <v>71887178</v>
          </cell>
          <cell r="C69">
            <v>10634447</v>
          </cell>
          <cell r="D69">
            <v>82521625</v>
          </cell>
        </row>
        <row r="70">
          <cell r="A70" t="str">
            <v>TALLAHASSEE COMMUNITY COLLEGE</v>
          </cell>
          <cell r="B70">
            <v>135497218</v>
          </cell>
          <cell r="C70">
            <v>16120502</v>
          </cell>
          <cell r="D70">
            <v>151617720</v>
          </cell>
        </row>
        <row r="71">
          <cell r="A71" t="str">
            <v>VALENCIA COLLEGE</v>
          </cell>
          <cell r="B71">
            <v>304247165</v>
          </cell>
          <cell r="C71">
            <v>75042790</v>
          </cell>
          <cell r="D71">
            <v>379289955</v>
          </cell>
        </row>
      </sheetData>
      <sheetData sheetId="4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PENSACOLA STATE COLLEGE</v>
          </cell>
        </row>
      </sheetData>
      <sheetData sheetId="3"/>
      <sheetData sheetId="4">
        <row r="215">
          <cell r="O215">
            <v>1813970.5799999998</v>
          </cell>
        </row>
        <row r="481">
          <cell r="O481">
            <v>3067526.81</v>
          </cell>
        </row>
      </sheetData>
      <sheetData sheetId="5">
        <row r="9">
          <cell r="M9" t="str">
            <v>Unit</v>
          </cell>
        </row>
        <row r="119">
          <cell r="K119">
            <v>50192887</v>
          </cell>
          <cell r="M119">
            <v>24534188</v>
          </cell>
          <cell r="N119">
            <v>74727075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44">
          <cell r="A44" t="str">
            <v>EASTERN FLORIDA STATE COLLEGE</v>
          </cell>
          <cell r="B44">
            <v>132823495</v>
          </cell>
          <cell r="C44">
            <v>19357044</v>
          </cell>
          <cell r="D44">
            <v>152180539</v>
          </cell>
        </row>
        <row r="45">
          <cell r="A45" t="str">
            <v>BROWARD COLLEGE</v>
          </cell>
          <cell r="B45">
            <v>269782584</v>
          </cell>
          <cell r="C45">
            <v>74616540</v>
          </cell>
          <cell r="D45">
            <v>344399124</v>
          </cell>
        </row>
        <row r="46">
          <cell r="A46" t="str">
            <v>COLLEGE OF CENTRAL FLORIDA</v>
          </cell>
          <cell r="B46">
            <v>85764502</v>
          </cell>
          <cell r="C46">
            <v>85913922</v>
          </cell>
          <cell r="D46">
            <v>171678424</v>
          </cell>
        </row>
        <row r="47">
          <cell r="A47" t="str">
            <v>CHIPOLA COLLEGE</v>
          </cell>
          <cell r="B47">
            <v>61327492</v>
          </cell>
          <cell r="C47">
            <v>17916736</v>
          </cell>
          <cell r="D47">
            <v>79244228</v>
          </cell>
        </row>
        <row r="48">
          <cell r="A48" t="str">
            <v>DAYTONA STATE COLLEGE</v>
          </cell>
          <cell r="B48">
            <v>185737997</v>
          </cell>
          <cell r="C48">
            <v>19861695</v>
          </cell>
          <cell r="D48">
            <v>205599692</v>
          </cell>
        </row>
        <row r="49">
          <cell r="A49" t="str">
            <v>FLORIDA SOUTHWESTERN STATE COLLEGE</v>
          </cell>
          <cell r="B49">
            <v>157746233</v>
          </cell>
          <cell r="C49">
            <v>44708159</v>
          </cell>
          <cell r="D49">
            <v>202454392</v>
          </cell>
        </row>
        <row r="50">
          <cell r="A50" t="str">
            <v>FLORIDA STATE COLLEGE AT JACKSONVILLE</v>
          </cell>
          <cell r="B50">
            <v>271686692</v>
          </cell>
          <cell r="C50">
            <v>46467136</v>
          </cell>
          <cell r="D50">
            <v>318153828</v>
          </cell>
        </row>
        <row r="51">
          <cell r="A51" t="str">
            <v>FLORIDA KEYS COMMUNITY COLLEGE</v>
          </cell>
          <cell r="B51">
            <v>27300839</v>
          </cell>
          <cell r="C51">
            <v>3185648</v>
          </cell>
          <cell r="D51">
            <v>30486487</v>
          </cell>
        </row>
        <row r="52">
          <cell r="A52" t="str">
            <v>GULF COAST STATE COLLEGE</v>
          </cell>
          <cell r="B52">
            <v>106192762</v>
          </cell>
          <cell r="C52">
            <v>30132408</v>
          </cell>
          <cell r="D52">
            <v>136325170</v>
          </cell>
        </row>
        <row r="53">
          <cell r="A53" t="str">
            <v>HILLSBOROUGH COMMUNITY COLLEGE</v>
          </cell>
          <cell r="B53">
            <v>224905527</v>
          </cell>
          <cell r="C53">
            <v>6045935</v>
          </cell>
          <cell r="D53">
            <v>230951462</v>
          </cell>
        </row>
        <row r="54">
          <cell r="A54" t="str">
            <v>INDIAN RIVER STATE COLLEGE</v>
          </cell>
          <cell r="B54">
            <v>260057408</v>
          </cell>
          <cell r="C54">
            <v>75707790</v>
          </cell>
          <cell r="D54">
            <v>335765198</v>
          </cell>
        </row>
        <row r="55">
          <cell r="A55" t="str">
            <v>FLORIDA GATEWAY COLLEGE</v>
          </cell>
          <cell r="B55">
            <v>45331129</v>
          </cell>
          <cell r="C55">
            <v>14581122</v>
          </cell>
          <cell r="D55">
            <v>59912251</v>
          </cell>
        </row>
        <row r="56">
          <cell r="A56" t="str">
            <v>LAKE-SUMTER STATE COLLEGE</v>
          </cell>
          <cell r="B56">
            <v>64614715</v>
          </cell>
          <cell r="C56">
            <v>14967295</v>
          </cell>
          <cell r="D56">
            <v>79582010</v>
          </cell>
        </row>
        <row r="57">
          <cell r="A57" t="str">
            <v>STATE COLLEGE OF FLORIDA, MANATEE-SARASOTA</v>
          </cell>
          <cell r="B57">
            <v>106202461</v>
          </cell>
          <cell r="C57">
            <v>48675246</v>
          </cell>
          <cell r="D57">
            <v>154877707</v>
          </cell>
        </row>
        <row r="58">
          <cell r="A58" t="str">
            <v>MIAMI DADE COLLEGE</v>
          </cell>
          <cell r="B58">
            <v>1363606850</v>
          </cell>
          <cell r="C58">
            <v>125521527</v>
          </cell>
          <cell r="D58">
            <v>1489128377</v>
          </cell>
        </row>
        <row r="59">
          <cell r="A59" t="str">
            <v>NORTH FLORIDA COMMUNITY COLLEGE</v>
          </cell>
          <cell r="B59">
            <v>28783665</v>
          </cell>
          <cell r="C59">
            <v>3592212</v>
          </cell>
          <cell r="D59">
            <v>32375877</v>
          </cell>
        </row>
        <row r="60">
          <cell r="A60" t="str">
            <v>NORTHWEST FLORIDA STATE COLLEGE</v>
          </cell>
          <cell r="B60">
            <v>132330581</v>
          </cell>
          <cell r="C60">
            <v>43200907</v>
          </cell>
          <cell r="D60">
            <v>175531488</v>
          </cell>
        </row>
        <row r="61">
          <cell r="A61" t="str">
            <v>PALM BEACH STATE COLLEGE</v>
          </cell>
          <cell r="B61">
            <v>260208009</v>
          </cell>
          <cell r="C61">
            <v>31670321</v>
          </cell>
          <cell r="D61">
            <v>291878330</v>
          </cell>
        </row>
        <row r="62">
          <cell r="A62" t="str">
            <v>PASCO-HERNANDO STATE COLLEGE</v>
          </cell>
          <cell r="B62">
            <v>184896923</v>
          </cell>
          <cell r="C62">
            <v>42827111</v>
          </cell>
          <cell r="D62">
            <v>227724034</v>
          </cell>
        </row>
        <row r="63">
          <cell r="A63" t="str">
            <v>PENSACOLA STATE COLLEGE</v>
          </cell>
          <cell r="B63">
            <v>66127174</v>
          </cell>
          <cell r="C63">
            <v>22005756</v>
          </cell>
          <cell r="D63">
            <v>88132930</v>
          </cell>
        </row>
        <row r="64">
          <cell r="A64" t="str">
            <v>POLK STATE COLLEGE</v>
          </cell>
          <cell r="B64">
            <v>93965821</v>
          </cell>
          <cell r="C64">
            <v>26848685</v>
          </cell>
          <cell r="D64">
            <v>120814506</v>
          </cell>
        </row>
        <row r="65">
          <cell r="A65" t="str">
            <v>ST. JOHNS RIVER STATE COLLEGE</v>
          </cell>
          <cell r="B65">
            <v>69710424</v>
          </cell>
          <cell r="C65">
            <v>12079291</v>
          </cell>
          <cell r="D65">
            <v>81789715</v>
          </cell>
        </row>
        <row r="66">
          <cell r="A66" t="str">
            <v>ST. PETERSBURG COLLEGE</v>
          </cell>
          <cell r="B66">
            <v>295561213</v>
          </cell>
          <cell r="C66">
            <v>59962439</v>
          </cell>
          <cell r="D66">
            <v>355523652</v>
          </cell>
        </row>
        <row r="67">
          <cell r="A67" t="str">
            <v>SANTA FE COLLEGE</v>
          </cell>
          <cell r="B67">
            <v>125509097</v>
          </cell>
          <cell r="C67">
            <v>41770253</v>
          </cell>
          <cell r="D67">
            <v>167279350</v>
          </cell>
        </row>
        <row r="68">
          <cell r="A68" t="str">
            <v>SEMINOLE STATE COLLEGE OF FLORIDA</v>
          </cell>
          <cell r="B68">
            <v>202894160</v>
          </cell>
          <cell r="C68">
            <v>18724758</v>
          </cell>
          <cell r="D68">
            <v>221618918</v>
          </cell>
        </row>
        <row r="69">
          <cell r="A69" t="str">
            <v>SOUTH FLORIDA STATE COLLEGE</v>
          </cell>
          <cell r="B69">
            <v>71887178</v>
          </cell>
          <cell r="C69">
            <v>10634447</v>
          </cell>
          <cell r="D69">
            <v>82521625</v>
          </cell>
        </row>
        <row r="70">
          <cell r="A70" t="str">
            <v>TALLAHASSEE COMMUNITY COLLEGE</v>
          </cell>
          <cell r="B70">
            <v>135497218</v>
          </cell>
          <cell r="C70">
            <v>16120502</v>
          </cell>
          <cell r="D70">
            <v>151617720</v>
          </cell>
        </row>
        <row r="71">
          <cell r="A71" t="str">
            <v>VALENCIA COLLEGE</v>
          </cell>
          <cell r="B71">
            <v>304247165</v>
          </cell>
          <cell r="C71">
            <v>75042790</v>
          </cell>
          <cell r="D71">
            <v>379289955</v>
          </cell>
        </row>
      </sheetData>
      <sheetData sheetId="40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VLOOKUPS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POLK STATE COLLEGE</v>
          </cell>
        </row>
      </sheetData>
      <sheetData sheetId="3"/>
      <sheetData sheetId="4">
        <row r="215">
          <cell r="O215">
            <v>1991408.68</v>
          </cell>
        </row>
        <row r="481">
          <cell r="O481">
            <v>3248420.41</v>
          </cell>
        </row>
      </sheetData>
      <sheetData sheetId="5">
        <row r="9">
          <cell r="M9" t="str">
            <v>Unit</v>
          </cell>
        </row>
        <row r="119">
          <cell r="K119">
            <v>90992420</v>
          </cell>
          <cell r="M119">
            <v>25049901</v>
          </cell>
          <cell r="N119">
            <v>116042321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4">
          <cell r="A44" t="str">
            <v>EASTERN FLORIDA STATE COLLEGE</v>
          </cell>
          <cell r="B44">
            <v>132823495</v>
          </cell>
          <cell r="C44">
            <v>19357044</v>
          </cell>
          <cell r="D44">
            <v>152180539</v>
          </cell>
        </row>
        <row r="45">
          <cell r="A45" t="str">
            <v>BROWARD COLLEGE</v>
          </cell>
          <cell r="B45">
            <v>269782584</v>
          </cell>
          <cell r="C45">
            <v>74616540</v>
          </cell>
          <cell r="D45">
            <v>344399124</v>
          </cell>
        </row>
        <row r="46">
          <cell r="A46" t="str">
            <v>COLLEGE OF CENTRAL FLORIDA</v>
          </cell>
          <cell r="B46">
            <v>85764502</v>
          </cell>
          <cell r="C46">
            <v>85913922</v>
          </cell>
          <cell r="D46">
            <v>171678424</v>
          </cell>
        </row>
        <row r="47">
          <cell r="A47" t="str">
            <v>CHIPOLA COLLEGE</v>
          </cell>
          <cell r="B47">
            <v>61327492</v>
          </cell>
          <cell r="C47">
            <v>17916736</v>
          </cell>
          <cell r="D47">
            <v>79244228</v>
          </cell>
        </row>
        <row r="48">
          <cell r="A48" t="str">
            <v>DAYTONA STATE COLLEGE</v>
          </cell>
          <cell r="B48">
            <v>185737997</v>
          </cell>
          <cell r="C48">
            <v>19861695</v>
          </cell>
          <cell r="D48">
            <v>205599692</v>
          </cell>
        </row>
        <row r="49">
          <cell r="A49" t="str">
            <v>FLORIDA SOUTHWESTERN STATE COLLEGE</v>
          </cell>
          <cell r="B49">
            <v>157746233</v>
          </cell>
          <cell r="C49">
            <v>44708159</v>
          </cell>
          <cell r="D49">
            <v>202454392</v>
          </cell>
        </row>
        <row r="50">
          <cell r="A50" t="str">
            <v>FLORIDA STATE COLLEGE AT JACKSONVILLE</v>
          </cell>
          <cell r="B50">
            <v>271686692</v>
          </cell>
          <cell r="C50">
            <v>46467136</v>
          </cell>
          <cell r="D50">
            <v>318153828</v>
          </cell>
        </row>
        <row r="51">
          <cell r="A51" t="str">
            <v>FLORIDA KEYS COMMUNITY COLLEGE</v>
          </cell>
          <cell r="B51">
            <v>27300839</v>
          </cell>
          <cell r="C51">
            <v>3185648</v>
          </cell>
          <cell r="D51">
            <v>30486487</v>
          </cell>
        </row>
        <row r="52">
          <cell r="A52" t="str">
            <v>GULF COAST STATE COLLEGE</v>
          </cell>
          <cell r="B52">
            <v>106192762</v>
          </cell>
          <cell r="C52">
            <v>30132408</v>
          </cell>
          <cell r="D52">
            <v>136325170</v>
          </cell>
        </row>
        <row r="53">
          <cell r="A53" t="str">
            <v>HILLSBOROUGH COMMUNITY COLLEGE</v>
          </cell>
          <cell r="B53">
            <v>224905527</v>
          </cell>
          <cell r="C53">
            <v>6045935</v>
          </cell>
          <cell r="D53">
            <v>230951462</v>
          </cell>
        </row>
        <row r="54">
          <cell r="A54" t="str">
            <v>INDIAN RIVER STATE COLLEGE</v>
          </cell>
          <cell r="B54">
            <v>260057408</v>
          </cell>
          <cell r="C54">
            <v>75707790</v>
          </cell>
          <cell r="D54">
            <v>335765198</v>
          </cell>
        </row>
        <row r="55">
          <cell r="A55" t="str">
            <v>FLORIDA GATEWAY COLLEGE</v>
          </cell>
          <cell r="B55">
            <v>45331129</v>
          </cell>
          <cell r="C55">
            <v>14581122</v>
          </cell>
          <cell r="D55">
            <v>59912251</v>
          </cell>
        </row>
        <row r="56">
          <cell r="A56" t="str">
            <v>LAKE-SUMTER STATE COLLEGE</v>
          </cell>
          <cell r="B56">
            <v>64614715</v>
          </cell>
          <cell r="C56">
            <v>14967295</v>
          </cell>
          <cell r="D56">
            <v>79582010</v>
          </cell>
        </row>
        <row r="57">
          <cell r="A57" t="str">
            <v>STATE COLLEGE OF FLORIDA, MANATEE-SARASOTA</v>
          </cell>
          <cell r="B57">
            <v>106202461</v>
          </cell>
          <cell r="C57">
            <v>48675246</v>
          </cell>
          <cell r="D57">
            <v>154877707</v>
          </cell>
        </row>
        <row r="58">
          <cell r="A58" t="str">
            <v>MIAMI DADE COLLEGE</v>
          </cell>
          <cell r="B58">
            <v>1363606850</v>
          </cell>
          <cell r="C58">
            <v>125521527</v>
          </cell>
          <cell r="D58">
            <v>1489128377</v>
          </cell>
        </row>
        <row r="59">
          <cell r="A59" t="str">
            <v>NORTH FLORIDA COMMUNITY COLLEGE</v>
          </cell>
          <cell r="B59">
            <v>28783665</v>
          </cell>
          <cell r="C59">
            <v>3592212</v>
          </cell>
          <cell r="D59">
            <v>32375877</v>
          </cell>
        </row>
        <row r="60">
          <cell r="A60" t="str">
            <v>NORTHWEST FLORIDA STATE COLLEGE</v>
          </cell>
          <cell r="B60">
            <v>132330581</v>
          </cell>
          <cell r="C60">
            <v>43200907</v>
          </cell>
          <cell r="D60">
            <v>175531488</v>
          </cell>
        </row>
        <row r="61">
          <cell r="A61" t="str">
            <v>PALM BEACH STATE COLLEGE</v>
          </cell>
          <cell r="B61">
            <v>260208009</v>
          </cell>
          <cell r="C61">
            <v>31670321</v>
          </cell>
          <cell r="D61">
            <v>291878330</v>
          </cell>
        </row>
        <row r="62">
          <cell r="A62" t="str">
            <v>PASCO-HERNANDO STATE COLLEGE</v>
          </cell>
          <cell r="B62">
            <v>184896923</v>
          </cell>
          <cell r="C62">
            <v>42827111</v>
          </cell>
          <cell r="D62">
            <v>227724034</v>
          </cell>
        </row>
        <row r="63">
          <cell r="A63" t="str">
            <v>PENSACOLA STATE COLLEGE</v>
          </cell>
          <cell r="B63">
            <v>66127174</v>
          </cell>
          <cell r="C63">
            <v>22005756</v>
          </cell>
          <cell r="D63">
            <v>88132930</v>
          </cell>
        </row>
        <row r="64">
          <cell r="A64" t="str">
            <v>POLK STATE COLLEGE</v>
          </cell>
          <cell r="B64">
            <v>93965821</v>
          </cell>
          <cell r="C64">
            <v>26848685</v>
          </cell>
          <cell r="D64">
            <v>120814506</v>
          </cell>
        </row>
        <row r="65">
          <cell r="A65" t="str">
            <v>ST. JOHNS RIVER STATE COLLEGE</v>
          </cell>
          <cell r="B65">
            <v>69710424</v>
          </cell>
          <cell r="C65">
            <v>12079291</v>
          </cell>
          <cell r="D65">
            <v>81789715</v>
          </cell>
        </row>
        <row r="66">
          <cell r="A66" t="str">
            <v>ST. PETERSBURG COLLEGE</v>
          </cell>
          <cell r="B66">
            <v>295561213</v>
          </cell>
          <cell r="C66">
            <v>59962439</v>
          </cell>
          <cell r="D66">
            <v>355523652</v>
          </cell>
        </row>
        <row r="67">
          <cell r="A67" t="str">
            <v>SANTA FE COLLEGE</v>
          </cell>
          <cell r="B67">
            <v>125509097</v>
          </cell>
          <cell r="C67">
            <v>41770253</v>
          </cell>
          <cell r="D67">
            <v>167279350</v>
          </cell>
        </row>
        <row r="68">
          <cell r="A68" t="str">
            <v>SEMINOLE STATE COLLEGE OF FLORIDA</v>
          </cell>
          <cell r="B68">
            <v>202894160</v>
          </cell>
          <cell r="C68">
            <v>18724758</v>
          </cell>
          <cell r="D68">
            <v>221618918</v>
          </cell>
        </row>
        <row r="69">
          <cell r="A69" t="str">
            <v>SOUTH FLORIDA STATE COLLEGE</v>
          </cell>
          <cell r="B69">
            <v>71887178</v>
          </cell>
          <cell r="C69">
            <v>10634447</v>
          </cell>
          <cell r="D69">
            <v>82521625</v>
          </cell>
        </row>
        <row r="70">
          <cell r="A70" t="str">
            <v>TALLAHASSEE COMMUNITY COLLEGE</v>
          </cell>
          <cell r="B70">
            <v>135497218</v>
          </cell>
          <cell r="C70">
            <v>16120502</v>
          </cell>
          <cell r="D70">
            <v>151617720</v>
          </cell>
        </row>
        <row r="71">
          <cell r="A71" t="str">
            <v>VALENCIA COLLEGE</v>
          </cell>
          <cell r="B71">
            <v>304247165</v>
          </cell>
          <cell r="C71">
            <v>75042790</v>
          </cell>
          <cell r="D71">
            <v>379289955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ST. JOHNS RIVER STATE COLLEGE</v>
          </cell>
        </row>
      </sheetData>
      <sheetData sheetId="3"/>
      <sheetData sheetId="4">
        <row r="215">
          <cell r="O215">
            <v>1400216.8</v>
          </cell>
        </row>
        <row r="481">
          <cell r="O481">
            <v>2254679.06</v>
          </cell>
        </row>
      </sheetData>
      <sheetData sheetId="5">
        <row r="9">
          <cell r="M9" t="str">
            <v>Unit</v>
          </cell>
        </row>
        <row r="119">
          <cell r="K119">
            <v>53616179</v>
          </cell>
          <cell r="M119">
            <v>4902231</v>
          </cell>
          <cell r="N119">
            <v>58518410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44">
          <cell r="A44" t="str">
            <v>EASTERN FLORIDA STATE COLLEGE</v>
          </cell>
          <cell r="B44">
            <v>132823495</v>
          </cell>
          <cell r="C44">
            <v>19357044</v>
          </cell>
          <cell r="D44">
            <v>152180539</v>
          </cell>
        </row>
        <row r="45">
          <cell r="A45" t="str">
            <v>BROWARD COLLEGE</v>
          </cell>
          <cell r="B45">
            <v>269782584</v>
          </cell>
          <cell r="C45">
            <v>74616540</v>
          </cell>
          <cell r="D45">
            <v>344399124</v>
          </cell>
        </row>
        <row r="46">
          <cell r="A46" t="str">
            <v>COLLEGE OF CENTRAL FLORIDA</v>
          </cell>
          <cell r="B46">
            <v>85764502</v>
          </cell>
          <cell r="C46">
            <v>85913922</v>
          </cell>
          <cell r="D46">
            <v>171678424</v>
          </cell>
        </row>
        <row r="47">
          <cell r="A47" t="str">
            <v>CHIPOLA COLLEGE</v>
          </cell>
          <cell r="B47">
            <v>61327492</v>
          </cell>
          <cell r="C47">
            <v>17916736</v>
          </cell>
          <cell r="D47">
            <v>79244228</v>
          </cell>
        </row>
        <row r="48">
          <cell r="A48" t="str">
            <v>DAYTONA STATE COLLEGE</v>
          </cell>
          <cell r="B48">
            <v>185737997</v>
          </cell>
          <cell r="C48">
            <v>19861695</v>
          </cell>
          <cell r="D48">
            <v>205599692</v>
          </cell>
        </row>
        <row r="49">
          <cell r="A49" t="str">
            <v>FLORIDA SOUTHWESTERN STATE COLLEGE</v>
          </cell>
          <cell r="B49">
            <v>157746233</v>
          </cell>
          <cell r="C49">
            <v>44708159</v>
          </cell>
          <cell r="D49">
            <v>202454392</v>
          </cell>
        </row>
        <row r="50">
          <cell r="A50" t="str">
            <v>FLORIDA STATE COLLEGE AT JACKSONVILLE</v>
          </cell>
          <cell r="B50">
            <v>271686692</v>
          </cell>
          <cell r="C50">
            <v>46467136</v>
          </cell>
          <cell r="D50">
            <v>318153828</v>
          </cell>
        </row>
        <row r="51">
          <cell r="A51" t="str">
            <v>FLORIDA KEYS COMMUNITY COLLEGE</v>
          </cell>
          <cell r="B51">
            <v>27300839</v>
          </cell>
          <cell r="C51">
            <v>3185648</v>
          </cell>
          <cell r="D51">
            <v>30486487</v>
          </cell>
        </row>
        <row r="52">
          <cell r="A52" t="str">
            <v>GULF COAST STATE COLLEGE</v>
          </cell>
          <cell r="B52">
            <v>106192762</v>
          </cell>
          <cell r="C52">
            <v>30132408</v>
          </cell>
          <cell r="D52">
            <v>136325170</v>
          </cell>
        </row>
        <row r="53">
          <cell r="A53" t="str">
            <v>HILLSBOROUGH COMMUNITY COLLEGE</v>
          </cell>
          <cell r="B53">
            <v>224905527</v>
          </cell>
          <cell r="C53">
            <v>6045935</v>
          </cell>
          <cell r="D53">
            <v>230951462</v>
          </cell>
        </row>
        <row r="54">
          <cell r="A54" t="str">
            <v>INDIAN RIVER STATE COLLEGE</v>
          </cell>
          <cell r="B54">
            <v>260057408</v>
          </cell>
          <cell r="C54">
            <v>75707790</v>
          </cell>
          <cell r="D54">
            <v>335765198</v>
          </cell>
        </row>
        <row r="55">
          <cell r="A55" t="str">
            <v>FLORIDA GATEWAY COLLEGE</v>
          </cell>
          <cell r="B55">
            <v>45331129</v>
          </cell>
          <cell r="C55">
            <v>14581122</v>
          </cell>
          <cell r="D55">
            <v>59912251</v>
          </cell>
        </row>
        <row r="56">
          <cell r="A56" t="str">
            <v>LAKE-SUMTER STATE COLLEGE</v>
          </cell>
          <cell r="B56">
            <v>64614715</v>
          </cell>
          <cell r="C56">
            <v>14967295</v>
          </cell>
          <cell r="D56">
            <v>79582010</v>
          </cell>
        </row>
        <row r="57">
          <cell r="A57" t="str">
            <v>STATE COLLEGE OF FLORIDA, MANATEE-SARASOTA</v>
          </cell>
          <cell r="B57">
            <v>106202461</v>
          </cell>
          <cell r="C57">
            <v>48675246</v>
          </cell>
          <cell r="D57">
            <v>154877707</v>
          </cell>
        </row>
        <row r="58">
          <cell r="A58" t="str">
            <v>MIAMI DADE COLLEGE</v>
          </cell>
          <cell r="B58">
            <v>1363606850</v>
          </cell>
          <cell r="C58">
            <v>125521527</v>
          </cell>
          <cell r="D58">
            <v>1489128377</v>
          </cell>
        </row>
        <row r="59">
          <cell r="A59" t="str">
            <v>NORTH FLORIDA COMMUNITY COLLEGE</v>
          </cell>
          <cell r="B59">
            <v>28783665</v>
          </cell>
          <cell r="C59">
            <v>3592212</v>
          </cell>
          <cell r="D59">
            <v>32375877</v>
          </cell>
        </row>
        <row r="60">
          <cell r="A60" t="str">
            <v>NORTHWEST FLORIDA STATE COLLEGE</v>
          </cell>
          <cell r="B60">
            <v>132330581</v>
          </cell>
          <cell r="C60">
            <v>43200907</v>
          </cell>
          <cell r="D60">
            <v>175531488</v>
          </cell>
        </row>
        <row r="61">
          <cell r="A61" t="str">
            <v>PALM BEACH STATE COLLEGE</v>
          </cell>
          <cell r="B61">
            <v>260208009</v>
          </cell>
          <cell r="C61">
            <v>31670321</v>
          </cell>
          <cell r="D61">
            <v>291878330</v>
          </cell>
        </row>
        <row r="62">
          <cell r="A62" t="str">
            <v>PASCO-HERNANDO STATE COLLEGE</v>
          </cell>
          <cell r="B62">
            <v>184896923</v>
          </cell>
          <cell r="C62">
            <v>42827111</v>
          </cell>
          <cell r="D62">
            <v>227724034</v>
          </cell>
        </row>
        <row r="63">
          <cell r="A63" t="str">
            <v>PENSACOLA STATE COLLEGE</v>
          </cell>
          <cell r="B63">
            <v>66127174</v>
          </cell>
          <cell r="C63">
            <v>22005756</v>
          </cell>
          <cell r="D63">
            <v>88132930</v>
          </cell>
        </row>
        <row r="64">
          <cell r="A64" t="str">
            <v>POLK STATE COLLEGE</v>
          </cell>
          <cell r="B64">
            <v>93965821</v>
          </cell>
          <cell r="C64">
            <v>26848685</v>
          </cell>
          <cell r="D64">
            <v>120814506</v>
          </cell>
        </row>
        <row r="65">
          <cell r="A65" t="str">
            <v>ST. JOHNS RIVER STATE COLLEGE</v>
          </cell>
          <cell r="B65">
            <v>62704412</v>
          </cell>
          <cell r="C65">
            <v>4475560</v>
          </cell>
          <cell r="D65">
            <v>67179972</v>
          </cell>
        </row>
        <row r="66">
          <cell r="A66" t="str">
            <v>ST. PETERSBURG COLLEGE</v>
          </cell>
          <cell r="B66">
            <v>295561213</v>
          </cell>
          <cell r="C66">
            <v>59962439</v>
          </cell>
          <cell r="D66">
            <v>355523652</v>
          </cell>
        </row>
        <row r="67">
          <cell r="A67" t="str">
            <v>SANTA FE COLLEGE</v>
          </cell>
          <cell r="B67">
            <v>125509097</v>
          </cell>
          <cell r="C67">
            <v>41770253</v>
          </cell>
          <cell r="D67">
            <v>167279350</v>
          </cell>
        </row>
        <row r="68">
          <cell r="A68" t="str">
            <v>SEMINOLE STATE COLLEGE OF FLORIDA</v>
          </cell>
          <cell r="B68">
            <v>202894160</v>
          </cell>
          <cell r="C68">
            <v>18724758</v>
          </cell>
          <cell r="D68">
            <v>221618918</v>
          </cell>
        </row>
        <row r="69">
          <cell r="A69" t="str">
            <v>SOUTH FLORIDA STATE COLLEGE</v>
          </cell>
          <cell r="B69">
            <v>71887178</v>
          </cell>
          <cell r="C69">
            <v>10634447</v>
          </cell>
          <cell r="D69">
            <v>82521625</v>
          </cell>
        </row>
        <row r="70">
          <cell r="A70" t="str">
            <v>TALLAHASSEE COMMUNITY COLLEGE</v>
          </cell>
          <cell r="B70">
            <v>135497218</v>
          </cell>
          <cell r="C70">
            <v>16120502</v>
          </cell>
          <cell r="D70">
            <v>151617720</v>
          </cell>
        </row>
        <row r="71">
          <cell r="A71" t="str">
            <v>VALENCIA COLLEGE</v>
          </cell>
          <cell r="B71">
            <v>304247165</v>
          </cell>
          <cell r="C71">
            <v>75042790</v>
          </cell>
          <cell r="D71">
            <v>379289955</v>
          </cell>
        </row>
      </sheetData>
      <sheetData sheetId="40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ST. PETERSBURG COLLEGE</v>
          </cell>
        </row>
      </sheetData>
      <sheetData sheetId="3"/>
      <sheetData sheetId="4">
        <row r="215">
          <cell r="O215">
            <v>6776857.6100000003</v>
          </cell>
        </row>
        <row r="481">
          <cell r="O481">
            <v>10651352.77</v>
          </cell>
        </row>
      </sheetData>
      <sheetData sheetId="5">
        <row r="9">
          <cell r="M9" t="str">
            <v>Unit</v>
          </cell>
        </row>
        <row r="119">
          <cell r="K119">
            <v>247238867</v>
          </cell>
          <cell r="M119">
            <v>62084716</v>
          </cell>
          <cell r="N119">
            <v>309323583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44">
          <cell r="A44" t="str">
            <v>EASTERN FLORIDA STATE COLLEGE</v>
          </cell>
          <cell r="B44">
            <v>132823495</v>
          </cell>
          <cell r="C44">
            <v>19357044</v>
          </cell>
          <cell r="D44">
            <v>152180539</v>
          </cell>
        </row>
        <row r="45">
          <cell r="A45" t="str">
            <v>BROWARD COLLEGE</v>
          </cell>
          <cell r="B45">
            <v>269782584</v>
          </cell>
          <cell r="C45">
            <v>74616540</v>
          </cell>
          <cell r="D45">
            <v>344399124</v>
          </cell>
        </row>
        <row r="46">
          <cell r="A46" t="str">
            <v>COLLEGE OF CENTRAL FLORIDA</v>
          </cell>
          <cell r="B46">
            <v>85764502</v>
          </cell>
          <cell r="C46">
            <v>85913922</v>
          </cell>
          <cell r="D46">
            <v>171678424</v>
          </cell>
        </row>
        <row r="47">
          <cell r="A47" t="str">
            <v>CHIPOLA COLLEGE</v>
          </cell>
          <cell r="B47">
            <v>61327492</v>
          </cell>
          <cell r="C47">
            <v>17916736</v>
          </cell>
          <cell r="D47">
            <v>79244228</v>
          </cell>
        </row>
        <row r="48">
          <cell r="A48" t="str">
            <v>DAYTONA STATE COLLEGE</v>
          </cell>
          <cell r="B48">
            <v>185737997</v>
          </cell>
          <cell r="C48">
            <v>19861695</v>
          </cell>
          <cell r="D48">
            <v>205599692</v>
          </cell>
        </row>
        <row r="49">
          <cell r="A49" t="str">
            <v>FLORIDA SOUTHWESTERN STATE COLLEGE</v>
          </cell>
          <cell r="B49">
            <v>157746233</v>
          </cell>
          <cell r="C49">
            <v>44708159</v>
          </cell>
          <cell r="D49">
            <v>202454392</v>
          </cell>
        </row>
        <row r="50">
          <cell r="A50" t="str">
            <v>FLORIDA STATE COLLEGE AT JACKSONVILLE</v>
          </cell>
          <cell r="B50">
            <v>271686692</v>
          </cell>
          <cell r="C50">
            <v>46467136</v>
          </cell>
          <cell r="D50">
            <v>318153828</v>
          </cell>
        </row>
        <row r="51">
          <cell r="A51" t="str">
            <v>FLORIDA KEYS COMMUNITY COLLEGE</v>
          </cell>
          <cell r="B51">
            <v>27300839</v>
          </cell>
          <cell r="C51">
            <v>3185648</v>
          </cell>
          <cell r="D51">
            <v>30486487</v>
          </cell>
        </row>
        <row r="52">
          <cell r="A52" t="str">
            <v>GULF COAST STATE COLLEGE</v>
          </cell>
          <cell r="B52">
            <v>106192762</v>
          </cell>
          <cell r="C52">
            <v>30132408</v>
          </cell>
          <cell r="D52">
            <v>136325170</v>
          </cell>
        </row>
        <row r="53">
          <cell r="A53" t="str">
            <v>HILLSBOROUGH COMMUNITY COLLEGE</v>
          </cell>
          <cell r="B53">
            <v>224905527</v>
          </cell>
          <cell r="C53">
            <v>6045935</v>
          </cell>
          <cell r="D53">
            <v>230951462</v>
          </cell>
        </row>
        <row r="54">
          <cell r="A54" t="str">
            <v>INDIAN RIVER STATE COLLEGE</v>
          </cell>
          <cell r="B54">
            <v>260057408</v>
          </cell>
          <cell r="C54">
            <v>75707790</v>
          </cell>
          <cell r="D54">
            <v>335765198</v>
          </cell>
        </row>
        <row r="55">
          <cell r="A55" t="str">
            <v>FLORIDA GATEWAY COLLEGE</v>
          </cell>
          <cell r="B55">
            <v>45331129</v>
          </cell>
          <cell r="C55">
            <v>14581122</v>
          </cell>
          <cell r="D55">
            <v>59912251</v>
          </cell>
        </row>
        <row r="56">
          <cell r="A56" t="str">
            <v>LAKE-SUMTER STATE COLLEGE</v>
          </cell>
          <cell r="B56">
            <v>64614715</v>
          </cell>
          <cell r="C56">
            <v>14967295</v>
          </cell>
          <cell r="D56">
            <v>79582010</v>
          </cell>
        </row>
        <row r="57">
          <cell r="A57" t="str">
            <v>STATE COLLEGE OF FLORIDA, MANATEE-SARASOTA</v>
          </cell>
          <cell r="B57">
            <v>106202461</v>
          </cell>
          <cell r="C57">
            <v>48675246</v>
          </cell>
          <cell r="D57">
            <v>154877707</v>
          </cell>
        </row>
        <row r="58">
          <cell r="A58" t="str">
            <v>MIAMI DADE COLLEGE</v>
          </cell>
          <cell r="B58">
            <v>1363606850</v>
          </cell>
          <cell r="C58">
            <v>125521527</v>
          </cell>
          <cell r="D58">
            <v>1489128377</v>
          </cell>
        </row>
        <row r="59">
          <cell r="A59" t="str">
            <v>NORTH FLORIDA COMMUNITY COLLEGE</v>
          </cell>
          <cell r="B59">
            <v>28783665</v>
          </cell>
          <cell r="C59">
            <v>3592212</v>
          </cell>
          <cell r="D59">
            <v>32375877</v>
          </cell>
        </row>
        <row r="60">
          <cell r="A60" t="str">
            <v>NORTHWEST FLORIDA STATE COLLEGE</v>
          </cell>
          <cell r="B60">
            <v>132330581</v>
          </cell>
          <cell r="C60">
            <v>43200907</v>
          </cell>
          <cell r="D60">
            <v>175531488</v>
          </cell>
        </row>
        <row r="61">
          <cell r="A61" t="str">
            <v>PALM BEACH STATE COLLEGE</v>
          </cell>
          <cell r="B61">
            <v>260208009</v>
          </cell>
          <cell r="C61">
            <v>31670321</v>
          </cell>
          <cell r="D61">
            <v>291878330</v>
          </cell>
        </row>
        <row r="62">
          <cell r="A62" t="str">
            <v>PASCO-HERNANDO STATE COLLEGE</v>
          </cell>
          <cell r="B62">
            <v>184896923</v>
          </cell>
          <cell r="C62">
            <v>42827111</v>
          </cell>
          <cell r="D62">
            <v>227724034</v>
          </cell>
        </row>
        <row r="63">
          <cell r="A63" t="str">
            <v>PENSACOLA STATE COLLEGE</v>
          </cell>
          <cell r="B63">
            <v>66127174</v>
          </cell>
          <cell r="C63">
            <v>22005756</v>
          </cell>
          <cell r="D63">
            <v>88132930</v>
          </cell>
        </row>
        <row r="64">
          <cell r="A64" t="str">
            <v>POLK STATE COLLEGE</v>
          </cell>
          <cell r="B64">
            <v>93965821</v>
          </cell>
          <cell r="C64">
            <v>26848685</v>
          </cell>
          <cell r="D64">
            <v>120814506</v>
          </cell>
        </row>
        <row r="65">
          <cell r="A65" t="str">
            <v>ST. JOHNS RIVER STATE COLLEGE</v>
          </cell>
          <cell r="B65">
            <v>69710424</v>
          </cell>
          <cell r="C65">
            <v>12079291</v>
          </cell>
          <cell r="D65">
            <v>81789715</v>
          </cell>
        </row>
        <row r="66">
          <cell r="A66" t="str">
            <v>ST. PETERSBURG COLLEGE</v>
          </cell>
          <cell r="B66">
            <v>295561213</v>
          </cell>
          <cell r="C66">
            <v>59962439</v>
          </cell>
          <cell r="D66">
            <v>355523652</v>
          </cell>
        </row>
        <row r="67">
          <cell r="A67" t="str">
            <v>SANTA FE COLLEGE</v>
          </cell>
          <cell r="B67">
            <v>125509097</v>
          </cell>
          <cell r="C67">
            <v>41770253</v>
          </cell>
          <cell r="D67">
            <v>167279350</v>
          </cell>
        </row>
        <row r="68">
          <cell r="A68" t="str">
            <v>SEMINOLE STATE COLLEGE OF FLORIDA</v>
          </cell>
          <cell r="B68">
            <v>202894160</v>
          </cell>
          <cell r="C68">
            <v>18724758</v>
          </cell>
          <cell r="D68">
            <v>221618918</v>
          </cell>
        </row>
        <row r="69">
          <cell r="A69" t="str">
            <v>SOUTH FLORIDA STATE COLLEGE</v>
          </cell>
          <cell r="B69">
            <v>71887178</v>
          </cell>
          <cell r="C69">
            <v>10634447</v>
          </cell>
          <cell r="D69">
            <v>82521625</v>
          </cell>
        </row>
        <row r="70">
          <cell r="A70" t="str">
            <v>TALLAHASSEE COMMUNITY COLLEGE</v>
          </cell>
          <cell r="B70">
            <v>135497218</v>
          </cell>
          <cell r="C70">
            <v>16120502</v>
          </cell>
          <cell r="D70">
            <v>151617720</v>
          </cell>
        </row>
        <row r="71">
          <cell r="A71" t="str">
            <v>VALENCIA COLLEGE</v>
          </cell>
          <cell r="B71">
            <v>304247165</v>
          </cell>
          <cell r="C71">
            <v>75042790</v>
          </cell>
          <cell r="D71">
            <v>379289955</v>
          </cell>
        </row>
      </sheetData>
      <sheetData sheetId="40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Tuition and Fee Report"/>
      <sheetName val="FCS Notes Sched Inv &amp; Cash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SANTA FE COLLEGE</v>
          </cell>
        </row>
      </sheetData>
      <sheetData sheetId="3"/>
      <sheetData sheetId="4">
        <row r="215">
          <cell r="O215">
            <v>2922618.35</v>
          </cell>
        </row>
        <row r="481">
          <cell r="O481">
            <v>5841923.7599999998</v>
          </cell>
        </row>
      </sheetData>
      <sheetData sheetId="5">
        <row r="9">
          <cell r="M9" t="str">
            <v>Unit</v>
          </cell>
        </row>
        <row r="119">
          <cell r="K119">
            <v>108840992</v>
          </cell>
          <cell r="M119">
            <v>43615619</v>
          </cell>
          <cell r="N119">
            <v>152456611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44">
          <cell r="A44" t="str">
            <v>EASTERN FLORIDA STATE COLLEGE</v>
          </cell>
          <cell r="B44">
            <v>132823495</v>
          </cell>
          <cell r="C44">
            <v>19357044</v>
          </cell>
          <cell r="D44">
            <v>152180539</v>
          </cell>
        </row>
        <row r="45">
          <cell r="A45" t="str">
            <v>BROWARD COLLEGE</v>
          </cell>
          <cell r="B45">
            <v>269782584</v>
          </cell>
          <cell r="C45">
            <v>74616540</v>
          </cell>
          <cell r="D45">
            <v>344399124</v>
          </cell>
        </row>
        <row r="46">
          <cell r="A46" t="str">
            <v>COLLEGE OF CENTRAL FLORIDA</v>
          </cell>
          <cell r="B46">
            <v>85764502</v>
          </cell>
          <cell r="C46">
            <v>85913922</v>
          </cell>
          <cell r="D46">
            <v>171678424</v>
          </cell>
        </row>
        <row r="47">
          <cell r="A47" t="str">
            <v>CHIPOLA COLLEGE</v>
          </cell>
          <cell r="B47">
            <v>61327492</v>
          </cell>
          <cell r="C47">
            <v>17916736</v>
          </cell>
          <cell r="D47">
            <v>79244228</v>
          </cell>
        </row>
        <row r="48">
          <cell r="A48" t="str">
            <v>DAYTONA STATE COLLEGE</v>
          </cell>
          <cell r="B48">
            <v>185737997</v>
          </cell>
          <cell r="C48">
            <v>19861695</v>
          </cell>
          <cell r="D48">
            <v>205599692</v>
          </cell>
        </row>
        <row r="49">
          <cell r="A49" t="str">
            <v>FLORIDA SOUTHWESTERN STATE COLLEGE</v>
          </cell>
          <cell r="B49">
            <v>157746233</v>
          </cell>
          <cell r="C49">
            <v>44708159</v>
          </cell>
          <cell r="D49">
            <v>202454392</v>
          </cell>
        </row>
        <row r="50">
          <cell r="A50" t="str">
            <v>FLORIDA STATE COLLEGE AT JACKSONVILLE</v>
          </cell>
          <cell r="B50">
            <v>271686692</v>
          </cell>
          <cell r="C50">
            <v>46467136</v>
          </cell>
          <cell r="D50">
            <v>318153828</v>
          </cell>
        </row>
        <row r="51">
          <cell r="A51" t="str">
            <v>FLORIDA KEYS COMMUNITY COLLEGE</v>
          </cell>
          <cell r="B51">
            <v>27300839</v>
          </cell>
          <cell r="C51">
            <v>3185648</v>
          </cell>
          <cell r="D51">
            <v>30486487</v>
          </cell>
        </row>
        <row r="52">
          <cell r="A52" t="str">
            <v>GULF COAST STATE COLLEGE</v>
          </cell>
          <cell r="B52">
            <v>106192762</v>
          </cell>
          <cell r="C52">
            <v>30132408</v>
          </cell>
          <cell r="D52">
            <v>136325170</v>
          </cell>
        </row>
        <row r="53">
          <cell r="A53" t="str">
            <v>HILLSBOROUGH COMMUNITY COLLEGE</v>
          </cell>
          <cell r="B53">
            <v>224905527</v>
          </cell>
          <cell r="C53">
            <v>6045935</v>
          </cell>
          <cell r="D53">
            <v>230951462</v>
          </cell>
        </row>
        <row r="54">
          <cell r="A54" t="str">
            <v>INDIAN RIVER STATE COLLEGE</v>
          </cell>
          <cell r="B54">
            <v>260057408</v>
          </cell>
          <cell r="C54">
            <v>75707790</v>
          </cell>
          <cell r="D54">
            <v>335765198</v>
          </cell>
        </row>
        <row r="55">
          <cell r="A55" t="str">
            <v>FLORIDA GATEWAY COLLEGE</v>
          </cell>
          <cell r="B55">
            <v>45331129</v>
          </cell>
          <cell r="C55">
            <v>14581122</v>
          </cell>
          <cell r="D55">
            <v>59912251</v>
          </cell>
        </row>
        <row r="56">
          <cell r="A56" t="str">
            <v>LAKE-SUMTER STATE COLLEGE</v>
          </cell>
          <cell r="B56">
            <v>64614715</v>
          </cell>
          <cell r="C56">
            <v>14967295</v>
          </cell>
          <cell r="D56">
            <v>79582010</v>
          </cell>
        </row>
        <row r="57">
          <cell r="A57" t="str">
            <v>STATE COLLEGE OF FLORIDA, MANATEE-SARASOTA</v>
          </cell>
          <cell r="B57">
            <v>106202461</v>
          </cell>
          <cell r="C57">
            <v>48675246</v>
          </cell>
          <cell r="D57">
            <v>154877707</v>
          </cell>
        </row>
        <row r="58">
          <cell r="A58" t="str">
            <v>MIAMI DADE COLLEGE</v>
          </cell>
          <cell r="B58">
            <v>1363606850</v>
          </cell>
          <cell r="C58">
            <v>125521527</v>
          </cell>
          <cell r="D58">
            <v>1489128377</v>
          </cell>
        </row>
        <row r="59">
          <cell r="A59" t="str">
            <v>NORTH FLORIDA COMMUNITY COLLEGE</v>
          </cell>
          <cell r="B59">
            <v>28783665</v>
          </cell>
          <cell r="C59">
            <v>3592212</v>
          </cell>
          <cell r="D59">
            <v>32375877</v>
          </cell>
        </row>
        <row r="60">
          <cell r="A60" t="str">
            <v>NORTHWEST FLORIDA STATE COLLEGE</v>
          </cell>
          <cell r="B60">
            <v>132330581</v>
          </cell>
          <cell r="C60">
            <v>43200907</v>
          </cell>
          <cell r="D60">
            <v>175531488</v>
          </cell>
        </row>
        <row r="61">
          <cell r="A61" t="str">
            <v>PALM BEACH STATE COLLEGE</v>
          </cell>
          <cell r="B61">
            <v>260208009</v>
          </cell>
          <cell r="C61">
            <v>31670321</v>
          </cell>
          <cell r="D61">
            <v>291878330</v>
          </cell>
        </row>
        <row r="62">
          <cell r="A62" t="str">
            <v>PASCO-HERNANDO STATE COLLEGE</v>
          </cell>
          <cell r="B62">
            <v>184896923</v>
          </cell>
          <cell r="C62">
            <v>42827111</v>
          </cell>
          <cell r="D62">
            <v>227724034</v>
          </cell>
        </row>
        <row r="63">
          <cell r="A63" t="str">
            <v>PENSACOLA STATE COLLEGE</v>
          </cell>
          <cell r="B63">
            <v>66127174</v>
          </cell>
          <cell r="C63">
            <v>22005756</v>
          </cell>
          <cell r="D63">
            <v>88132930</v>
          </cell>
        </row>
        <row r="64">
          <cell r="A64" t="str">
            <v>POLK STATE COLLEGE</v>
          </cell>
          <cell r="B64">
            <v>93965821</v>
          </cell>
          <cell r="C64">
            <v>26848685</v>
          </cell>
          <cell r="D64">
            <v>120814506</v>
          </cell>
        </row>
        <row r="65">
          <cell r="A65" t="str">
            <v>ST. JOHNS RIVER STATE COLLEGE</v>
          </cell>
          <cell r="B65">
            <v>69710424</v>
          </cell>
          <cell r="C65">
            <v>12079291</v>
          </cell>
          <cell r="D65">
            <v>81789715</v>
          </cell>
        </row>
        <row r="66">
          <cell r="A66" t="str">
            <v>ST. PETERSBURG COLLEGE</v>
          </cell>
          <cell r="B66">
            <v>295561213</v>
          </cell>
          <cell r="C66">
            <v>59962439</v>
          </cell>
          <cell r="D66">
            <v>355523652</v>
          </cell>
        </row>
        <row r="67">
          <cell r="A67" t="str">
            <v>SANTA FE COLLEGE</v>
          </cell>
          <cell r="B67">
            <v>125509097</v>
          </cell>
          <cell r="C67">
            <v>41770253</v>
          </cell>
          <cell r="D67">
            <v>167279350</v>
          </cell>
        </row>
        <row r="68">
          <cell r="A68" t="str">
            <v>SEMINOLE STATE COLLEGE OF FLORIDA</v>
          </cell>
          <cell r="B68">
            <v>202894160</v>
          </cell>
          <cell r="C68">
            <v>18724758</v>
          </cell>
          <cell r="D68">
            <v>221618918</v>
          </cell>
        </row>
        <row r="69">
          <cell r="A69" t="str">
            <v>SOUTH FLORIDA STATE COLLEGE</v>
          </cell>
          <cell r="B69">
            <v>71887178</v>
          </cell>
          <cell r="C69">
            <v>10634447</v>
          </cell>
          <cell r="D69">
            <v>82521625</v>
          </cell>
        </row>
        <row r="70">
          <cell r="A70" t="str">
            <v>TALLAHASSEE COMMUNITY COLLEGE</v>
          </cell>
          <cell r="B70">
            <v>135497218</v>
          </cell>
          <cell r="C70">
            <v>16120502</v>
          </cell>
          <cell r="D70">
            <v>151617720</v>
          </cell>
        </row>
        <row r="71">
          <cell r="A71" t="str">
            <v>VALENCIA COLLEGE</v>
          </cell>
          <cell r="B71">
            <v>304247165</v>
          </cell>
          <cell r="C71">
            <v>75042790</v>
          </cell>
          <cell r="D71">
            <v>379289955</v>
          </cell>
        </row>
      </sheetData>
      <sheetData sheetId="40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SEMINOLE STATE COLLEGE OF FLORIDA</v>
          </cell>
        </row>
      </sheetData>
      <sheetData sheetId="3"/>
      <sheetData sheetId="4">
        <row r="215">
          <cell r="O215">
            <v>2753614.42</v>
          </cell>
        </row>
        <row r="481">
          <cell r="O481">
            <v>6462774.79</v>
          </cell>
        </row>
      </sheetData>
      <sheetData sheetId="5">
        <row r="9">
          <cell r="M9" t="str">
            <v>Unit</v>
          </cell>
        </row>
        <row r="119">
          <cell r="K119">
            <v>180423316</v>
          </cell>
          <cell r="M119">
            <v>19594845</v>
          </cell>
          <cell r="N119">
            <v>200018161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44">
          <cell r="A44" t="str">
            <v>EASTERN FLORIDA STATE COLLEGE</v>
          </cell>
          <cell r="B44">
            <v>132823495</v>
          </cell>
          <cell r="C44">
            <v>19357044</v>
          </cell>
          <cell r="D44">
            <v>152180539</v>
          </cell>
        </row>
        <row r="45">
          <cell r="A45" t="str">
            <v>BROWARD COLLEGE</v>
          </cell>
          <cell r="B45">
            <v>269782584</v>
          </cell>
          <cell r="C45">
            <v>74616540</v>
          </cell>
          <cell r="D45">
            <v>344399124</v>
          </cell>
        </row>
        <row r="46">
          <cell r="A46" t="str">
            <v>COLLEGE OF CENTRAL FLORIDA</v>
          </cell>
          <cell r="B46">
            <v>85764502</v>
          </cell>
          <cell r="C46">
            <v>85913922</v>
          </cell>
          <cell r="D46">
            <v>171678424</v>
          </cell>
        </row>
        <row r="47">
          <cell r="A47" t="str">
            <v>CHIPOLA COLLEGE</v>
          </cell>
          <cell r="B47">
            <v>61327492</v>
          </cell>
          <cell r="C47">
            <v>17916736</v>
          </cell>
          <cell r="D47">
            <v>79244228</v>
          </cell>
        </row>
        <row r="48">
          <cell r="A48" t="str">
            <v>DAYTONA STATE COLLEGE</v>
          </cell>
          <cell r="B48">
            <v>185737997</v>
          </cell>
          <cell r="C48">
            <v>19861695</v>
          </cell>
          <cell r="D48">
            <v>205599692</v>
          </cell>
        </row>
        <row r="49">
          <cell r="A49" t="str">
            <v>FLORIDA SOUTHWESTERN STATE COLLEGE</v>
          </cell>
          <cell r="B49">
            <v>157746233</v>
          </cell>
          <cell r="C49">
            <v>44708159</v>
          </cell>
          <cell r="D49">
            <v>202454392</v>
          </cell>
        </row>
        <row r="50">
          <cell r="A50" t="str">
            <v>FLORIDA STATE COLLEGE AT JACKSONVILLE</v>
          </cell>
          <cell r="B50">
            <v>271686692</v>
          </cell>
          <cell r="C50">
            <v>46467136</v>
          </cell>
          <cell r="D50">
            <v>318153828</v>
          </cell>
        </row>
        <row r="51">
          <cell r="A51" t="str">
            <v>FLORIDA KEYS COMMUNITY COLLEGE</v>
          </cell>
          <cell r="B51">
            <v>27300839</v>
          </cell>
          <cell r="C51">
            <v>3185648</v>
          </cell>
          <cell r="D51">
            <v>30486487</v>
          </cell>
        </row>
        <row r="52">
          <cell r="A52" t="str">
            <v>GULF COAST STATE COLLEGE</v>
          </cell>
          <cell r="B52">
            <v>106192762</v>
          </cell>
          <cell r="C52">
            <v>30132408</v>
          </cell>
          <cell r="D52">
            <v>136325170</v>
          </cell>
        </row>
        <row r="53">
          <cell r="A53" t="str">
            <v>HILLSBOROUGH COMMUNITY COLLEGE</v>
          </cell>
          <cell r="B53">
            <v>224905527</v>
          </cell>
          <cell r="C53">
            <v>6045935</v>
          </cell>
          <cell r="D53">
            <v>230951462</v>
          </cell>
        </row>
        <row r="54">
          <cell r="A54" t="str">
            <v>INDIAN RIVER STATE COLLEGE</v>
          </cell>
          <cell r="B54">
            <v>260057408</v>
          </cell>
          <cell r="C54">
            <v>75707790</v>
          </cell>
          <cell r="D54">
            <v>335765198</v>
          </cell>
        </row>
        <row r="55">
          <cell r="A55" t="str">
            <v>FLORIDA GATEWAY COLLEGE</v>
          </cell>
          <cell r="B55">
            <v>45331129</v>
          </cell>
          <cell r="C55">
            <v>14581122</v>
          </cell>
          <cell r="D55">
            <v>59912251</v>
          </cell>
        </row>
        <row r="56">
          <cell r="A56" t="str">
            <v>LAKE-SUMTER STATE COLLEGE</v>
          </cell>
          <cell r="B56">
            <v>64614715</v>
          </cell>
          <cell r="C56">
            <v>14967295</v>
          </cell>
          <cell r="D56">
            <v>79582010</v>
          </cell>
        </row>
        <row r="57">
          <cell r="A57" t="str">
            <v>STATE COLLEGE OF FLORIDA, MANATEE-SARASOTA</v>
          </cell>
          <cell r="B57">
            <v>106202461</v>
          </cell>
          <cell r="C57">
            <v>48675246</v>
          </cell>
          <cell r="D57">
            <v>154877707</v>
          </cell>
        </row>
        <row r="58">
          <cell r="A58" t="str">
            <v>MIAMI DADE COLLEGE</v>
          </cell>
          <cell r="B58">
            <v>1363606850</v>
          </cell>
          <cell r="C58">
            <v>125521527</v>
          </cell>
          <cell r="D58">
            <v>1489128377</v>
          </cell>
        </row>
        <row r="59">
          <cell r="A59" t="str">
            <v>NORTH FLORIDA COMMUNITY COLLEGE</v>
          </cell>
          <cell r="B59">
            <v>28783665</v>
          </cell>
          <cell r="C59">
            <v>3592212</v>
          </cell>
          <cell r="D59">
            <v>32375877</v>
          </cell>
        </row>
        <row r="60">
          <cell r="A60" t="str">
            <v>NORTHWEST FLORIDA STATE COLLEGE</v>
          </cell>
          <cell r="B60">
            <v>132330581</v>
          </cell>
          <cell r="C60">
            <v>43200907</v>
          </cell>
          <cell r="D60">
            <v>175531488</v>
          </cell>
        </row>
        <row r="61">
          <cell r="A61" t="str">
            <v>PALM BEACH STATE COLLEGE</v>
          </cell>
          <cell r="B61">
            <v>260208009</v>
          </cell>
          <cell r="C61">
            <v>31670321</v>
          </cell>
          <cell r="D61">
            <v>291878330</v>
          </cell>
        </row>
        <row r="62">
          <cell r="A62" t="str">
            <v>PASCO-HERNANDO STATE COLLEGE</v>
          </cell>
          <cell r="B62">
            <v>184896923</v>
          </cell>
          <cell r="C62">
            <v>42827111</v>
          </cell>
          <cell r="D62">
            <v>227724034</v>
          </cell>
        </row>
        <row r="63">
          <cell r="A63" t="str">
            <v>PENSACOLA STATE COLLEGE</v>
          </cell>
          <cell r="B63">
            <v>66127174</v>
          </cell>
          <cell r="C63">
            <v>22005756</v>
          </cell>
          <cell r="D63">
            <v>88132930</v>
          </cell>
        </row>
        <row r="64">
          <cell r="A64" t="str">
            <v>POLK STATE COLLEGE</v>
          </cell>
          <cell r="B64">
            <v>93965821</v>
          </cell>
          <cell r="C64">
            <v>26848685</v>
          </cell>
          <cell r="D64">
            <v>120814506</v>
          </cell>
        </row>
        <row r="65">
          <cell r="A65" t="str">
            <v>ST. JOHNS RIVER STATE COLLEGE</v>
          </cell>
          <cell r="B65">
            <v>69710424</v>
          </cell>
          <cell r="C65">
            <v>12079291</v>
          </cell>
          <cell r="D65">
            <v>81789715</v>
          </cell>
        </row>
        <row r="66">
          <cell r="A66" t="str">
            <v>ST. PETERSBURG COLLEGE</v>
          </cell>
          <cell r="B66">
            <v>295561213</v>
          </cell>
          <cell r="C66">
            <v>59962439</v>
          </cell>
          <cell r="D66">
            <v>355523652</v>
          </cell>
        </row>
        <row r="67">
          <cell r="A67" t="str">
            <v>SANTA FE COLLEGE</v>
          </cell>
          <cell r="B67">
            <v>125509097</v>
          </cell>
          <cell r="C67">
            <v>41770253</v>
          </cell>
          <cell r="D67">
            <v>167279350</v>
          </cell>
        </row>
        <row r="68">
          <cell r="A68" t="str">
            <v>SEMINOLE STATE COLLEGE OF FLORIDA</v>
          </cell>
          <cell r="B68">
            <v>202894160</v>
          </cell>
          <cell r="C68">
            <v>18724758</v>
          </cell>
          <cell r="D68">
            <v>221618918</v>
          </cell>
        </row>
        <row r="69">
          <cell r="A69" t="str">
            <v>SOUTH FLORIDA STATE COLLEGE</v>
          </cell>
          <cell r="B69">
            <v>71887178</v>
          </cell>
          <cell r="C69">
            <v>10634447</v>
          </cell>
          <cell r="D69">
            <v>82521625</v>
          </cell>
        </row>
        <row r="70">
          <cell r="A70" t="str">
            <v>TALLAHASSEE COMMUNITY COLLEGE</v>
          </cell>
          <cell r="B70">
            <v>135497218</v>
          </cell>
          <cell r="C70">
            <v>16120502</v>
          </cell>
          <cell r="D70">
            <v>151617720</v>
          </cell>
        </row>
        <row r="71">
          <cell r="A71" t="str">
            <v>VALENCIA COLLEGE</v>
          </cell>
          <cell r="B71">
            <v>304247165</v>
          </cell>
          <cell r="C71">
            <v>75042790</v>
          </cell>
          <cell r="D71">
            <v>379289955</v>
          </cell>
        </row>
      </sheetData>
      <sheetData sheetId="4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CS SNP"/>
      <sheetName val="EASTERNFL"/>
      <sheetName val="BROWARD"/>
      <sheetName val="CENTRALFL"/>
      <sheetName val="CHIPOLA"/>
      <sheetName val="DAYTONA"/>
      <sheetName val="FLORIDASW"/>
      <sheetName val="FSCJ"/>
      <sheetName val="FLKEYS"/>
      <sheetName val="GULFCOAST"/>
      <sheetName val="HILLSBOROUGH"/>
      <sheetName val="INDIANRIVER"/>
      <sheetName val="GATEWAY"/>
      <sheetName val="LAKESUMTER"/>
      <sheetName val="SCFMANATEE"/>
      <sheetName val="MIAMIDADE"/>
      <sheetName val="NORTHFL"/>
      <sheetName val="NORTHWEST"/>
      <sheetName val="PALMBEACH"/>
      <sheetName val="PASCOHERNANDO"/>
      <sheetName val="PENSACOLA"/>
      <sheetName val="POLK"/>
      <sheetName val="STJOHNS"/>
      <sheetName val="STPETE"/>
      <sheetName val="SANTAFE"/>
      <sheetName val="SEMINOLE"/>
      <sheetName val="SOUTHFL"/>
      <sheetName val="TALLAHASSEE"/>
      <sheetName val="VALENCIA"/>
      <sheetName val="Sheet1"/>
    </sheetNames>
    <sheetDataSet>
      <sheetData sheetId="0" refreshError="1"/>
      <sheetData sheetId="1" refreshError="1">
        <row r="12">
          <cell r="K12">
            <v>18492077.93</v>
          </cell>
        </row>
        <row r="41">
          <cell r="K41">
            <v>0</v>
          </cell>
          <cell r="M41">
            <v>0</v>
          </cell>
        </row>
      </sheetData>
      <sheetData sheetId="2" refreshError="1">
        <row r="12">
          <cell r="K12">
            <v>5659095.7199999997</v>
          </cell>
        </row>
        <row r="41">
          <cell r="K41">
            <v>0</v>
          </cell>
          <cell r="M41">
            <v>0</v>
          </cell>
        </row>
      </sheetData>
      <sheetData sheetId="3" refreshError="1">
        <row r="12">
          <cell r="K12">
            <v>9454475</v>
          </cell>
        </row>
        <row r="41">
          <cell r="K41">
            <v>0</v>
          </cell>
          <cell r="M41">
            <v>0</v>
          </cell>
        </row>
      </sheetData>
      <sheetData sheetId="4" refreshError="1">
        <row r="12">
          <cell r="K12">
            <v>5931650</v>
          </cell>
        </row>
        <row r="41">
          <cell r="K41">
            <v>0</v>
          </cell>
          <cell r="M41">
            <v>0</v>
          </cell>
        </row>
      </sheetData>
      <sheetData sheetId="5" refreshError="1">
        <row r="12">
          <cell r="K12">
            <v>23956059</v>
          </cell>
        </row>
        <row r="41">
          <cell r="K41">
            <v>0</v>
          </cell>
          <cell r="M41">
            <v>0</v>
          </cell>
        </row>
      </sheetData>
      <sheetData sheetId="6" refreshError="1">
        <row r="12">
          <cell r="K12">
            <v>7059789</v>
          </cell>
        </row>
        <row r="41">
          <cell r="M41">
            <v>0</v>
          </cell>
        </row>
      </sheetData>
      <sheetData sheetId="7" refreshError="1">
        <row r="12">
          <cell r="K12">
            <v>-4416992.13</v>
          </cell>
        </row>
        <row r="41">
          <cell r="K41">
            <v>0</v>
          </cell>
          <cell r="M41">
            <v>0</v>
          </cell>
        </row>
      </sheetData>
      <sheetData sheetId="8" refreshError="1">
        <row r="12">
          <cell r="K12">
            <v>2136071</v>
          </cell>
        </row>
        <row r="41">
          <cell r="K41">
            <v>0</v>
          </cell>
          <cell r="M41">
            <v>0</v>
          </cell>
        </row>
      </sheetData>
      <sheetData sheetId="9" refreshError="1">
        <row r="12">
          <cell r="K12">
            <v>23600174</v>
          </cell>
        </row>
        <row r="41">
          <cell r="K41">
            <v>0</v>
          </cell>
          <cell r="M41">
            <v>0</v>
          </cell>
        </row>
      </sheetData>
      <sheetData sheetId="10" refreshError="1">
        <row r="12">
          <cell r="K12">
            <v>22862354.43</v>
          </cell>
        </row>
        <row r="41">
          <cell r="K41">
            <v>0</v>
          </cell>
          <cell r="M41">
            <v>0</v>
          </cell>
        </row>
      </sheetData>
      <sheetData sheetId="11" refreshError="1">
        <row r="12">
          <cell r="K12">
            <v>8347289</v>
          </cell>
        </row>
        <row r="41">
          <cell r="K41">
            <v>0</v>
          </cell>
          <cell r="M41">
            <v>0</v>
          </cell>
        </row>
      </sheetData>
      <sheetData sheetId="12" refreshError="1">
        <row r="12">
          <cell r="K12">
            <v>6705312.9400000004</v>
          </cell>
        </row>
        <row r="41">
          <cell r="K41">
            <v>0</v>
          </cell>
          <cell r="M41">
            <v>0</v>
          </cell>
        </row>
      </sheetData>
      <sheetData sheetId="13" refreshError="1">
        <row r="12">
          <cell r="K12">
            <v>5523515.3600000003</v>
          </cell>
        </row>
        <row r="41">
          <cell r="K41">
            <v>0</v>
          </cell>
          <cell r="M41">
            <v>0</v>
          </cell>
        </row>
      </sheetData>
      <sheetData sheetId="14" refreshError="1">
        <row r="12">
          <cell r="K12">
            <v>26910903</v>
          </cell>
        </row>
        <row r="41">
          <cell r="K41">
            <v>0</v>
          </cell>
          <cell r="M41">
            <v>0</v>
          </cell>
        </row>
      </sheetData>
      <sheetData sheetId="15" refreshError="1">
        <row r="12">
          <cell r="K12">
            <v>86945186.280000001</v>
          </cell>
        </row>
        <row r="41">
          <cell r="K41">
            <v>0</v>
          </cell>
          <cell r="M41">
            <v>0</v>
          </cell>
        </row>
      </sheetData>
      <sheetData sheetId="16" refreshError="1">
        <row r="12">
          <cell r="K12">
            <v>1805112</v>
          </cell>
        </row>
        <row r="41">
          <cell r="K41">
            <v>0</v>
          </cell>
          <cell r="M41">
            <v>0</v>
          </cell>
        </row>
      </sheetData>
      <sheetData sheetId="17" refreshError="1">
        <row r="12">
          <cell r="K12">
            <v>8199024</v>
          </cell>
        </row>
        <row r="41">
          <cell r="K41">
            <v>0</v>
          </cell>
          <cell r="M41">
            <v>0</v>
          </cell>
        </row>
      </sheetData>
      <sheetData sheetId="18" refreshError="1">
        <row r="12">
          <cell r="K12">
            <v>25517942.129999999</v>
          </cell>
        </row>
        <row r="41">
          <cell r="K41">
            <v>0</v>
          </cell>
          <cell r="M41">
            <v>0</v>
          </cell>
        </row>
      </sheetData>
      <sheetData sheetId="19" refreshError="1">
        <row r="12">
          <cell r="K12">
            <v>15984610.6</v>
          </cell>
        </row>
        <row r="41">
          <cell r="K41">
            <v>0</v>
          </cell>
          <cell r="M41">
            <v>0</v>
          </cell>
        </row>
      </sheetData>
      <sheetData sheetId="20" refreshError="1">
        <row r="12">
          <cell r="K12">
            <v>14859583.41</v>
          </cell>
        </row>
        <row r="41">
          <cell r="K41">
            <v>0</v>
          </cell>
          <cell r="M41">
            <v>0</v>
          </cell>
        </row>
      </sheetData>
      <sheetData sheetId="21" refreshError="1">
        <row r="12">
          <cell r="K12">
            <v>4416065.93</v>
          </cell>
        </row>
        <row r="41">
          <cell r="K41">
            <v>0</v>
          </cell>
          <cell r="M41">
            <v>0</v>
          </cell>
        </row>
      </sheetData>
      <sheetData sheetId="22" refreshError="1">
        <row r="12">
          <cell r="K12">
            <v>16137587</v>
          </cell>
        </row>
        <row r="41">
          <cell r="K41">
            <v>0</v>
          </cell>
          <cell r="M41">
            <v>0</v>
          </cell>
        </row>
      </sheetData>
      <sheetData sheetId="23" refreshError="1">
        <row r="12">
          <cell r="K12">
            <v>18131836.73</v>
          </cell>
        </row>
        <row r="41">
          <cell r="K41">
            <v>0</v>
          </cell>
          <cell r="M41">
            <v>0</v>
          </cell>
        </row>
      </sheetData>
      <sheetData sheetId="24" refreshError="1">
        <row r="12">
          <cell r="K12">
            <v>35798881.009999998</v>
          </cell>
        </row>
        <row r="41">
          <cell r="K41">
            <v>0</v>
          </cell>
          <cell r="M41">
            <v>0</v>
          </cell>
        </row>
      </sheetData>
      <sheetData sheetId="25" refreshError="1">
        <row r="12">
          <cell r="K12">
            <v>15014202</v>
          </cell>
        </row>
        <row r="41">
          <cell r="K41">
            <v>0</v>
          </cell>
          <cell r="M41">
            <v>0</v>
          </cell>
        </row>
      </sheetData>
      <sheetData sheetId="26" refreshError="1">
        <row r="12">
          <cell r="K12">
            <v>5794385.0999999996</v>
          </cell>
        </row>
        <row r="41">
          <cell r="K41">
            <v>0</v>
          </cell>
          <cell r="M41">
            <v>0</v>
          </cell>
        </row>
      </sheetData>
      <sheetData sheetId="27" refreshError="1">
        <row r="12">
          <cell r="K12">
            <v>22725508</v>
          </cell>
        </row>
        <row r="41">
          <cell r="K41">
            <v>0</v>
          </cell>
          <cell r="M41">
            <v>0</v>
          </cell>
        </row>
      </sheetData>
      <sheetData sheetId="28" refreshError="1">
        <row r="12">
          <cell r="K12">
            <v>48617815.590000004</v>
          </cell>
        </row>
        <row r="41">
          <cell r="M41">
            <v>0</v>
          </cell>
        </row>
      </sheetData>
      <sheetData sheetId="29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SOUTH FLORIDA STATE COLLEGE</v>
          </cell>
        </row>
      </sheetData>
      <sheetData sheetId="3"/>
      <sheetData sheetId="4">
        <row r="215">
          <cell r="O215">
            <v>293489.27</v>
          </cell>
        </row>
        <row r="481">
          <cell r="O481">
            <v>2426455.16</v>
          </cell>
        </row>
      </sheetData>
      <sheetData sheetId="5">
        <row r="9">
          <cell r="M9" t="str">
            <v>Unit</v>
          </cell>
        </row>
        <row r="119">
          <cell r="K119">
            <v>59095717</v>
          </cell>
          <cell r="M119">
            <v>12407242</v>
          </cell>
          <cell r="N119">
            <v>71502959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44">
          <cell r="A44" t="str">
            <v>EASTERN FLORIDA STATE COLLEGE</v>
          </cell>
          <cell r="B44">
            <v>132823495</v>
          </cell>
          <cell r="C44">
            <v>19357044</v>
          </cell>
          <cell r="D44">
            <v>152180539</v>
          </cell>
        </row>
        <row r="45">
          <cell r="A45" t="str">
            <v>BROWARD COLLEGE</v>
          </cell>
          <cell r="B45">
            <v>269782584</v>
          </cell>
          <cell r="C45">
            <v>74616540</v>
          </cell>
          <cell r="D45">
            <v>344399124</v>
          </cell>
        </row>
        <row r="46">
          <cell r="A46" t="str">
            <v>COLLEGE OF CENTRAL FLORIDA</v>
          </cell>
          <cell r="B46">
            <v>85764502</v>
          </cell>
          <cell r="C46">
            <v>85913922</v>
          </cell>
          <cell r="D46">
            <v>171678424</v>
          </cell>
        </row>
        <row r="47">
          <cell r="A47" t="str">
            <v>CHIPOLA COLLEGE</v>
          </cell>
          <cell r="B47">
            <v>61327492</v>
          </cell>
          <cell r="C47">
            <v>17916736</v>
          </cell>
          <cell r="D47">
            <v>79244228</v>
          </cell>
        </row>
        <row r="48">
          <cell r="A48" t="str">
            <v>DAYTONA STATE COLLEGE</v>
          </cell>
          <cell r="B48">
            <v>185737997</v>
          </cell>
          <cell r="C48">
            <v>19861695</v>
          </cell>
          <cell r="D48">
            <v>205599692</v>
          </cell>
        </row>
        <row r="49">
          <cell r="A49" t="str">
            <v>FLORIDA SOUTHWESTERN STATE COLLEGE</v>
          </cell>
          <cell r="B49">
            <v>157746233</v>
          </cell>
          <cell r="C49">
            <v>44708159</v>
          </cell>
          <cell r="D49">
            <v>202454392</v>
          </cell>
        </row>
        <row r="50">
          <cell r="A50" t="str">
            <v>FLORIDA STATE COLLEGE AT JACKSONVILLE</v>
          </cell>
          <cell r="B50">
            <v>271686692</v>
          </cell>
          <cell r="C50">
            <v>46467136</v>
          </cell>
          <cell r="D50">
            <v>318153828</v>
          </cell>
        </row>
        <row r="51">
          <cell r="A51" t="str">
            <v>FLORIDA KEYS COMMUNITY COLLEGE</v>
          </cell>
          <cell r="B51">
            <v>27300839</v>
          </cell>
          <cell r="C51">
            <v>3185648</v>
          </cell>
          <cell r="D51">
            <v>30486487</v>
          </cell>
        </row>
        <row r="52">
          <cell r="A52" t="str">
            <v>GULF COAST STATE COLLEGE</v>
          </cell>
          <cell r="B52">
            <v>106192762</v>
          </cell>
          <cell r="C52">
            <v>30132408</v>
          </cell>
          <cell r="D52">
            <v>136325170</v>
          </cell>
        </row>
        <row r="53">
          <cell r="A53" t="str">
            <v>HILLSBOROUGH COMMUNITY COLLEGE</v>
          </cell>
          <cell r="B53">
            <v>224905527</v>
          </cell>
          <cell r="C53">
            <v>6045935</v>
          </cell>
          <cell r="D53">
            <v>230951462</v>
          </cell>
        </row>
        <row r="54">
          <cell r="A54" t="str">
            <v>INDIAN RIVER STATE COLLEGE</v>
          </cell>
          <cell r="B54">
            <v>260057408</v>
          </cell>
          <cell r="C54">
            <v>75707790</v>
          </cell>
          <cell r="D54">
            <v>335765198</v>
          </cell>
        </row>
        <row r="55">
          <cell r="A55" t="str">
            <v>FLORIDA GATEWAY COLLEGE</v>
          </cell>
          <cell r="B55">
            <v>45331129</v>
          </cell>
          <cell r="C55">
            <v>14581122</v>
          </cell>
          <cell r="D55">
            <v>59912251</v>
          </cell>
        </row>
        <row r="56">
          <cell r="A56" t="str">
            <v>LAKE-SUMTER STATE COLLEGE</v>
          </cell>
          <cell r="B56">
            <v>64614715</v>
          </cell>
          <cell r="C56">
            <v>14967295</v>
          </cell>
          <cell r="D56">
            <v>79582010</v>
          </cell>
        </row>
        <row r="57">
          <cell r="A57" t="str">
            <v>STATE COLLEGE OF FLORIDA, MANATEE-SARASOTA</v>
          </cell>
          <cell r="B57">
            <v>106202461</v>
          </cell>
          <cell r="C57">
            <v>48675246</v>
          </cell>
          <cell r="D57">
            <v>154877707</v>
          </cell>
        </row>
        <row r="58">
          <cell r="A58" t="str">
            <v>MIAMI DADE COLLEGE</v>
          </cell>
          <cell r="B58">
            <v>1363606850</v>
          </cell>
          <cell r="C58">
            <v>125521527</v>
          </cell>
          <cell r="D58">
            <v>1489128377</v>
          </cell>
        </row>
        <row r="59">
          <cell r="A59" t="str">
            <v>NORTH FLORIDA COMMUNITY COLLEGE</v>
          </cell>
          <cell r="B59">
            <v>28783665</v>
          </cell>
          <cell r="C59">
            <v>3592212</v>
          </cell>
          <cell r="D59">
            <v>32375877</v>
          </cell>
        </row>
        <row r="60">
          <cell r="A60" t="str">
            <v>NORTHWEST FLORIDA STATE COLLEGE</v>
          </cell>
          <cell r="B60">
            <v>132330581</v>
          </cell>
          <cell r="C60">
            <v>43200907</v>
          </cell>
          <cell r="D60">
            <v>175531488</v>
          </cell>
        </row>
        <row r="61">
          <cell r="A61" t="str">
            <v>PALM BEACH STATE COLLEGE</v>
          </cell>
          <cell r="B61">
            <v>260208009</v>
          </cell>
          <cell r="C61">
            <v>31670321</v>
          </cell>
          <cell r="D61">
            <v>291878330</v>
          </cell>
        </row>
        <row r="62">
          <cell r="A62" t="str">
            <v>PASCO-HERNANDO STATE COLLEGE</v>
          </cell>
          <cell r="B62">
            <v>184896923</v>
          </cell>
          <cell r="C62">
            <v>42827111</v>
          </cell>
          <cell r="D62">
            <v>227724034</v>
          </cell>
        </row>
        <row r="63">
          <cell r="A63" t="str">
            <v>PENSACOLA STATE COLLEGE</v>
          </cell>
          <cell r="B63">
            <v>66127174</v>
          </cell>
          <cell r="C63">
            <v>22005756</v>
          </cell>
          <cell r="D63">
            <v>88132930</v>
          </cell>
        </row>
        <row r="64">
          <cell r="A64" t="str">
            <v>POLK STATE COLLEGE</v>
          </cell>
          <cell r="B64">
            <v>93965821</v>
          </cell>
          <cell r="C64">
            <v>26848685</v>
          </cell>
          <cell r="D64">
            <v>120814506</v>
          </cell>
        </row>
        <row r="65">
          <cell r="A65" t="str">
            <v>ST. JOHNS RIVER STATE COLLEGE</v>
          </cell>
          <cell r="B65">
            <v>69710424</v>
          </cell>
          <cell r="C65">
            <v>12079291</v>
          </cell>
          <cell r="D65">
            <v>81789715</v>
          </cell>
        </row>
        <row r="66">
          <cell r="A66" t="str">
            <v>ST. PETERSBURG COLLEGE</v>
          </cell>
          <cell r="B66">
            <v>295561213</v>
          </cell>
          <cell r="C66">
            <v>59962439</v>
          </cell>
          <cell r="D66">
            <v>355523652</v>
          </cell>
        </row>
        <row r="67">
          <cell r="A67" t="str">
            <v>SANTA FE COLLEGE</v>
          </cell>
          <cell r="B67">
            <v>125509097</v>
          </cell>
          <cell r="C67">
            <v>41770253</v>
          </cell>
          <cell r="D67">
            <v>167279350</v>
          </cell>
        </row>
        <row r="68">
          <cell r="A68" t="str">
            <v>SEMINOLE STATE COLLEGE OF FLORIDA</v>
          </cell>
          <cell r="B68">
            <v>202894160</v>
          </cell>
          <cell r="C68">
            <v>18724758</v>
          </cell>
          <cell r="D68">
            <v>221618918</v>
          </cell>
        </row>
        <row r="69">
          <cell r="A69" t="str">
            <v>SOUTH FLORIDA STATE COLLEGE</v>
          </cell>
          <cell r="B69">
            <v>69710424</v>
          </cell>
          <cell r="C69">
            <v>12079291</v>
          </cell>
          <cell r="D69">
            <v>81789715</v>
          </cell>
        </row>
        <row r="70">
          <cell r="A70" t="str">
            <v>TALLAHASSEE COMMUNITY COLLEGE</v>
          </cell>
          <cell r="B70">
            <v>135497218</v>
          </cell>
          <cell r="C70">
            <v>16120502</v>
          </cell>
          <cell r="D70">
            <v>151617720</v>
          </cell>
        </row>
        <row r="71">
          <cell r="A71" t="str">
            <v>VALENCIA COLLEGE</v>
          </cell>
          <cell r="B71">
            <v>304247165</v>
          </cell>
          <cell r="C71">
            <v>75042790</v>
          </cell>
          <cell r="D71">
            <v>379289955</v>
          </cell>
        </row>
      </sheetData>
      <sheetData sheetId="40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VLOOKUPS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TALLAHASSEE COMMUNITY COLLEGE</v>
          </cell>
        </row>
      </sheetData>
      <sheetData sheetId="3"/>
      <sheetData sheetId="4">
        <row r="215">
          <cell r="O215">
            <v>3309889.39</v>
          </cell>
        </row>
        <row r="481">
          <cell r="O481">
            <v>5033227.0599999996</v>
          </cell>
        </row>
      </sheetData>
      <sheetData sheetId="5">
        <row r="9">
          <cell r="M9" t="str">
            <v>Unit</v>
          </cell>
        </row>
        <row r="119">
          <cell r="K119">
            <v>111199862</v>
          </cell>
          <cell r="M119">
            <v>14500036</v>
          </cell>
          <cell r="N119">
            <v>125699898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44">
          <cell r="A44" t="str">
            <v>EASTERN FLORIDA STATE COLLEGE</v>
          </cell>
          <cell r="B44">
            <v>132823495</v>
          </cell>
          <cell r="C44">
            <v>19357044</v>
          </cell>
          <cell r="D44">
            <v>152180539</v>
          </cell>
        </row>
        <row r="45">
          <cell r="A45" t="str">
            <v>BROWARD COLLEGE</v>
          </cell>
          <cell r="B45">
            <v>269782584</v>
          </cell>
          <cell r="C45">
            <v>74616540</v>
          </cell>
          <cell r="D45">
            <v>344399124</v>
          </cell>
        </row>
        <row r="46">
          <cell r="A46" t="str">
            <v>COLLEGE OF CENTRAL FLORIDA</v>
          </cell>
          <cell r="B46">
            <v>85764502</v>
          </cell>
          <cell r="C46">
            <v>85913922</v>
          </cell>
          <cell r="D46">
            <v>171678424</v>
          </cell>
        </row>
        <row r="47">
          <cell r="A47" t="str">
            <v>CHIPOLA COLLEGE</v>
          </cell>
          <cell r="B47">
            <v>61327492</v>
          </cell>
          <cell r="C47">
            <v>17916736</v>
          </cell>
          <cell r="D47">
            <v>79244228</v>
          </cell>
        </row>
        <row r="48">
          <cell r="A48" t="str">
            <v>DAYTONA STATE COLLEGE</v>
          </cell>
          <cell r="B48">
            <v>185737997</v>
          </cell>
          <cell r="C48">
            <v>19861695</v>
          </cell>
          <cell r="D48">
            <v>205599692</v>
          </cell>
        </row>
        <row r="49">
          <cell r="A49" t="str">
            <v>FLORIDA SOUTHWESTERN STATE COLLEGE</v>
          </cell>
          <cell r="B49">
            <v>157746233</v>
          </cell>
          <cell r="C49">
            <v>44708159</v>
          </cell>
          <cell r="D49">
            <v>202454392</v>
          </cell>
        </row>
        <row r="50">
          <cell r="A50" t="str">
            <v>FLORIDA STATE COLLEGE AT JACKSONVILLE</v>
          </cell>
          <cell r="B50">
            <v>271686692</v>
          </cell>
          <cell r="C50">
            <v>46467136</v>
          </cell>
          <cell r="D50">
            <v>318153828</v>
          </cell>
        </row>
        <row r="51">
          <cell r="A51" t="str">
            <v>FLORIDA KEYS COMMUNITY COLLEGE</v>
          </cell>
          <cell r="B51">
            <v>27300839</v>
          </cell>
          <cell r="C51">
            <v>3185648</v>
          </cell>
          <cell r="D51">
            <v>30486487</v>
          </cell>
        </row>
        <row r="52">
          <cell r="A52" t="str">
            <v>GULF COAST STATE COLLEGE</v>
          </cell>
          <cell r="B52">
            <v>106192762</v>
          </cell>
          <cell r="C52">
            <v>30132408</v>
          </cell>
          <cell r="D52">
            <v>136325170</v>
          </cell>
        </row>
        <row r="53">
          <cell r="A53" t="str">
            <v>HILLSBOROUGH COMMUNITY COLLEGE</v>
          </cell>
          <cell r="B53">
            <v>224905527</v>
          </cell>
          <cell r="C53">
            <v>6045935</v>
          </cell>
          <cell r="D53">
            <v>230951462</v>
          </cell>
        </row>
        <row r="54">
          <cell r="A54" t="str">
            <v>INDIAN RIVER STATE COLLEGE</v>
          </cell>
          <cell r="B54">
            <v>260057408</v>
          </cell>
          <cell r="C54">
            <v>75707790</v>
          </cell>
          <cell r="D54">
            <v>335765198</v>
          </cell>
        </row>
        <row r="55">
          <cell r="A55" t="str">
            <v>FLORIDA GATEWAY COLLEGE</v>
          </cell>
          <cell r="B55">
            <v>45331129</v>
          </cell>
          <cell r="C55">
            <v>14581122</v>
          </cell>
          <cell r="D55">
            <v>59912251</v>
          </cell>
        </row>
        <row r="56">
          <cell r="A56" t="str">
            <v>LAKE-SUMTER STATE COLLEGE</v>
          </cell>
          <cell r="B56">
            <v>64614715</v>
          </cell>
          <cell r="C56">
            <v>14967295</v>
          </cell>
          <cell r="D56">
            <v>79582010</v>
          </cell>
        </row>
        <row r="57">
          <cell r="A57" t="str">
            <v>STATE COLLEGE OF FLORIDA, MANATEE-SARASOTA</v>
          </cell>
          <cell r="B57">
            <v>106202461</v>
          </cell>
          <cell r="C57">
            <v>48675246</v>
          </cell>
          <cell r="D57">
            <v>154877707</v>
          </cell>
        </row>
        <row r="58">
          <cell r="A58" t="str">
            <v>MIAMI DADE COLLEGE</v>
          </cell>
          <cell r="B58">
            <v>1363606850</v>
          </cell>
          <cell r="C58">
            <v>125521527</v>
          </cell>
          <cell r="D58">
            <v>1489128377</v>
          </cell>
        </row>
        <row r="59">
          <cell r="A59" t="str">
            <v>NORTH FLORIDA COMMUNITY COLLEGE</v>
          </cell>
          <cell r="B59">
            <v>28783665</v>
          </cell>
          <cell r="C59">
            <v>3592212</v>
          </cell>
          <cell r="D59">
            <v>32375877</v>
          </cell>
        </row>
        <row r="60">
          <cell r="A60" t="str">
            <v>NORTHWEST FLORIDA STATE COLLEGE</v>
          </cell>
          <cell r="B60">
            <v>132330581</v>
          </cell>
          <cell r="C60">
            <v>43200907</v>
          </cell>
          <cell r="D60">
            <v>175531488</v>
          </cell>
        </row>
        <row r="61">
          <cell r="A61" t="str">
            <v>PALM BEACH STATE COLLEGE</v>
          </cell>
          <cell r="B61">
            <v>260208009</v>
          </cell>
          <cell r="C61">
            <v>31670321</v>
          </cell>
          <cell r="D61">
            <v>291878330</v>
          </cell>
        </row>
        <row r="62">
          <cell r="A62" t="str">
            <v>PASCO-HERNANDO STATE COLLEGE</v>
          </cell>
          <cell r="B62">
            <v>184896923</v>
          </cell>
          <cell r="C62">
            <v>42827111</v>
          </cell>
          <cell r="D62">
            <v>227724034</v>
          </cell>
        </row>
        <row r="63">
          <cell r="A63" t="str">
            <v>PENSACOLA STATE COLLEGE</v>
          </cell>
          <cell r="B63">
            <v>66127174</v>
          </cell>
          <cell r="C63">
            <v>22005756</v>
          </cell>
          <cell r="D63">
            <v>88132930</v>
          </cell>
        </row>
        <row r="64">
          <cell r="A64" t="str">
            <v>POLK STATE COLLEGE</v>
          </cell>
          <cell r="B64">
            <v>93965821</v>
          </cell>
          <cell r="C64">
            <v>26848685</v>
          </cell>
          <cell r="D64">
            <v>120814506</v>
          </cell>
        </row>
        <row r="65">
          <cell r="A65" t="str">
            <v>ST. JOHNS RIVER STATE COLLEGE</v>
          </cell>
          <cell r="B65">
            <v>69710424</v>
          </cell>
          <cell r="C65">
            <v>12079291</v>
          </cell>
          <cell r="D65">
            <v>81789715</v>
          </cell>
        </row>
        <row r="66">
          <cell r="A66" t="str">
            <v>ST. PETERSBURG COLLEGE</v>
          </cell>
          <cell r="B66">
            <v>295561213</v>
          </cell>
          <cell r="C66">
            <v>59962439</v>
          </cell>
          <cell r="D66">
            <v>355523652</v>
          </cell>
        </row>
        <row r="67">
          <cell r="A67" t="str">
            <v>SANTA FE COLLEGE</v>
          </cell>
          <cell r="B67">
            <v>125509097</v>
          </cell>
          <cell r="C67">
            <v>41770253</v>
          </cell>
          <cell r="D67">
            <v>167279350</v>
          </cell>
        </row>
        <row r="68">
          <cell r="A68" t="str">
            <v>SEMINOLE STATE COLLEGE OF FLORIDA</v>
          </cell>
          <cell r="B68">
            <v>202894160</v>
          </cell>
          <cell r="C68">
            <v>18724758</v>
          </cell>
          <cell r="D68">
            <v>221618918</v>
          </cell>
        </row>
        <row r="69">
          <cell r="A69" t="str">
            <v>SOUTH FLORIDA STATE COLLEGE</v>
          </cell>
          <cell r="B69">
            <v>71887178</v>
          </cell>
          <cell r="C69">
            <v>10634447</v>
          </cell>
          <cell r="D69">
            <v>82521625</v>
          </cell>
        </row>
        <row r="70">
          <cell r="A70" t="str">
            <v>TALLAHASSEE COMMUNITY COLLEGE</v>
          </cell>
          <cell r="B70">
            <v>135497218</v>
          </cell>
          <cell r="C70">
            <v>16120502</v>
          </cell>
          <cell r="D70">
            <v>151617720</v>
          </cell>
        </row>
        <row r="71">
          <cell r="A71" t="str">
            <v>VALENCIA COLLEGE</v>
          </cell>
          <cell r="B71">
            <v>304247165</v>
          </cell>
          <cell r="C71">
            <v>75042790</v>
          </cell>
          <cell r="D71">
            <v>379289955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VALENCIA COLLEGE</v>
          </cell>
        </row>
      </sheetData>
      <sheetData sheetId="3"/>
      <sheetData sheetId="4">
        <row r="215">
          <cell r="O215">
            <v>5544985.9699999997</v>
          </cell>
        </row>
        <row r="481">
          <cell r="O481">
            <v>10555181.109999999</v>
          </cell>
        </row>
      </sheetData>
      <sheetData sheetId="5">
        <row r="9">
          <cell r="M9" t="str">
            <v>Unit</v>
          </cell>
        </row>
        <row r="119">
          <cell r="K119">
            <v>261202287</v>
          </cell>
          <cell r="M119">
            <v>82609937</v>
          </cell>
          <cell r="N119">
            <v>343812224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44">
          <cell r="A44" t="str">
            <v>EASTERN FLORIDA STATE COLLEGE</v>
          </cell>
          <cell r="B44">
            <v>132823495</v>
          </cell>
          <cell r="C44">
            <v>19357044</v>
          </cell>
          <cell r="D44">
            <v>152180539</v>
          </cell>
        </row>
        <row r="45">
          <cell r="A45" t="str">
            <v>BROWARD COLLEGE</v>
          </cell>
          <cell r="B45">
            <v>269782584</v>
          </cell>
          <cell r="C45">
            <v>74616540</v>
          </cell>
          <cell r="D45">
            <v>344399124</v>
          </cell>
        </row>
        <row r="46">
          <cell r="A46" t="str">
            <v>COLLEGE OF CENTRAL FLORIDA</v>
          </cell>
          <cell r="B46">
            <v>85764502</v>
          </cell>
          <cell r="C46">
            <v>85913922</v>
          </cell>
          <cell r="D46">
            <v>171678424</v>
          </cell>
        </row>
        <row r="47">
          <cell r="A47" t="str">
            <v>CHIPOLA COLLEGE</v>
          </cell>
          <cell r="B47">
            <v>61327492</v>
          </cell>
          <cell r="C47">
            <v>17916736</v>
          </cell>
          <cell r="D47">
            <v>79244228</v>
          </cell>
        </row>
        <row r="48">
          <cell r="A48" t="str">
            <v>DAYTONA STATE COLLEGE</v>
          </cell>
          <cell r="B48">
            <v>185737997</v>
          </cell>
          <cell r="C48">
            <v>19861695</v>
          </cell>
          <cell r="D48">
            <v>205599692</v>
          </cell>
        </row>
        <row r="49">
          <cell r="A49" t="str">
            <v>FLORIDA SOUTHWESTERN STATE COLLEGE</v>
          </cell>
          <cell r="B49">
            <v>157746233</v>
          </cell>
          <cell r="C49">
            <v>44708159</v>
          </cell>
          <cell r="D49">
            <v>202454392</v>
          </cell>
        </row>
        <row r="50">
          <cell r="A50" t="str">
            <v>FLORIDA STATE COLLEGE AT JACKSONVILLE</v>
          </cell>
          <cell r="B50">
            <v>271686692</v>
          </cell>
          <cell r="C50">
            <v>46467136</v>
          </cell>
          <cell r="D50">
            <v>318153828</v>
          </cell>
        </row>
        <row r="51">
          <cell r="A51" t="str">
            <v>FLORIDA KEYS COMMUNITY COLLEGE</v>
          </cell>
          <cell r="B51">
            <v>27300839</v>
          </cell>
          <cell r="C51">
            <v>3185648</v>
          </cell>
          <cell r="D51">
            <v>30486487</v>
          </cell>
        </row>
        <row r="52">
          <cell r="A52" t="str">
            <v>GULF COAST STATE COLLEGE</v>
          </cell>
          <cell r="B52">
            <v>106192762</v>
          </cell>
          <cell r="C52">
            <v>30132408</v>
          </cell>
          <cell r="D52">
            <v>136325170</v>
          </cell>
        </row>
        <row r="53">
          <cell r="A53" t="str">
            <v>HILLSBOROUGH COMMUNITY COLLEGE</v>
          </cell>
          <cell r="B53">
            <v>224905527</v>
          </cell>
          <cell r="C53">
            <v>6045935</v>
          </cell>
          <cell r="D53">
            <v>230951462</v>
          </cell>
        </row>
        <row r="54">
          <cell r="A54" t="str">
            <v>INDIAN RIVER STATE COLLEGE</v>
          </cell>
          <cell r="B54">
            <v>260057408</v>
          </cell>
          <cell r="C54">
            <v>75707790</v>
          </cell>
          <cell r="D54">
            <v>335765198</v>
          </cell>
        </row>
        <row r="55">
          <cell r="A55" t="str">
            <v>FLORIDA GATEWAY COLLEGE</v>
          </cell>
          <cell r="B55">
            <v>45331129</v>
          </cell>
          <cell r="C55">
            <v>14581122</v>
          </cell>
          <cell r="D55">
            <v>59912251</v>
          </cell>
        </row>
        <row r="56">
          <cell r="A56" t="str">
            <v>LAKE-SUMTER STATE COLLEGE</v>
          </cell>
          <cell r="B56">
            <v>64614715</v>
          </cell>
          <cell r="C56">
            <v>14967295</v>
          </cell>
          <cell r="D56">
            <v>79582010</v>
          </cell>
        </row>
        <row r="57">
          <cell r="A57" t="str">
            <v>STATE COLLEGE OF FLORIDA, MANATEE-SARASOTA</v>
          </cell>
          <cell r="B57">
            <v>106202461</v>
          </cell>
          <cell r="C57">
            <v>48675246</v>
          </cell>
          <cell r="D57">
            <v>154877707</v>
          </cell>
        </row>
        <row r="58">
          <cell r="A58" t="str">
            <v>MIAMI DADE COLLEGE</v>
          </cell>
          <cell r="B58">
            <v>1363606850</v>
          </cell>
          <cell r="C58">
            <v>125521527</v>
          </cell>
          <cell r="D58">
            <v>1489128377</v>
          </cell>
        </row>
        <row r="59">
          <cell r="A59" t="str">
            <v>NORTH FLORIDA COMMUNITY COLLEGE</v>
          </cell>
          <cell r="B59">
            <v>28783665</v>
          </cell>
          <cell r="C59">
            <v>3592212</v>
          </cell>
          <cell r="D59">
            <v>32375877</v>
          </cell>
        </row>
        <row r="60">
          <cell r="A60" t="str">
            <v>NORTHWEST FLORIDA STATE COLLEGE</v>
          </cell>
          <cell r="B60">
            <v>132330581</v>
          </cell>
          <cell r="C60">
            <v>43200907</v>
          </cell>
          <cell r="D60">
            <v>175531488</v>
          </cell>
        </row>
        <row r="61">
          <cell r="A61" t="str">
            <v>PALM BEACH STATE COLLEGE</v>
          </cell>
          <cell r="B61">
            <v>260208009</v>
          </cell>
          <cell r="C61">
            <v>31670321</v>
          </cell>
          <cell r="D61">
            <v>291878330</v>
          </cell>
        </row>
        <row r="62">
          <cell r="A62" t="str">
            <v>PASCO-HERNANDO STATE COLLEGE</v>
          </cell>
          <cell r="B62">
            <v>184896923</v>
          </cell>
          <cell r="C62">
            <v>42827111</v>
          </cell>
          <cell r="D62">
            <v>227724034</v>
          </cell>
        </row>
        <row r="63">
          <cell r="A63" t="str">
            <v>PENSACOLA STATE COLLEGE</v>
          </cell>
          <cell r="B63">
            <v>66127174</v>
          </cell>
          <cell r="C63">
            <v>22005756</v>
          </cell>
          <cell r="D63">
            <v>88132930</v>
          </cell>
        </row>
        <row r="64">
          <cell r="A64" t="str">
            <v>POLK STATE COLLEGE</v>
          </cell>
          <cell r="B64">
            <v>93965821</v>
          </cell>
          <cell r="C64">
            <v>26848685</v>
          </cell>
          <cell r="D64">
            <v>120814506</v>
          </cell>
        </row>
        <row r="65">
          <cell r="A65" t="str">
            <v>ST. JOHNS RIVER STATE COLLEGE</v>
          </cell>
          <cell r="B65">
            <v>69710424</v>
          </cell>
          <cell r="C65">
            <v>12079291</v>
          </cell>
          <cell r="D65">
            <v>81789715</v>
          </cell>
        </row>
        <row r="66">
          <cell r="A66" t="str">
            <v>ST. PETERSBURG COLLEGE</v>
          </cell>
          <cell r="B66">
            <v>295561213</v>
          </cell>
          <cell r="C66">
            <v>59962439</v>
          </cell>
          <cell r="D66">
            <v>355523652</v>
          </cell>
        </row>
        <row r="67">
          <cell r="A67" t="str">
            <v>SANTA FE COLLEGE</v>
          </cell>
          <cell r="B67">
            <v>125509097</v>
          </cell>
          <cell r="C67">
            <v>41770253</v>
          </cell>
          <cell r="D67">
            <v>167279350</v>
          </cell>
        </row>
        <row r="68">
          <cell r="A68" t="str">
            <v>SEMINOLE STATE COLLEGE OF FLORIDA</v>
          </cell>
          <cell r="B68">
            <v>202894160</v>
          </cell>
          <cell r="C68">
            <v>18724758</v>
          </cell>
          <cell r="D68">
            <v>221618918</v>
          </cell>
        </row>
        <row r="69">
          <cell r="A69" t="str">
            <v>SOUTH FLORIDA STATE COLLEGE</v>
          </cell>
          <cell r="B69">
            <v>71887178</v>
          </cell>
          <cell r="C69">
            <v>10634447</v>
          </cell>
          <cell r="D69">
            <v>82521625</v>
          </cell>
        </row>
        <row r="70">
          <cell r="A70" t="str">
            <v>TALLAHASSEE COMMUNITY COLLEGE</v>
          </cell>
          <cell r="B70">
            <v>135497218</v>
          </cell>
          <cell r="C70">
            <v>16120502</v>
          </cell>
          <cell r="D70">
            <v>151617720</v>
          </cell>
        </row>
        <row r="71">
          <cell r="A71" t="str">
            <v>VALENCIA COLLEGE</v>
          </cell>
          <cell r="B71">
            <v>304247165</v>
          </cell>
          <cell r="C71">
            <v>75042790</v>
          </cell>
          <cell r="D71">
            <v>379289955</v>
          </cell>
        </row>
      </sheetData>
      <sheetData sheetId="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act Information"/>
      <sheetName val="Check Sheet"/>
      <sheetName val="Accounts by GL"/>
      <sheetName val="Adjustment Form"/>
      <sheetName val="DOEFSDownload"/>
      <sheetName val="SNP"/>
      <sheetName val="SRECNP"/>
      <sheetName val="SCF"/>
      <sheetName val="Exp by Function"/>
      <sheetName val="CIF"/>
      <sheetName val="Dist Learning"/>
      <sheetName val="Student Activity Fee Report"/>
      <sheetName val="Tuition and Fee Report"/>
      <sheetName val="FCS Notes Sched Inv &amp; Cash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DOEAGLDownload"/>
    </sheetNames>
    <sheetDataSet>
      <sheetData sheetId="0">
        <row r="3">
          <cell r="C3" t="str">
            <v>2014.v03</v>
          </cell>
        </row>
      </sheetData>
      <sheetData sheetId="1"/>
      <sheetData sheetId="2">
        <row r="408">
          <cell r="O408">
            <v>61802703.759999998</v>
          </cell>
        </row>
      </sheetData>
      <sheetData sheetId="3"/>
      <sheetData sheetId="4"/>
      <sheetData sheetId="5">
        <row r="9">
          <cell r="M9" t="str">
            <v>Unit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2015.v03</v>
          </cell>
        </row>
        <row r="5">
          <cell r="C5" t="str">
            <v>EASTERN FLORIDA STATE COLLEGE</v>
          </cell>
        </row>
      </sheetData>
      <sheetData sheetId="3"/>
      <sheetData sheetId="4">
        <row r="215">
          <cell r="O215">
            <v>2698415.09</v>
          </cell>
        </row>
        <row r="481">
          <cell r="O481">
            <v>7305857.6299999999</v>
          </cell>
        </row>
      </sheetData>
      <sheetData sheetId="5">
        <row r="9">
          <cell r="M9" t="str">
            <v>Unit</v>
          </cell>
        </row>
        <row r="119">
          <cell r="K119">
            <v>107047221</v>
          </cell>
          <cell r="M119">
            <v>20068152</v>
          </cell>
          <cell r="N119">
            <v>127115372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44">
          <cell r="A44" t="str">
            <v>EASTERN FLORIDA STATE COLLEGE</v>
          </cell>
          <cell r="B44">
            <v>132823495</v>
          </cell>
          <cell r="C44">
            <v>19357044</v>
          </cell>
          <cell r="D44">
            <v>152180539</v>
          </cell>
        </row>
        <row r="45">
          <cell r="A45" t="str">
            <v>BROWARD COLLEGE</v>
          </cell>
          <cell r="B45">
            <v>269782584</v>
          </cell>
          <cell r="C45">
            <v>74616540</v>
          </cell>
          <cell r="D45">
            <v>344399124</v>
          </cell>
        </row>
        <row r="46">
          <cell r="A46" t="str">
            <v>COLLEGE OF CENTRAL FLORIDA</v>
          </cell>
          <cell r="B46">
            <v>85764502</v>
          </cell>
          <cell r="C46">
            <v>85913922</v>
          </cell>
          <cell r="D46">
            <v>171678424</v>
          </cell>
        </row>
        <row r="47">
          <cell r="A47" t="str">
            <v>CHIPOLA COLLEGE</v>
          </cell>
          <cell r="B47">
            <v>61327492</v>
          </cell>
          <cell r="C47">
            <v>17916736</v>
          </cell>
          <cell r="D47">
            <v>79244228</v>
          </cell>
        </row>
        <row r="48">
          <cell r="A48" t="str">
            <v>DAYTONA STATE COLLEGE</v>
          </cell>
          <cell r="B48">
            <v>185737997</v>
          </cell>
          <cell r="C48">
            <v>19861695</v>
          </cell>
          <cell r="D48">
            <v>205599692</v>
          </cell>
        </row>
        <row r="49">
          <cell r="A49" t="str">
            <v>FLORIDA SOUTHWESTERN STATE COLLEGE</v>
          </cell>
          <cell r="B49">
            <v>157746233</v>
          </cell>
          <cell r="C49">
            <v>44708159</v>
          </cell>
          <cell r="D49">
            <v>202454392</v>
          </cell>
        </row>
        <row r="50">
          <cell r="A50" t="str">
            <v>FLORIDA STATE COLLEGE AT JACKSONVILLE</v>
          </cell>
          <cell r="B50">
            <v>271686692</v>
          </cell>
          <cell r="C50">
            <v>46467136</v>
          </cell>
          <cell r="D50">
            <v>318153828</v>
          </cell>
        </row>
        <row r="51">
          <cell r="A51" t="str">
            <v>FLORIDA KEYS COMMUNITY COLLEGE</v>
          </cell>
          <cell r="B51">
            <v>27300839</v>
          </cell>
          <cell r="C51">
            <v>3185648</v>
          </cell>
          <cell r="D51">
            <v>30486487</v>
          </cell>
        </row>
        <row r="52">
          <cell r="A52" t="str">
            <v>GULF COAST STATE COLLEGE</v>
          </cell>
          <cell r="B52">
            <v>106192762</v>
          </cell>
          <cell r="C52">
            <v>30132408</v>
          </cell>
          <cell r="D52">
            <v>136325170</v>
          </cell>
        </row>
        <row r="53">
          <cell r="A53" t="str">
            <v>HILLSBOROUGH COMMUNITY COLLEGE</v>
          </cell>
          <cell r="B53">
            <v>224905527</v>
          </cell>
          <cell r="C53">
            <v>6045935</v>
          </cell>
          <cell r="D53">
            <v>230951462</v>
          </cell>
        </row>
        <row r="54">
          <cell r="A54" t="str">
            <v>INDIAN RIVER STATE COLLEGE</v>
          </cell>
          <cell r="B54">
            <v>260057408</v>
          </cell>
          <cell r="C54">
            <v>75707790</v>
          </cell>
          <cell r="D54">
            <v>335765198</v>
          </cell>
        </row>
        <row r="55">
          <cell r="A55" t="str">
            <v>FLORIDA GATEWAY COLLEGE</v>
          </cell>
          <cell r="B55">
            <v>45331129</v>
          </cell>
          <cell r="C55">
            <v>14581122</v>
          </cell>
          <cell r="D55">
            <v>59912251</v>
          </cell>
        </row>
        <row r="56">
          <cell r="A56" t="str">
            <v>LAKE-SUMTER STATE COLLEGE</v>
          </cell>
          <cell r="B56">
            <v>64614715</v>
          </cell>
          <cell r="C56">
            <v>14967295</v>
          </cell>
          <cell r="D56">
            <v>79582010</v>
          </cell>
        </row>
        <row r="57">
          <cell r="A57" t="str">
            <v>STATE COLLEGE OF FLORIDA, MANATEE-SARASOTA</v>
          </cell>
          <cell r="B57">
            <v>106202461</v>
          </cell>
          <cell r="C57">
            <v>48675246</v>
          </cell>
          <cell r="D57">
            <v>154877707</v>
          </cell>
        </row>
        <row r="58">
          <cell r="A58" t="str">
            <v>MIAMI DADE COLLEGE</v>
          </cell>
          <cell r="B58">
            <v>1363606850</v>
          </cell>
          <cell r="C58">
            <v>125521527</v>
          </cell>
          <cell r="D58">
            <v>1489128377</v>
          </cell>
        </row>
        <row r="59">
          <cell r="A59" t="str">
            <v>NORTH FLORIDA COMMUNITY COLLEGE</v>
          </cell>
          <cell r="B59">
            <v>28783665</v>
          </cell>
          <cell r="C59">
            <v>3592212</v>
          </cell>
          <cell r="D59">
            <v>32375877</v>
          </cell>
        </row>
        <row r="60">
          <cell r="A60" t="str">
            <v>NORTHWEST FLORIDA STATE COLLEGE</v>
          </cell>
          <cell r="B60">
            <v>132330581</v>
          </cell>
          <cell r="C60">
            <v>43200907</v>
          </cell>
          <cell r="D60">
            <v>175531488</v>
          </cell>
        </row>
        <row r="61">
          <cell r="A61" t="str">
            <v>PALM BEACH STATE COLLEGE</v>
          </cell>
          <cell r="B61">
            <v>258962011</v>
          </cell>
          <cell r="C61">
            <v>31670321</v>
          </cell>
          <cell r="D61">
            <v>290632332</v>
          </cell>
        </row>
        <row r="62">
          <cell r="A62" t="str">
            <v>PASCO-HERNANDO STATE COLLEGE</v>
          </cell>
          <cell r="B62">
            <v>184896923</v>
          </cell>
          <cell r="C62">
            <v>42827111</v>
          </cell>
          <cell r="D62">
            <v>227724034</v>
          </cell>
        </row>
        <row r="63">
          <cell r="A63" t="str">
            <v>PENSACOLA STATE COLLEGE</v>
          </cell>
          <cell r="B63">
            <v>66127174</v>
          </cell>
          <cell r="C63">
            <v>22005756</v>
          </cell>
          <cell r="D63">
            <v>88132930</v>
          </cell>
        </row>
        <row r="64">
          <cell r="A64" t="str">
            <v>POLK STATE COLLEGE</v>
          </cell>
          <cell r="B64">
            <v>93965821</v>
          </cell>
          <cell r="C64">
            <v>26848685</v>
          </cell>
          <cell r="D64">
            <v>120814506</v>
          </cell>
        </row>
        <row r="65">
          <cell r="A65" t="str">
            <v>ST. JOHNS RIVER STATE COLLEGE</v>
          </cell>
          <cell r="B65">
            <v>69710424</v>
          </cell>
          <cell r="C65">
            <v>12079291</v>
          </cell>
          <cell r="D65">
            <v>81789715</v>
          </cell>
        </row>
        <row r="66">
          <cell r="A66" t="str">
            <v>ST. PETERSBURG COLLEGE</v>
          </cell>
          <cell r="B66">
            <v>295561213</v>
          </cell>
          <cell r="C66">
            <v>59962439</v>
          </cell>
          <cell r="D66">
            <v>355523652</v>
          </cell>
        </row>
        <row r="67">
          <cell r="A67" t="str">
            <v>SANTA FE COLLEGE</v>
          </cell>
          <cell r="B67">
            <v>125509097</v>
          </cell>
          <cell r="C67">
            <v>41770253</v>
          </cell>
          <cell r="D67">
            <v>167279350</v>
          </cell>
        </row>
        <row r="68">
          <cell r="A68" t="str">
            <v>SEMINOLE STATE COLLEGE OF FLORIDA</v>
          </cell>
          <cell r="B68">
            <v>202894160</v>
          </cell>
          <cell r="C68">
            <v>18724758</v>
          </cell>
          <cell r="D68">
            <v>221618918</v>
          </cell>
        </row>
        <row r="69">
          <cell r="A69" t="str">
            <v>SOUTH FLORIDA STATE COLLEGE</v>
          </cell>
          <cell r="B69">
            <v>71887178</v>
          </cell>
          <cell r="C69">
            <v>10634447</v>
          </cell>
          <cell r="D69">
            <v>82521625</v>
          </cell>
        </row>
        <row r="70">
          <cell r="A70" t="str">
            <v>TALLAHASSEE COMMUNITY COLLEGE</v>
          </cell>
          <cell r="B70">
            <v>135497218</v>
          </cell>
          <cell r="C70">
            <v>16120502</v>
          </cell>
          <cell r="D70">
            <v>151617720</v>
          </cell>
        </row>
        <row r="71">
          <cell r="A71" t="str">
            <v>VALENCIA COLLEGE</v>
          </cell>
          <cell r="B71">
            <v>304247165</v>
          </cell>
          <cell r="C71">
            <v>75042790</v>
          </cell>
          <cell r="D71">
            <v>379289955</v>
          </cell>
        </row>
      </sheetData>
      <sheetData sheetId="4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BROWARD COLLEGE</v>
          </cell>
        </row>
      </sheetData>
      <sheetData sheetId="3"/>
      <sheetData sheetId="4">
        <row r="215">
          <cell r="O215">
            <v>9495540.3200000003</v>
          </cell>
        </row>
        <row r="481">
          <cell r="O481">
            <v>10089712.75</v>
          </cell>
        </row>
      </sheetData>
      <sheetData sheetId="5">
        <row r="9">
          <cell r="M9" t="str">
            <v>Unit</v>
          </cell>
        </row>
        <row r="119">
          <cell r="K119">
            <v>211606421</v>
          </cell>
          <cell r="M119">
            <v>75681769</v>
          </cell>
          <cell r="N119">
            <v>287288190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44">
          <cell r="A44" t="str">
            <v>EASTERN FLORIDA STATE COLLEGE</v>
          </cell>
          <cell r="B44">
            <v>132823495</v>
          </cell>
          <cell r="C44">
            <v>19357044</v>
          </cell>
          <cell r="D44">
            <v>152180539</v>
          </cell>
        </row>
        <row r="45">
          <cell r="A45" t="str">
            <v>BROWARD COLLEGE</v>
          </cell>
          <cell r="B45">
            <v>269782584</v>
          </cell>
          <cell r="C45">
            <v>74616540</v>
          </cell>
          <cell r="D45">
            <v>344399124</v>
          </cell>
        </row>
        <row r="46">
          <cell r="A46" t="str">
            <v>COLLEGE OF CENTRAL FLORIDA</v>
          </cell>
          <cell r="B46">
            <v>85764502</v>
          </cell>
          <cell r="C46">
            <v>85913922</v>
          </cell>
          <cell r="D46">
            <v>171678424</v>
          </cell>
        </row>
        <row r="47">
          <cell r="A47" t="str">
            <v>CHIPOLA COLLEGE</v>
          </cell>
          <cell r="B47">
            <v>61327492</v>
          </cell>
          <cell r="C47">
            <v>17916736</v>
          </cell>
          <cell r="D47">
            <v>79244228</v>
          </cell>
        </row>
        <row r="48">
          <cell r="A48" t="str">
            <v>DAYTONA STATE COLLEGE</v>
          </cell>
          <cell r="B48">
            <v>185737997</v>
          </cell>
          <cell r="C48">
            <v>19861695</v>
          </cell>
          <cell r="D48">
            <v>205599692</v>
          </cell>
        </row>
        <row r="49">
          <cell r="A49" t="str">
            <v>FLORIDA SOUTHWESTERN STATE COLLEGE</v>
          </cell>
          <cell r="B49">
            <v>157746233</v>
          </cell>
          <cell r="C49">
            <v>44708159</v>
          </cell>
          <cell r="D49">
            <v>202454392</v>
          </cell>
        </row>
        <row r="50">
          <cell r="A50" t="str">
            <v>FLORIDA STATE COLLEGE AT JACKSONVILLE</v>
          </cell>
          <cell r="B50">
            <v>271686692</v>
          </cell>
          <cell r="C50">
            <v>46467136</v>
          </cell>
          <cell r="D50">
            <v>318153828</v>
          </cell>
        </row>
        <row r="51">
          <cell r="A51" t="str">
            <v>FLORIDA KEYS COMMUNITY COLLEGE</v>
          </cell>
          <cell r="B51">
            <v>27300839</v>
          </cell>
          <cell r="C51">
            <v>3185648</v>
          </cell>
          <cell r="D51">
            <v>30486487</v>
          </cell>
        </row>
        <row r="52">
          <cell r="A52" t="str">
            <v>GULF COAST STATE COLLEGE</v>
          </cell>
          <cell r="B52">
            <v>106192762</v>
          </cell>
          <cell r="C52">
            <v>30132408</v>
          </cell>
          <cell r="D52">
            <v>136325170</v>
          </cell>
        </row>
        <row r="53">
          <cell r="A53" t="str">
            <v>HILLSBOROUGH COMMUNITY COLLEGE</v>
          </cell>
          <cell r="B53">
            <v>224905527</v>
          </cell>
          <cell r="C53">
            <v>6045935</v>
          </cell>
          <cell r="D53">
            <v>230951462</v>
          </cell>
        </row>
        <row r="54">
          <cell r="A54" t="str">
            <v>INDIAN RIVER STATE COLLEGE</v>
          </cell>
          <cell r="B54">
            <v>260057408</v>
          </cell>
          <cell r="C54">
            <v>75707790</v>
          </cell>
          <cell r="D54">
            <v>335765198</v>
          </cell>
        </row>
        <row r="55">
          <cell r="A55" t="str">
            <v>FLORIDA GATEWAY COLLEGE</v>
          </cell>
          <cell r="B55">
            <v>45331129</v>
          </cell>
          <cell r="C55">
            <v>14581122</v>
          </cell>
          <cell r="D55">
            <v>59912251</v>
          </cell>
        </row>
        <row r="56">
          <cell r="A56" t="str">
            <v>LAKE-SUMTER STATE COLLEGE</v>
          </cell>
          <cell r="B56">
            <v>64614715</v>
          </cell>
          <cell r="C56">
            <v>14967295</v>
          </cell>
          <cell r="D56">
            <v>79582010</v>
          </cell>
        </row>
        <row r="57">
          <cell r="A57" t="str">
            <v>STATE COLLEGE OF FLORIDA, MANATEE-SARASOTA</v>
          </cell>
          <cell r="B57">
            <v>106202461</v>
          </cell>
          <cell r="C57">
            <v>48675246</v>
          </cell>
          <cell r="D57">
            <v>154877707</v>
          </cell>
        </row>
        <row r="58">
          <cell r="A58" t="str">
            <v>MIAMI DADE COLLEGE</v>
          </cell>
          <cell r="B58">
            <v>1363606850</v>
          </cell>
          <cell r="C58">
            <v>125521527</v>
          </cell>
          <cell r="D58">
            <v>1489128377</v>
          </cell>
        </row>
        <row r="59">
          <cell r="A59" t="str">
            <v>NORTH FLORIDA COMMUNITY COLLEGE</v>
          </cell>
          <cell r="B59">
            <v>28783665</v>
          </cell>
          <cell r="C59">
            <v>3592212</v>
          </cell>
          <cell r="D59">
            <v>32375877</v>
          </cell>
        </row>
        <row r="60">
          <cell r="A60" t="str">
            <v>NORTHWEST FLORIDA STATE COLLEGE</v>
          </cell>
          <cell r="B60">
            <v>132330581</v>
          </cell>
          <cell r="C60">
            <v>43200907</v>
          </cell>
          <cell r="D60">
            <v>175531488</v>
          </cell>
        </row>
        <row r="61">
          <cell r="A61" t="str">
            <v>PALM BEACH STATE COLLEGE</v>
          </cell>
          <cell r="B61">
            <v>260208009</v>
          </cell>
          <cell r="C61">
            <v>31670321</v>
          </cell>
          <cell r="D61">
            <v>291878330</v>
          </cell>
        </row>
        <row r="62">
          <cell r="A62" t="str">
            <v>PASCO-HERNANDO STATE COLLEGE</v>
          </cell>
          <cell r="B62">
            <v>184896923</v>
          </cell>
          <cell r="C62">
            <v>42827111</v>
          </cell>
          <cell r="D62">
            <v>227724034</v>
          </cell>
        </row>
        <row r="63">
          <cell r="A63" t="str">
            <v>PENSACOLA STATE COLLEGE</v>
          </cell>
          <cell r="B63">
            <v>66127174</v>
          </cell>
          <cell r="C63">
            <v>22005756</v>
          </cell>
          <cell r="D63">
            <v>88132930</v>
          </cell>
        </row>
        <row r="64">
          <cell r="A64" t="str">
            <v>POLK STATE COLLEGE</v>
          </cell>
          <cell r="B64">
            <v>93965821</v>
          </cell>
          <cell r="C64">
            <v>26848685</v>
          </cell>
          <cell r="D64">
            <v>120814506</v>
          </cell>
        </row>
        <row r="65">
          <cell r="A65" t="str">
            <v>ST. JOHNS RIVER STATE COLLEGE</v>
          </cell>
          <cell r="B65">
            <v>69710424</v>
          </cell>
          <cell r="C65">
            <v>12079291</v>
          </cell>
          <cell r="D65">
            <v>81789715</v>
          </cell>
        </row>
        <row r="66">
          <cell r="A66" t="str">
            <v>ST. PETERSBURG COLLEGE</v>
          </cell>
          <cell r="B66">
            <v>295561213</v>
          </cell>
          <cell r="C66">
            <v>59962439</v>
          </cell>
          <cell r="D66">
            <v>355523652</v>
          </cell>
        </row>
        <row r="67">
          <cell r="A67" t="str">
            <v>SANTA FE COLLEGE</v>
          </cell>
          <cell r="B67">
            <v>125509097</v>
          </cell>
          <cell r="C67">
            <v>41770253</v>
          </cell>
          <cell r="D67">
            <v>167279350</v>
          </cell>
        </row>
        <row r="68">
          <cell r="A68" t="str">
            <v>SEMINOLE STATE COLLEGE OF FLORIDA</v>
          </cell>
          <cell r="B68">
            <v>202894160</v>
          </cell>
          <cell r="C68">
            <v>18724758</v>
          </cell>
          <cell r="D68">
            <v>221618918</v>
          </cell>
        </row>
        <row r="69">
          <cell r="A69" t="str">
            <v>SOUTH FLORIDA STATE COLLEGE</v>
          </cell>
          <cell r="B69">
            <v>71887178</v>
          </cell>
          <cell r="C69">
            <v>10634447</v>
          </cell>
          <cell r="D69">
            <v>82521625</v>
          </cell>
        </row>
        <row r="70">
          <cell r="A70" t="str">
            <v>TALLAHASSEE COMMUNITY COLLEGE</v>
          </cell>
          <cell r="B70">
            <v>135497218</v>
          </cell>
          <cell r="C70">
            <v>16120502</v>
          </cell>
          <cell r="D70">
            <v>151617720</v>
          </cell>
        </row>
        <row r="71">
          <cell r="A71" t="str">
            <v>VALENCIA COLLEGE</v>
          </cell>
          <cell r="B71">
            <v>304247165</v>
          </cell>
          <cell r="C71">
            <v>75042790</v>
          </cell>
          <cell r="D71">
            <v>379289955</v>
          </cell>
        </row>
      </sheetData>
      <sheetData sheetId="4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COLLEGE OF CENTRAL FLORIDA</v>
          </cell>
        </row>
      </sheetData>
      <sheetData sheetId="3"/>
      <sheetData sheetId="4">
        <row r="215">
          <cell r="O215">
            <v>1882099.46</v>
          </cell>
        </row>
        <row r="481">
          <cell r="O481">
            <v>3570094.0800000001</v>
          </cell>
        </row>
      </sheetData>
      <sheetData sheetId="5">
        <row r="9">
          <cell r="M9" t="str">
            <v>Unit</v>
          </cell>
        </row>
        <row r="119">
          <cell r="K119">
            <v>76742093</v>
          </cell>
          <cell r="M119">
            <v>88904474</v>
          </cell>
          <cell r="N119">
            <v>165646567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44">
          <cell r="A44" t="str">
            <v>EASTERN FLORIDA STATE COLLEGE</v>
          </cell>
          <cell r="B44">
            <v>132823495</v>
          </cell>
          <cell r="C44">
            <v>19357044</v>
          </cell>
          <cell r="D44">
            <v>152180539</v>
          </cell>
        </row>
        <row r="45">
          <cell r="A45" t="str">
            <v>BROWARD COLLEGE</v>
          </cell>
          <cell r="B45">
            <v>269782584</v>
          </cell>
          <cell r="C45">
            <v>74616540</v>
          </cell>
          <cell r="D45">
            <v>344399124</v>
          </cell>
        </row>
        <row r="46">
          <cell r="A46" t="str">
            <v>COLLEGE OF CENTRAL FLORIDA</v>
          </cell>
          <cell r="B46">
            <v>85764502</v>
          </cell>
          <cell r="C46">
            <v>85913922</v>
          </cell>
          <cell r="D46">
            <v>171678424</v>
          </cell>
        </row>
        <row r="47">
          <cell r="A47" t="str">
            <v>CHIPOLA COLLEGE</v>
          </cell>
          <cell r="B47">
            <v>61327492</v>
          </cell>
          <cell r="C47">
            <v>17916736</v>
          </cell>
          <cell r="D47">
            <v>79244228</v>
          </cell>
        </row>
        <row r="48">
          <cell r="A48" t="str">
            <v>DAYTONA STATE COLLEGE</v>
          </cell>
          <cell r="B48">
            <v>185737997</v>
          </cell>
          <cell r="C48">
            <v>19861695</v>
          </cell>
          <cell r="D48">
            <v>205599692</v>
          </cell>
        </row>
        <row r="49">
          <cell r="A49" t="str">
            <v>FLORIDA SOUTHWESTERN STATE COLLEGE</v>
          </cell>
          <cell r="B49">
            <v>157746233</v>
          </cell>
          <cell r="C49">
            <v>44708159</v>
          </cell>
          <cell r="D49">
            <v>202454392</v>
          </cell>
        </row>
        <row r="50">
          <cell r="A50" t="str">
            <v>FLORIDA STATE COLLEGE AT JACKSONVILLE</v>
          </cell>
          <cell r="B50">
            <v>271686692</v>
          </cell>
          <cell r="C50">
            <v>46467136</v>
          </cell>
          <cell r="D50">
            <v>318153828</v>
          </cell>
        </row>
        <row r="51">
          <cell r="A51" t="str">
            <v>FLORIDA KEYS COMMUNITY COLLEGE</v>
          </cell>
          <cell r="B51">
            <v>27300839</v>
          </cell>
          <cell r="C51">
            <v>3185648</v>
          </cell>
          <cell r="D51">
            <v>30486487</v>
          </cell>
        </row>
        <row r="52">
          <cell r="A52" t="str">
            <v>GULF COAST STATE COLLEGE</v>
          </cell>
          <cell r="B52">
            <v>106192762</v>
          </cell>
          <cell r="C52">
            <v>30132408</v>
          </cell>
          <cell r="D52">
            <v>136325170</v>
          </cell>
        </row>
        <row r="53">
          <cell r="A53" t="str">
            <v>HILLSBOROUGH COMMUNITY COLLEGE</v>
          </cell>
          <cell r="B53">
            <v>224905527</v>
          </cell>
          <cell r="C53">
            <v>6045935</v>
          </cell>
          <cell r="D53">
            <v>230951462</v>
          </cell>
        </row>
        <row r="54">
          <cell r="A54" t="str">
            <v>INDIAN RIVER STATE COLLEGE</v>
          </cell>
          <cell r="B54">
            <v>260057408</v>
          </cell>
          <cell r="C54">
            <v>75707790</v>
          </cell>
          <cell r="D54">
            <v>335765198</v>
          </cell>
        </row>
        <row r="55">
          <cell r="A55" t="str">
            <v>FLORIDA GATEWAY COLLEGE</v>
          </cell>
          <cell r="B55">
            <v>45331129</v>
          </cell>
          <cell r="C55">
            <v>14581122</v>
          </cell>
          <cell r="D55">
            <v>59912251</v>
          </cell>
        </row>
        <row r="56">
          <cell r="A56" t="str">
            <v>LAKE-SUMTER STATE COLLEGE</v>
          </cell>
          <cell r="B56">
            <v>64614715</v>
          </cell>
          <cell r="C56">
            <v>14967295</v>
          </cell>
          <cell r="D56">
            <v>79582010</v>
          </cell>
        </row>
        <row r="57">
          <cell r="A57" t="str">
            <v>STATE COLLEGE OF FLORIDA, MANATEE-SARASOTA</v>
          </cell>
          <cell r="B57">
            <v>106202461</v>
          </cell>
          <cell r="C57">
            <v>48675246</v>
          </cell>
          <cell r="D57">
            <v>154877707</v>
          </cell>
        </row>
        <row r="58">
          <cell r="A58" t="str">
            <v>MIAMI DADE COLLEGE</v>
          </cell>
          <cell r="B58">
            <v>1363606850</v>
          </cell>
          <cell r="C58">
            <v>125521527</v>
          </cell>
          <cell r="D58">
            <v>1489128377</v>
          </cell>
        </row>
        <row r="59">
          <cell r="A59" t="str">
            <v>NORTH FLORIDA COMMUNITY COLLEGE</v>
          </cell>
          <cell r="B59">
            <v>28783665</v>
          </cell>
          <cell r="C59">
            <v>3592212</v>
          </cell>
          <cell r="D59">
            <v>32375877</v>
          </cell>
        </row>
        <row r="60">
          <cell r="A60" t="str">
            <v>NORTHWEST FLORIDA STATE COLLEGE</v>
          </cell>
          <cell r="B60">
            <v>132330581</v>
          </cell>
          <cell r="C60">
            <v>43200907</v>
          </cell>
          <cell r="D60">
            <v>175531488</v>
          </cell>
        </row>
        <row r="61">
          <cell r="A61" t="str">
            <v>PALM BEACH STATE COLLEGE</v>
          </cell>
          <cell r="B61">
            <v>260208009</v>
          </cell>
          <cell r="C61">
            <v>31670321</v>
          </cell>
          <cell r="D61">
            <v>291878330</v>
          </cell>
        </row>
        <row r="62">
          <cell r="A62" t="str">
            <v>PASCO-HERNANDO STATE COLLEGE</v>
          </cell>
          <cell r="B62">
            <v>184896923</v>
          </cell>
          <cell r="C62">
            <v>42827111</v>
          </cell>
          <cell r="D62">
            <v>227724034</v>
          </cell>
        </row>
        <row r="63">
          <cell r="A63" t="str">
            <v>PENSACOLA STATE COLLEGE</v>
          </cell>
          <cell r="B63">
            <v>66127174</v>
          </cell>
          <cell r="C63">
            <v>22005756</v>
          </cell>
          <cell r="D63">
            <v>88132930</v>
          </cell>
        </row>
        <row r="64">
          <cell r="A64" t="str">
            <v>POLK STATE COLLEGE</v>
          </cell>
          <cell r="B64">
            <v>93965821</v>
          </cell>
          <cell r="C64">
            <v>26848685</v>
          </cell>
          <cell r="D64">
            <v>120814506</v>
          </cell>
        </row>
        <row r="65">
          <cell r="A65" t="str">
            <v>ST. JOHNS RIVER STATE COLLEGE</v>
          </cell>
          <cell r="B65">
            <v>69710424</v>
          </cell>
          <cell r="C65">
            <v>12079291</v>
          </cell>
          <cell r="D65">
            <v>81789715</v>
          </cell>
        </row>
        <row r="66">
          <cell r="A66" t="str">
            <v>ST. PETERSBURG COLLEGE</v>
          </cell>
          <cell r="B66">
            <v>295561213</v>
          </cell>
          <cell r="C66">
            <v>59962439</v>
          </cell>
          <cell r="D66">
            <v>355523652</v>
          </cell>
        </row>
        <row r="67">
          <cell r="A67" t="str">
            <v>SANTA FE COLLEGE</v>
          </cell>
          <cell r="B67">
            <v>125509097</v>
          </cell>
          <cell r="C67">
            <v>41770253</v>
          </cell>
          <cell r="D67">
            <v>167279350</v>
          </cell>
        </row>
        <row r="68">
          <cell r="A68" t="str">
            <v>SEMINOLE STATE COLLEGE OF FLORIDA</v>
          </cell>
          <cell r="B68">
            <v>202894160</v>
          </cell>
          <cell r="C68">
            <v>18724758</v>
          </cell>
          <cell r="D68">
            <v>221618918</v>
          </cell>
        </row>
        <row r="69">
          <cell r="A69" t="str">
            <v>SOUTH FLORIDA STATE COLLEGE</v>
          </cell>
          <cell r="B69">
            <v>71887178</v>
          </cell>
          <cell r="C69">
            <v>10634447</v>
          </cell>
          <cell r="D69">
            <v>82521625</v>
          </cell>
        </row>
        <row r="70">
          <cell r="A70" t="str">
            <v>TALLAHASSEE COMMUNITY COLLEGE</v>
          </cell>
          <cell r="B70">
            <v>135497218</v>
          </cell>
          <cell r="C70">
            <v>16120502</v>
          </cell>
          <cell r="D70">
            <v>151617720</v>
          </cell>
        </row>
        <row r="71">
          <cell r="A71" t="str">
            <v>VALENCIA COLLEGE</v>
          </cell>
          <cell r="B71">
            <v>304247165</v>
          </cell>
          <cell r="C71">
            <v>75042790</v>
          </cell>
          <cell r="D71">
            <v>379289955</v>
          </cell>
        </row>
      </sheetData>
      <sheetData sheetId="4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CHIPOLA COLLEGE</v>
          </cell>
        </row>
      </sheetData>
      <sheetData sheetId="3"/>
      <sheetData sheetId="4">
        <row r="215">
          <cell r="O215">
            <v>235759.85</v>
          </cell>
        </row>
        <row r="481">
          <cell r="O481">
            <v>2255512.36</v>
          </cell>
        </row>
      </sheetData>
      <sheetData sheetId="5">
        <row r="9">
          <cell r="M9" t="str">
            <v>Unit</v>
          </cell>
        </row>
        <row r="119">
          <cell r="K119">
            <v>57943579</v>
          </cell>
          <cell r="M119">
            <v>18456228</v>
          </cell>
          <cell r="N119">
            <v>76399807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44">
          <cell r="A44" t="str">
            <v>EASTERN FLORIDA STATE COLLEGE</v>
          </cell>
          <cell r="B44">
            <v>132823495</v>
          </cell>
          <cell r="C44">
            <v>19357044</v>
          </cell>
          <cell r="D44">
            <v>152180539</v>
          </cell>
        </row>
        <row r="45">
          <cell r="A45" t="str">
            <v>BROWARD COLLEGE</v>
          </cell>
          <cell r="B45">
            <v>269782584</v>
          </cell>
          <cell r="C45">
            <v>74616540</v>
          </cell>
          <cell r="D45">
            <v>344399124</v>
          </cell>
        </row>
        <row r="46">
          <cell r="A46" t="str">
            <v>COLLEGE OF CENTRAL FLORIDA</v>
          </cell>
          <cell r="B46">
            <v>85764502</v>
          </cell>
          <cell r="C46">
            <v>85913922</v>
          </cell>
          <cell r="D46">
            <v>171678424</v>
          </cell>
        </row>
        <row r="47">
          <cell r="A47" t="str">
            <v>CHIPOLA COLLEGE</v>
          </cell>
          <cell r="B47">
            <v>61327492</v>
          </cell>
          <cell r="C47">
            <v>17916736</v>
          </cell>
          <cell r="D47">
            <v>79244228</v>
          </cell>
        </row>
        <row r="48">
          <cell r="A48" t="str">
            <v>DAYTONA STATE COLLEGE</v>
          </cell>
          <cell r="B48">
            <v>185737997</v>
          </cell>
          <cell r="C48">
            <v>19861695</v>
          </cell>
          <cell r="D48">
            <v>205599692</v>
          </cell>
        </row>
        <row r="49">
          <cell r="A49" t="str">
            <v>FLORIDA SOUTHWESTERN STATE COLLEGE</v>
          </cell>
          <cell r="B49">
            <v>157746233</v>
          </cell>
          <cell r="C49">
            <v>44708159</v>
          </cell>
          <cell r="D49">
            <v>202454392</v>
          </cell>
        </row>
        <row r="50">
          <cell r="A50" t="str">
            <v>FLORIDA STATE COLLEGE AT JACKSONVILLE</v>
          </cell>
          <cell r="B50">
            <v>271686692</v>
          </cell>
          <cell r="C50">
            <v>46467136</v>
          </cell>
          <cell r="D50">
            <v>318153828</v>
          </cell>
        </row>
        <row r="51">
          <cell r="A51" t="str">
            <v>FLORIDA KEYS COMMUNITY COLLEGE</v>
          </cell>
          <cell r="B51">
            <v>27300839</v>
          </cell>
          <cell r="C51">
            <v>3185648</v>
          </cell>
          <cell r="D51">
            <v>30486487</v>
          </cell>
        </row>
        <row r="52">
          <cell r="A52" t="str">
            <v>GULF COAST STATE COLLEGE</v>
          </cell>
          <cell r="B52">
            <v>106192762</v>
          </cell>
          <cell r="C52">
            <v>30132408</v>
          </cell>
          <cell r="D52">
            <v>136325170</v>
          </cell>
        </row>
        <row r="53">
          <cell r="A53" t="str">
            <v>HILLSBOROUGH COMMUNITY COLLEGE</v>
          </cell>
          <cell r="B53">
            <v>224905527</v>
          </cell>
          <cell r="C53">
            <v>6045935</v>
          </cell>
          <cell r="D53">
            <v>230951462</v>
          </cell>
        </row>
        <row r="54">
          <cell r="A54" t="str">
            <v>INDIAN RIVER STATE COLLEGE</v>
          </cell>
          <cell r="B54">
            <v>260057408</v>
          </cell>
          <cell r="C54">
            <v>75707790</v>
          </cell>
          <cell r="D54">
            <v>335765198</v>
          </cell>
        </row>
        <row r="55">
          <cell r="A55" t="str">
            <v>FLORIDA GATEWAY COLLEGE</v>
          </cell>
          <cell r="B55">
            <v>45331129</v>
          </cell>
          <cell r="C55">
            <v>14581122</v>
          </cell>
          <cell r="D55">
            <v>59912251</v>
          </cell>
        </row>
        <row r="56">
          <cell r="A56" t="str">
            <v>LAKE-SUMTER STATE COLLEGE</v>
          </cell>
          <cell r="B56">
            <v>64614715</v>
          </cell>
          <cell r="C56">
            <v>14967295</v>
          </cell>
          <cell r="D56">
            <v>79582010</v>
          </cell>
        </row>
        <row r="57">
          <cell r="A57" t="str">
            <v>STATE COLLEGE OF FLORIDA, MANATEE-SARASOTA</v>
          </cell>
          <cell r="B57">
            <v>106202461</v>
          </cell>
          <cell r="C57">
            <v>48675246</v>
          </cell>
          <cell r="D57">
            <v>154877707</v>
          </cell>
        </row>
        <row r="58">
          <cell r="A58" t="str">
            <v>MIAMI DADE COLLEGE</v>
          </cell>
          <cell r="B58">
            <v>1363606850</v>
          </cell>
          <cell r="C58">
            <v>125521527</v>
          </cell>
          <cell r="D58">
            <v>1489128377</v>
          </cell>
        </row>
        <row r="59">
          <cell r="A59" t="str">
            <v>NORTH FLORIDA COMMUNITY COLLEGE</v>
          </cell>
          <cell r="B59">
            <v>28783665</v>
          </cell>
          <cell r="C59">
            <v>3592212</v>
          </cell>
          <cell r="D59">
            <v>32375877</v>
          </cell>
        </row>
        <row r="60">
          <cell r="A60" t="str">
            <v>NORTHWEST FLORIDA STATE COLLEGE</v>
          </cell>
          <cell r="B60">
            <v>132330581</v>
          </cell>
          <cell r="C60">
            <v>43200907</v>
          </cell>
          <cell r="D60">
            <v>175531488</v>
          </cell>
        </row>
        <row r="61">
          <cell r="A61" t="str">
            <v>PALM BEACH STATE COLLEGE</v>
          </cell>
          <cell r="B61">
            <v>260208009</v>
          </cell>
          <cell r="C61">
            <v>31670321</v>
          </cell>
          <cell r="D61">
            <v>291878330</v>
          </cell>
        </row>
        <row r="62">
          <cell r="A62" t="str">
            <v>PASCO-HERNANDO STATE COLLEGE</v>
          </cell>
          <cell r="B62">
            <v>184896923</v>
          </cell>
          <cell r="C62">
            <v>42827111</v>
          </cell>
          <cell r="D62">
            <v>227724034</v>
          </cell>
        </row>
        <row r="63">
          <cell r="A63" t="str">
            <v>PENSACOLA STATE COLLEGE</v>
          </cell>
          <cell r="B63">
            <v>66127174</v>
          </cell>
          <cell r="C63">
            <v>22005756</v>
          </cell>
          <cell r="D63">
            <v>88132930</v>
          </cell>
        </row>
        <row r="64">
          <cell r="A64" t="str">
            <v>POLK STATE COLLEGE</v>
          </cell>
          <cell r="B64">
            <v>93965821</v>
          </cell>
          <cell r="C64">
            <v>26848685</v>
          </cell>
          <cell r="D64">
            <v>120814506</v>
          </cell>
        </row>
        <row r="65">
          <cell r="A65" t="str">
            <v>ST. JOHNS RIVER STATE COLLEGE</v>
          </cell>
          <cell r="B65">
            <v>69710424</v>
          </cell>
          <cell r="C65">
            <v>12079291</v>
          </cell>
          <cell r="D65">
            <v>81789715</v>
          </cell>
        </row>
        <row r="66">
          <cell r="A66" t="str">
            <v>ST. PETERSBURG COLLEGE</v>
          </cell>
          <cell r="B66">
            <v>295561213</v>
          </cell>
          <cell r="C66">
            <v>59962439</v>
          </cell>
          <cell r="D66">
            <v>355523652</v>
          </cell>
        </row>
        <row r="67">
          <cell r="A67" t="str">
            <v>SANTA FE COLLEGE</v>
          </cell>
          <cell r="B67">
            <v>125509097</v>
          </cell>
          <cell r="C67">
            <v>41770253</v>
          </cell>
          <cell r="D67">
            <v>167279350</v>
          </cell>
        </row>
        <row r="68">
          <cell r="A68" t="str">
            <v>SEMINOLE STATE COLLEGE OF FLORIDA</v>
          </cell>
          <cell r="B68">
            <v>202894160</v>
          </cell>
          <cell r="C68">
            <v>18724758</v>
          </cell>
          <cell r="D68">
            <v>221618918</v>
          </cell>
        </row>
        <row r="69">
          <cell r="A69" t="str">
            <v>SOUTH FLORIDA STATE COLLEGE</v>
          </cell>
          <cell r="B69">
            <v>71887178</v>
          </cell>
          <cell r="C69">
            <v>10634447</v>
          </cell>
          <cell r="D69">
            <v>82521625</v>
          </cell>
        </row>
        <row r="70">
          <cell r="A70" t="str">
            <v>TALLAHASSEE COMMUNITY COLLEGE</v>
          </cell>
          <cell r="B70">
            <v>135497218</v>
          </cell>
          <cell r="C70">
            <v>16120502</v>
          </cell>
          <cell r="D70">
            <v>151617720</v>
          </cell>
        </row>
        <row r="71">
          <cell r="A71" t="str">
            <v>VALENCIA COLLEGE</v>
          </cell>
          <cell r="B71">
            <v>304247165</v>
          </cell>
          <cell r="C71">
            <v>75042790</v>
          </cell>
          <cell r="D71">
            <v>379289955</v>
          </cell>
        </row>
      </sheetData>
      <sheetData sheetId="4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DAYTONA STATE COLLEGE</v>
          </cell>
        </row>
      </sheetData>
      <sheetData sheetId="3"/>
      <sheetData sheetId="4">
        <row r="215">
          <cell r="O215">
            <v>2624627.15</v>
          </cell>
        </row>
        <row r="481">
          <cell r="O481">
            <v>7653231.3499999996</v>
          </cell>
        </row>
      </sheetData>
      <sheetData sheetId="5">
        <row r="9">
          <cell r="M9" t="str">
            <v>Unit</v>
          </cell>
        </row>
        <row r="119">
          <cell r="K119">
            <v>169428897</v>
          </cell>
          <cell r="M119">
            <v>24951900</v>
          </cell>
          <cell r="N119">
            <v>194380797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44">
          <cell r="A44" t="str">
            <v>EASTERN FLORIDA STATE COLLEGE</v>
          </cell>
          <cell r="B44">
            <v>132823495</v>
          </cell>
          <cell r="C44">
            <v>19357044</v>
          </cell>
          <cell r="D44">
            <v>152180539</v>
          </cell>
        </row>
        <row r="45">
          <cell r="A45" t="str">
            <v>BROWARD COLLEGE</v>
          </cell>
          <cell r="B45">
            <v>269782584</v>
          </cell>
          <cell r="C45">
            <v>74616540</v>
          </cell>
          <cell r="D45">
            <v>344399124</v>
          </cell>
        </row>
        <row r="46">
          <cell r="A46" t="str">
            <v>COLLEGE OF CENTRAL FLORIDA</v>
          </cell>
          <cell r="B46">
            <v>85764502</v>
          </cell>
          <cell r="C46">
            <v>85913922</v>
          </cell>
          <cell r="D46">
            <v>171678424</v>
          </cell>
        </row>
        <row r="47">
          <cell r="A47" t="str">
            <v>CHIPOLA COLLEGE</v>
          </cell>
          <cell r="B47">
            <v>61327492</v>
          </cell>
          <cell r="C47">
            <v>17916736</v>
          </cell>
          <cell r="D47">
            <v>79244228</v>
          </cell>
        </row>
        <row r="48">
          <cell r="A48" t="str">
            <v>DAYTONA STATE COLLEGE</v>
          </cell>
          <cell r="B48">
            <v>185737997</v>
          </cell>
          <cell r="C48">
            <v>19861695</v>
          </cell>
          <cell r="D48">
            <v>205599692</v>
          </cell>
        </row>
        <row r="49">
          <cell r="A49" t="str">
            <v>FLORIDA SOUTHWESTERN STATE COLLEGE</v>
          </cell>
          <cell r="B49">
            <v>157746233</v>
          </cell>
          <cell r="C49">
            <v>44708159</v>
          </cell>
          <cell r="D49">
            <v>202454392</v>
          </cell>
        </row>
        <row r="50">
          <cell r="A50" t="str">
            <v>FLORIDA STATE COLLEGE AT JACKSONVILLE</v>
          </cell>
          <cell r="B50">
            <v>271686692</v>
          </cell>
          <cell r="C50">
            <v>46467136</v>
          </cell>
          <cell r="D50">
            <v>318153828</v>
          </cell>
        </row>
        <row r="51">
          <cell r="A51" t="str">
            <v>FLORIDA KEYS COMMUNITY COLLEGE</v>
          </cell>
          <cell r="B51">
            <v>27300839</v>
          </cell>
          <cell r="C51">
            <v>3185648</v>
          </cell>
          <cell r="D51">
            <v>30486487</v>
          </cell>
        </row>
        <row r="52">
          <cell r="A52" t="str">
            <v>GULF COAST STATE COLLEGE</v>
          </cell>
          <cell r="B52">
            <v>106192762</v>
          </cell>
          <cell r="C52">
            <v>30132408</v>
          </cell>
          <cell r="D52">
            <v>136325170</v>
          </cell>
        </row>
        <row r="53">
          <cell r="A53" t="str">
            <v>HILLSBOROUGH COMMUNITY COLLEGE</v>
          </cell>
          <cell r="B53">
            <v>224905527</v>
          </cell>
          <cell r="C53">
            <v>6045935</v>
          </cell>
          <cell r="D53">
            <v>230951462</v>
          </cell>
        </row>
        <row r="54">
          <cell r="A54" t="str">
            <v>INDIAN RIVER STATE COLLEGE</v>
          </cell>
          <cell r="B54">
            <v>260057408</v>
          </cell>
          <cell r="C54">
            <v>75707790</v>
          </cell>
          <cell r="D54">
            <v>335765198</v>
          </cell>
        </row>
        <row r="55">
          <cell r="A55" t="str">
            <v>FLORIDA GATEWAY COLLEGE</v>
          </cell>
          <cell r="B55">
            <v>45331129</v>
          </cell>
          <cell r="C55">
            <v>14581122</v>
          </cell>
          <cell r="D55">
            <v>59912251</v>
          </cell>
        </row>
        <row r="56">
          <cell r="A56" t="str">
            <v>LAKE-SUMTER STATE COLLEGE</v>
          </cell>
          <cell r="B56">
            <v>64614715</v>
          </cell>
          <cell r="C56">
            <v>14967295</v>
          </cell>
          <cell r="D56">
            <v>79582010</v>
          </cell>
        </row>
        <row r="57">
          <cell r="A57" t="str">
            <v>STATE COLLEGE OF FLORIDA, MANATEE-SARASOTA</v>
          </cell>
          <cell r="B57">
            <v>106202461</v>
          </cell>
          <cell r="C57">
            <v>48675246</v>
          </cell>
          <cell r="D57">
            <v>154877707</v>
          </cell>
        </row>
        <row r="58">
          <cell r="A58" t="str">
            <v>MIAMI DADE COLLEGE</v>
          </cell>
          <cell r="B58">
            <v>1363606850</v>
          </cell>
          <cell r="C58">
            <v>125521527</v>
          </cell>
          <cell r="D58">
            <v>1489128377</v>
          </cell>
        </row>
        <row r="59">
          <cell r="A59" t="str">
            <v>NORTH FLORIDA COMMUNITY COLLEGE</v>
          </cell>
          <cell r="B59">
            <v>28783665</v>
          </cell>
          <cell r="C59">
            <v>3592212</v>
          </cell>
          <cell r="D59">
            <v>32375877</v>
          </cell>
        </row>
        <row r="60">
          <cell r="A60" t="str">
            <v>NORTHWEST FLORIDA STATE COLLEGE</v>
          </cell>
          <cell r="B60">
            <v>132330581</v>
          </cell>
          <cell r="C60">
            <v>43200907</v>
          </cell>
          <cell r="D60">
            <v>175531488</v>
          </cell>
        </row>
        <row r="61">
          <cell r="A61" t="str">
            <v>PALM BEACH STATE COLLEGE</v>
          </cell>
          <cell r="B61">
            <v>260208009</v>
          </cell>
          <cell r="C61">
            <v>31670321</v>
          </cell>
          <cell r="D61">
            <v>291878330</v>
          </cell>
        </row>
        <row r="62">
          <cell r="A62" t="str">
            <v>PASCO-HERNANDO STATE COLLEGE</v>
          </cell>
          <cell r="B62">
            <v>184896923</v>
          </cell>
          <cell r="C62">
            <v>42827111</v>
          </cell>
          <cell r="D62">
            <v>227724034</v>
          </cell>
        </row>
        <row r="63">
          <cell r="A63" t="str">
            <v>PENSACOLA STATE COLLEGE</v>
          </cell>
          <cell r="B63">
            <v>66127174</v>
          </cell>
          <cell r="C63">
            <v>22005756</v>
          </cell>
          <cell r="D63">
            <v>88132930</v>
          </cell>
        </row>
        <row r="64">
          <cell r="A64" t="str">
            <v>POLK STATE COLLEGE</v>
          </cell>
          <cell r="B64">
            <v>93965821</v>
          </cell>
          <cell r="C64">
            <v>26848685</v>
          </cell>
          <cell r="D64">
            <v>120814506</v>
          </cell>
        </row>
        <row r="65">
          <cell r="A65" t="str">
            <v>ST. JOHNS RIVER STATE COLLEGE</v>
          </cell>
          <cell r="B65">
            <v>69710424</v>
          </cell>
          <cell r="C65">
            <v>12079291</v>
          </cell>
          <cell r="D65">
            <v>81789715</v>
          </cell>
        </row>
        <row r="66">
          <cell r="A66" t="str">
            <v>ST. PETERSBURG COLLEGE</v>
          </cell>
          <cell r="B66">
            <v>295561213</v>
          </cell>
          <cell r="C66">
            <v>59962439</v>
          </cell>
          <cell r="D66">
            <v>355523652</v>
          </cell>
        </row>
        <row r="67">
          <cell r="A67" t="str">
            <v>SANTA FE COLLEGE</v>
          </cell>
          <cell r="B67">
            <v>125509097</v>
          </cell>
          <cell r="C67">
            <v>41770253</v>
          </cell>
          <cell r="D67">
            <v>167279350</v>
          </cell>
        </row>
        <row r="68">
          <cell r="A68" t="str">
            <v>SEMINOLE STATE COLLEGE OF FLORIDA</v>
          </cell>
          <cell r="B68">
            <v>202894160</v>
          </cell>
          <cell r="C68">
            <v>18724758</v>
          </cell>
          <cell r="D68">
            <v>221618918</v>
          </cell>
        </row>
        <row r="69">
          <cell r="A69" t="str">
            <v>SOUTH FLORIDA STATE COLLEGE</v>
          </cell>
          <cell r="B69">
            <v>71887178</v>
          </cell>
          <cell r="C69">
            <v>10634447</v>
          </cell>
          <cell r="D69">
            <v>82521625</v>
          </cell>
        </row>
        <row r="70">
          <cell r="A70" t="str">
            <v>TALLAHASSEE COMMUNITY COLLEGE</v>
          </cell>
          <cell r="B70">
            <v>135497218</v>
          </cell>
          <cell r="C70">
            <v>16120502</v>
          </cell>
          <cell r="D70">
            <v>151617720</v>
          </cell>
        </row>
        <row r="71">
          <cell r="A71" t="str">
            <v>VALENCIA COLLEGE</v>
          </cell>
          <cell r="B71">
            <v>304247165</v>
          </cell>
          <cell r="C71">
            <v>75042790</v>
          </cell>
          <cell r="D71">
            <v>379289955</v>
          </cell>
        </row>
      </sheetData>
      <sheetData sheetId="40"/>
    </sheetDataSet>
  </externalBook>
</externalLink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ax="3600" units="cm"/>
          <inkml:channel name="Y" type="integer" max="1080" units="cm"/>
        </inkml:traceFormat>
        <inkml:channelProperties>
          <inkml:channelProperty channel="X" name="resolution" value="53.17577" units="1/cm"/>
          <inkml:channelProperty channel="Y" name="resolution" value="28.34646" units="1/cm"/>
        </inkml:channelProperties>
      </inkml:inkSource>
      <inkml:timestamp xml:id="ts0" timeString="2014-12-19T20:10:11.378"/>
    </inkml:context>
    <inkml:brush xml:id="br0">
      <inkml:brushProperty name="width" value="0.06667" units="cm"/>
      <inkml:brushProperty name="height" value="0.06667" units="cm"/>
    </inkml:brush>
  </inkml:definitions>
  <inkml:traceGroup>
    <inkml:annotationXML>
      <emma:emma xmlns:emma="http://www.w3.org/2003/04/emma" version="1.0">
        <emma:interpretation id="{C8184327-427C-43D6-B8D3-CBBB6E51CB1A}" emma:medium="tactile" emma:mode="ink">
          <msink:context xmlns:msink="http://schemas.microsoft.com/ink/2010/main" type="writingRegion" rotatedBoundingBox="48683,28428 48698,28428 48698,28443 48683,28443"/>
        </emma:interpretation>
      </emma:emma>
    </inkml:annotationXML>
    <inkml:traceGroup>
      <inkml:annotationXML>
        <emma:emma xmlns:emma="http://www.w3.org/2003/04/emma" version="1.0">
          <emma:interpretation id="{A21EADEE-5832-48E2-944E-C8EDC9502DE9}" emma:medium="tactile" emma:mode="ink">
            <msink:context xmlns:msink="http://schemas.microsoft.com/ink/2010/main" type="paragraph" rotatedBoundingBox="48683,28428 48698,28428 48698,28443 48683,28443" alignmentLevel="1"/>
          </emma:interpretation>
        </emma:emma>
      </inkml:annotationXML>
      <inkml:traceGroup>
        <inkml:annotationXML>
          <emma:emma xmlns:emma="http://www.w3.org/2003/04/emma" version="1.0">
            <emma:interpretation id="{5B4B47A6-D6DD-44B1-916A-0DC142C882D2}" emma:medium="tactile" emma:mode="ink">
              <msink:context xmlns:msink="http://schemas.microsoft.com/ink/2010/main" type="line" rotatedBoundingBox="48683,28428 48698,28428 48698,28443 48683,28443"/>
            </emma:interpretation>
          </emma:emma>
        </inkml:annotationXML>
        <inkml:traceGroup>
          <inkml:annotationXML>
            <emma:emma xmlns:emma="http://www.w3.org/2003/04/emma" version="1.0">
              <emma:interpretation id="{8342FDDF-0B2D-4630-9632-6C55CACBFADD}" emma:medium="tactile" emma:mode="ink">
                <msink:context xmlns:msink="http://schemas.microsoft.com/ink/2010/main" type="inkWord" rotatedBoundingBox="48683,28428 48698,28428 48698,28443 48683,28443"/>
              </emma:interpretation>
              <emma:one-of disjunction-type="recognition" id="oneOf0">
                <emma:interpretation id="interp0" emma:lang="en-US" emma:confidence="0">
                  <emma:literal>.</emma:literal>
                </emma:interpretation>
                <emma:interpretation id="interp1" emma:lang="en-US" emma:confidence="0">
                  <emma:literal>v</emma:literal>
                </emma:interpretation>
                <emma:interpretation id="interp2" emma:lang="en-US" emma:confidence="0">
                  <emma:literal>}</emma:literal>
                </emma:interpretation>
                <emma:interpretation id="interp3" emma:lang="en-US" emma:confidence="0">
                  <emma:literal>w</emma:literal>
                </emma:interpretation>
                <emma:interpretation id="interp4" emma:lang="en-US" emma:confidence="0">
                  <emma:literal>3</emma:literal>
                </emma:interpretation>
              </emma:one-of>
            </emma:emma>
          </inkml:annotationXML>
          <inkml:trace contextRef="#ctx0" brushRef="#br0">0 0</inkml:trace>
        </inkml:traceGroup>
      </inkml:traceGroup>
    </inkml:traceGroup>
  </inkml:traceGroup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ax="3600" units="cm"/>
          <inkml:channel name="Y" type="integer" max="1080" units="cm"/>
        </inkml:traceFormat>
        <inkml:channelProperties>
          <inkml:channelProperty channel="X" name="resolution" value="53.17577" units="1/cm"/>
          <inkml:channelProperty channel="Y" name="resolution" value="28.34646" units="1/cm"/>
        </inkml:channelProperties>
      </inkml:inkSource>
      <inkml:timestamp xml:id="ts0" timeString="2014-12-19T20:10:13.157"/>
    </inkml:context>
    <inkml:brush xml:id="br0">
      <inkml:brushProperty name="width" value="0.06667" units="cm"/>
      <inkml:brushProperty name="height" value="0.06667" units="cm"/>
    </inkml:brush>
  </inkml:definitions>
  <inkml:traceGroup>
    <inkml:annotationXML>
      <emma:emma xmlns:emma="http://www.w3.org/2003/04/emma" version="1.0">
        <emma:interpretation id="{D338332E-62C2-4C5B-B6B7-637E37C1A92E}" emma:medium="tactile" emma:mode="ink">
          <msink:context xmlns:msink="http://schemas.microsoft.com/ink/2010/main" type="writingRegion" rotatedBoundingBox="33132,24430 50168,24430 50168,26003 33132,26003"/>
        </emma:interpretation>
      </emma:emma>
    </inkml:annotationXML>
    <inkml:traceGroup>
      <inkml:annotationXML>
        <emma:emma xmlns:emma="http://www.w3.org/2003/04/emma" version="1.0">
          <emma:interpretation id="{F6A808C5-14EE-49AE-A7B8-C5C607BAD792}" emma:medium="tactile" emma:mode="ink">
            <msink:context xmlns:msink="http://schemas.microsoft.com/ink/2010/main" type="paragraph" rotatedBoundingBox="33132,24430 50168,24430 50168,26003 33132,26003" alignmentLevel="1"/>
          </emma:interpretation>
        </emma:emma>
      </inkml:annotationXML>
      <inkml:traceGroup>
        <inkml:annotationXML>
          <emma:emma xmlns:emma="http://www.w3.org/2003/04/emma" version="1.0">
            <emma:interpretation id="{33883383-BB20-4A2E-A1E5-892B14BDA695}" emma:medium="tactile" emma:mode="ink">
              <msink:context xmlns:msink="http://schemas.microsoft.com/ink/2010/main" type="line" rotatedBoundingBox="33132,24430 50168,24430 50168,26003 33132,26003"/>
            </emma:interpretation>
          </emma:emma>
        </inkml:annotationXML>
        <inkml:traceGroup>
          <inkml:annotationXML>
            <emma:emma xmlns:emma="http://www.w3.org/2003/04/emma" version="1.0">
              <emma:interpretation id="{983230C3-1716-4B67-96EA-6110A0F15AF6}" emma:medium="tactile" emma:mode="ink">
                <msink:context xmlns:msink="http://schemas.microsoft.com/ink/2010/main" type="inkWord" rotatedBoundingBox="50153,25988 50168,25988 50168,26003 50153,26003"/>
              </emma:interpretation>
              <emma:one-of disjunction-type="recognition" id="oneOf0">
                <emma:interpretation id="interp0" emma:lang="en-US" emma:confidence="0">
                  <emma:literal>...</emma:literal>
                </emma:interpretation>
                <emma:interpretation id="interp1" emma:lang="en-US" emma:confidence="0">
                  <emma:literal>:</emma:literal>
                </emma:interpretation>
                <emma:interpretation id="interp2" emma:lang="en-US" emma:confidence="0">
                  <emma:literal>7.</emma:literal>
                </emma:interpretation>
                <emma:interpretation id="interp3" emma:lang="en-US" emma:confidence="0">
                  <emma:literal>..</emma:literal>
                </emma:interpretation>
                <emma:interpretation id="interp4" emma:lang="en-US" emma:confidence="0">
                  <emma:literal>Z.</emma:literal>
                </emma:interpretation>
              </emma:one-of>
            </emma:emma>
          </inkml:annotationXML>
          <inkml:trace contextRef="#ctx0" brushRef="#br0">8849 1558</inkml:trace>
          <inkml:trace contextRef="#ctx0" brushRef="#br0" timeOffset="-171.6011">8849 1558</inkml:trace>
          <inkml:trace contextRef="#ctx0" brushRef="#br0" timeOffset="-904.8057">0 0</inkml:trace>
        </inkml:traceGroup>
      </inkml:traceGroup>
    </inkml:traceGroup>
  </inkml:traceGroup>
</inkml: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3.xml"/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4.xml"/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5.xml"/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6.xml"/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7.xml"/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8.xml"/><Relationship Id="rId2" Type="http://schemas.openxmlformats.org/officeDocument/2006/relationships/vmlDrawing" Target="../drawings/vmlDrawing28.v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9.xml"/><Relationship Id="rId2" Type="http://schemas.openxmlformats.org/officeDocument/2006/relationships/vmlDrawing" Target="../drawings/vmlDrawing29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0.xml"/><Relationship Id="rId2" Type="http://schemas.openxmlformats.org/officeDocument/2006/relationships/vmlDrawing" Target="../drawings/vmlDrawing30.v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AI169"/>
  <sheetViews>
    <sheetView showGridLines="0" topLeftCell="C1" zoomScale="90" zoomScaleNormal="90" workbookViewId="0">
      <selection activeCell="C1" sqref="C1"/>
    </sheetView>
  </sheetViews>
  <sheetFormatPr defaultColWidth="11.140625" defaultRowHeight="12.75"/>
  <cols>
    <col min="1" max="1" width="8" style="1" hidden="1" customWidth="1"/>
    <col min="2" max="2" width="7.42578125" style="20" hidden="1" customWidth="1"/>
    <col min="3" max="3" width="10" style="20" customWidth="1"/>
    <col min="4" max="4" width="15.28515625" style="6" customWidth="1"/>
    <col min="5" max="5" width="2" style="6" customWidth="1"/>
    <col min="6" max="9" width="11.140625" style="6"/>
    <col min="10" max="10" width="25.85546875" style="37" customWidth="1"/>
    <col min="11" max="11" width="20.28515625" style="6" customWidth="1"/>
    <col min="12" max="12" width="0.85546875" style="6" customWidth="1"/>
    <col min="13" max="13" width="16" style="6" customWidth="1"/>
    <col min="14" max="14" width="17.85546875" style="6" customWidth="1"/>
    <col min="15" max="15" width="9" style="6" bestFit="1" customWidth="1"/>
    <col min="16" max="16" width="1.28515625" style="6" customWidth="1"/>
    <col min="17" max="17" width="20" style="6" hidden="1" customWidth="1"/>
    <col min="18" max="18" width="1.42578125" style="10" hidden="1" customWidth="1"/>
    <col min="19" max="19" width="16" style="165" hidden="1" customWidth="1"/>
    <col min="20" max="20" width="11" style="165" hidden="1" customWidth="1"/>
    <col min="21" max="21" width="16" style="165" hidden="1" customWidth="1"/>
    <col min="22" max="22" width="8.7109375" style="165" hidden="1" customWidth="1"/>
    <col min="23" max="16384" width="11.140625" style="6"/>
  </cols>
  <sheetData>
    <row r="1" spans="1:35" ht="28.5" customHeight="1" thickTop="1" thickBot="1">
      <c r="A1" s="135"/>
      <c r="B1" s="136"/>
      <c r="C1" s="250" t="s">
        <v>131</v>
      </c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137"/>
      <c r="Q1" s="138"/>
      <c r="R1" s="139"/>
      <c r="S1" s="139"/>
      <c r="T1" s="139"/>
      <c r="U1" s="139"/>
      <c r="V1" s="139"/>
      <c r="W1" s="138"/>
    </row>
    <row r="2" spans="1:35" ht="15.75" customHeight="1" thickTop="1">
      <c r="C2" s="53"/>
      <c r="D2" s="35"/>
      <c r="E2" s="35"/>
      <c r="F2" s="35"/>
      <c r="G2" s="35"/>
      <c r="H2" s="35"/>
      <c r="I2" s="35"/>
      <c r="J2" s="87"/>
      <c r="K2" s="35"/>
      <c r="L2" s="35"/>
      <c r="M2" s="140" t="s">
        <v>2</v>
      </c>
      <c r="N2" s="35"/>
      <c r="O2" s="141" t="s">
        <v>296</v>
      </c>
      <c r="P2" s="37"/>
      <c r="S2" s="251" t="s">
        <v>3</v>
      </c>
      <c r="T2" s="251"/>
      <c r="U2" s="251"/>
      <c r="V2" s="251"/>
      <c r="W2" s="142"/>
    </row>
    <row r="3" spans="1:35" ht="15" customHeight="1">
      <c r="B3" s="2"/>
      <c r="C3" s="143"/>
      <c r="D3" s="258" t="s">
        <v>132</v>
      </c>
      <c r="E3" s="252"/>
      <c r="F3" s="252"/>
      <c r="G3" s="252"/>
      <c r="H3" s="252"/>
      <c r="I3" s="252"/>
      <c r="J3" s="252"/>
      <c r="K3" s="252"/>
      <c r="L3" s="252"/>
      <c r="M3" s="252"/>
      <c r="N3" s="241"/>
      <c r="O3" s="241"/>
      <c r="P3" s="144"/>
      <c r="S3" s="251"/>
      <c r="T3" s="251"/>
      <c r="U3" s="251"/>
      <c r="V3" s="251"/>
      <c r="W3" s="142"/>
      <c r="Y3" s="145"/>
    </row>
    <row r="4" spans="1:35" ht="12.75" customHeight="1">
      <c r="B4" s="2"/>
      <c r="C4" s="143"/>
      <c r="D4" s="258" t="s">
        <v>0</v>
      </c>
      <c r="E4" s="252"/>
      <c r="F4" s="252"/>
      <c r="G4" s="252"/>
      <c r="H4" s="252"/>
      <c r="I4" s="252"/>
      <c r="J4" s="252"/>
      <c r="K4" s="252"/>
      <c r="L4" s="252"/>
      <c r="M4" s="252"/>
      <c r="N4" s="241"/>
      <c r="O4" s="241"/>
      <c r="P4" s="144"/>
      <c r="Q4" s="142"/>
      <c r="S4" s="251"/>
      <c r="T4" s="251"/>
      <c r="U4" s="251"/>
      <c r="V4" s="251"/>
      <c r="W4" s="142"/>
    </row>
    <row r="5" spans="1:35" ht="12.75" customHeight="1">
      <c r="B5" s="2"/>
      <c r="C5" s="143"/>
      <c r="D5" s="65" t="s">
        <v>133</v>
      </c>
      <c r="E5" s="29"/>
      <c r="F5" s="29"/>
      <c r="G5" s="29"/>
      <c r="H5" s="29"/>
      <c r="I5" s="29"/>
      <c r="J5" s="29"/>
      <c r="K5" s="29"/>
      <c r="L5" s="29"/>
      <c r="M5" s="29"/>
      <c r="N5" s="242"/>
      <c r="O5" s="242"/>
      <c r="P5" s="146"/>
      <c r="Q5" s="142"/>
      <c r="S5" s="251"/>
      <c r="T5" s="251"/>
      <c r="U5" s="251"/>
      <c r="V5" s="251"/>
      <c r="W5" s="142"/>
    </row>
    <row r="6" spans="1:35" ht="12.75" customHeight="1">
      <c r="B6" s="2"/>
      <c r="C6" s="143"/>
      <c r="D6" s="259">
        <v>42185</v>
      </c>
      <c r="E6" s="253"/>
      <c r="F6" s="253"/>
      <c r="G6" s="253"/>
      <c r="H6" s="253"/>
      <c r="I6" s="253"/>
      <c r="J6" s="253"/>
      <c r="K6" s="253"/>
      <c r="L6" s="253"/>
      <c r="M6" s="253"/>
      <c r="N6" s="243"/>
      <c r="O6" s="243"/>
      <c r="P6" s="147"/>
      <c r="S6" s="251"/>
      <c r="T6" s="251"/>
      <c r="U6" s="251"/>
      <c r="V6" s="251"/>
      <c r="W6" s="148"/>
    </row>
    <row r="7" spans="1:35" s="64" customFormat="1" ht="7.5" customHeight="1">
      <c r="A7" s="12"/>
      <c r="B7" s="13"/>
      <c r="C7" s="71"/>
      <c r="D7" s="36"/>
      <c r="E7" s="36"/>
      <c r="F7" s="36"/>
      <c r="G7" s="36"/>
      <c r="H7" s="36"/>
      <c r="I7" s="36"/>
      <c r="J7" s="59"/>
      <c r="K7" s="59"/>
      <c r="L7" s="59"/>
      <c r="M7" s="60"/>
      <c r="N7" s="60"/>
      <c r="O7" s="60"/>
      <c r="P7" s="61"/>
      <c r="Q7" s="148"/>
      <c r="S7" s="251"/>
      <c r="T7" s="251"/>
      <c r="U7" s="251"/>
      <c r="V7" s="251"/>
      <c r="W7" s="148"/>
    </row>
    <row r="8" spans="1:35">
      <c r="C8" s="53"/>
      <c r="D8" s="14"/>
      <c r="E8" s="14"/>
      <c r="F8" s="14"/>
      <c r="G8" s="14"/>
      <c r="H8" s="14"/>
      <c r="I8" s="14"/>
      <c r="J8" s="15"/>
      <c r="K8" s="149" t="s">
        <v>5</v>
      </c>
      <c r="L8" s="150"/>
      <c r="M8" s="149" t="s">
        <v>6</v>
      </c>
      <c r="N8" s="149" t="s">
        <v>7</v>
      </c>
      <c r="O8" s="149"/>
      <c r="P8" s="151"/>
      <c r="S8" s="251"/>
      <c r="T8" s="251"/>
      <c r="U8" s="251"/>
      <c r="V8" s="251"/>
      <c r="W8" s="148"/>
    </row>
    <row r="9" spans="1:35" ht="15" customHeight="1">
      <c r="C9" s="53"/>
      <c r="D9" s="14"/>
      <c r="E9" s="14"/>
      <c r="F9" s="14"/>
      <c r="G9" s="14"/>
      <c r="H9" s="14"/>
      <c r="I9" s="14"/>
      <c r="J9" s="15"/>
      <c r="K9" s="152"/>
      <c r="L9" s="150"/>
      <c r="M9" s="26" t="s">
        <v>134</v>
      </c>
      <c r="N9" s="26"/>
      <c r="O9" s="153"/>
      <c r="P9" s="27"/>
      <c r="Q9" s="28" t="s">
        <v>8</v>
      </c>
      <c r="R9" s="154"/>
      <c r="S9" s="254" t="s">
        <v>135</v>
      </c>
      <c r="T9" s="254"/>
      <c r="U9" s="254"/>
      <c r="V9" s="254"/>
      <c r="W9" s="148"/>
    </row>
    <row r="10" spans="1:35">
      <c r="C10" s="53"/>
      <c r="D10" s="101" t="s">
        <v>136</v>
      </c>
      <c r="E10" s="35"/>
      <c r="F10" s="36"/>
      <c r="G10" s="36"/>
      <c r="H10" s="36"/>
      <c r="I10" s="36"/>
      <c r="J10" s="155"/>
      <c r="K10" s="156"/>
      <c r="L10" s="150"/>
      <c r="M10" s="156"/>
      <c r="N10" s="156"/>
      <c r="O10" s="156"/>
      <c r="P10" s="157"/>
      <c r="Q10" s="31"/>
      <c r="R10" s="158"/>
      <c r="S10" s="255"/>
      <c r="T10" s="255"/>
      <c r="U10" s="255"/>
      <c r="V10" s="255"/>
    </row>
    <row r="11" spans="1:35">
      <c r="A11" s="159" t="s">
        <v>10</v>
      </c>
      <c r="B11" s="33" t="s">
        <v>11</v>
      </c>
      <c r="C11" s="160"/>
      <c r="D11" s="36" t="s">
        <v>137</v>
      </c>
      <c r="E11" s="35"/>
      <c r="F11" s="36"/>
      <c r="G11" s="36"/>
      <c r="H11" s="36"/>
      <c r="I11" s="36"/>
      <c r="J11" s="155"/>
      <c r="K11" s="161"/>
      <c r="L11" s="150"/>
      <c r="M11" s="156"/>
      <c r="N11" s="156"/>
      <c r="O11" s="156"/>
      <c r="P11" s="157"/>
      <c r="Q11" s="31"/>
      <c r="S11" s="39" t="s">
        <v>5</v>
      </c>
      <c r="T11" s="40" t="s">
        <v>15</v>
      </c>
      <c r="U11" s="41" t="s">
        <v>16</v>
      </c>
      <c r="V11" s="42" t="s">
        <v>15</v>
      </c>
    </row>
    <row r="12" spans="1:35" ht="20.25">
      <c r="A12" s="1" t="s">
        <v>138</v>
      </c>
      <c r="B12" s="34" t="s">
        <v>139</v>
      </c>
      <c r="C12" s="56"/>
      <c r="D12" s="44"/>
      <c r="E12" s="36" t="s">
        <v>140</v>
      </c>
      <c r="F12" s="35"/>
      <c r="G12" s="35"/>
      <c r="H12" s="35"/>
      <c r="I12" s="35"/>
      <c r="J12" s="155"/>
      <c r="K12" s="162">
        <v>482169514.03000009</v>
      </c>
      <c r="L12" s="162"/>
      <c r="M12" s="162">
        <v>37690336.039999999</v>
      </c>
      <c r="N12" s="162">
        <f>ROUND(M12,0)+ROUND(K12,0)</f>
        <v>519859850</v>
      </c>
      <c r="O12" s="163"/>
      <c r="P12" s="164"/>
      <c r="Q12" s="31"/>
      <c r="S12" s="165">
        <f>K12</f>
        <v>482169514.03000009</v>
      </c>
      <c r="T12" s="165">
        <f>ROUND(S12,0)-S12</f>
        <v>-3.0000090599060059E-2</v>
      </c>
      <c r="U12" s="166">
        <f>M12</f>
        <v>37690336.039999999</v>
      </c>
      <c r="V12" s="165">
        <f>ROUND(U12,0)-U12</f>
        <v>-3.9999999105930328E-2</v>
      </c>
      <c r="W12" s="226" t="s">
        <v>295</v>
      </c>
      <c r="X12" s="227"/>
      <c r="Y12" s="227"/>
      <c r="Z12" s="227"/>
      <c r="AA12" s="227"/>
      <c r="AB12" s="227"/>
      <c r="AC12" s="227"/>
      <c r="AD12" s="227"/>
      <c r="AE12" s="227"/>
      <c r="AF12" s="227"/>
      <c r="AG12" s="227"/>
      <c r="AH12" s="227"/>
      <c r="AI12" s="227"/>
    </row>
    <row r="13" spans="1:35">
      <c r="A13" s="1" t="s">
        <v>141</v>
      </c>
      <c r="B13" s="34" t="s">
        <v>139</v>
      </c>
      <c r="C13" s="56"/>
      <c r="D13" s="44"/>
      <c r="E13" s="36" t="s">
        <v>142</v>
      </c>
      <c r="F13" s="35"/>
      <c r="G13" s="35"/>
      <c r="H13" s="35"/>
      <c r="I13" s="35"/>
      <c r="J13" s="155"/>
      <c r="K13" s="167">
        <v>212174919.60000002</v>
      </c>
      <c r="L13" s="167"/>
      <c r="M13" s="167">
        <v>3194845</v>
      </c>
      <c r="N13" s="167">
        <f t="shared" ref="N13:N23" si="0">ROUND(M13,0)+ROUND(K13,0)</f>
        <v>215369765</v>
      </c>
      <c r="O13" s="168"/>
      <c r="P13" s="81"/>
      <c r="Q13" s="31"/>
      <c r="S13" s="165">
        <f t="shared" ref="S13:S23" si="1">K13</f>
        <v>212174919.60000002</v>
      </c>
      <c r="T13" s="165">
        <f t="shared" ref="T13:T23" si="2">ROUND(S13,0)-S13</f>
        <v>0.39999997615814209</v>
      </c>
      <c r="U13" s="169">
        <f>M13</f>
        <v>3194845</v>
      </c>
      <c r="V13" s="165">
        <f t="shared" ref="V13:V23" si="3">ROUND(U13,0)-U13</f>
        <v>0</v>
      </c>
    </row>
    <row r="14" spans="1:35">
      <c r="A14" s="1" t="s">
        <v>143</v>
      </c>
      <c r="B14" s="34" t="s">
        <v>139</v>
      </c>
      <c r="C14" s="56"/>
      <c r="D14" s="44"/>
      <c r="E14" s="36" t="s">
        <v>144</v>
      </c>
      <c r="F14" s="35"/>
      <c r="G14" s="35"/>
      <c r="H14" s="35"/>
      <c r="I14" s="35"/>
      <c r="J14" s="155"/>
      <c r="K14" s="167">
        <v>12790866.16</v>
      </c>
      <c r="L14" s="167"/>
      <c r="M14" s="167">
        <v>110433077</v>
      </c>
      <c r="N14" s="167">
        <f t="shared" si="0"/>
        <v>123223943</v>
      </c>
      <c r="O14" s="168"/>
      <c r="P14" s="81"/>
      <c r="Q14" s="31"/>
      <c r="S14" s="165">
        <f t="shared" si="1"/>
        <v>12790866.16</v>
      </c>
      <c r="T14" s="165">
        <f t="shared" si="2"/>
        <v>-0.16000000014901161</v>
      </c>
      <c r="U14" s="169">
        <f>M14</f>
        <v>110433077</v>
      </c>
      <c r="V14" s="165">
        <f t="shared" si="3"/>
        <v>0</v>
      </c>
    </row>
    <row r="15" spans="1:35">
      <c r="A15" s="1" t="s">
        <v>145</v>
      </c>
      <c r="B15" s="34" t="s">
        <v>139</v>
      </c>
      <c r="C15" s="56"/>
      <c r="D15" s="44"/>
      <c r="E15" s="36" t="s">
        <v>146</v>
      </c>
      <c r="F15" s="35"/>
      <c r="G15" s="35"/>
      <c r="H15" s="35"/>
      <c r="I15" s="35"/>
      <c r="J15" s="155"/>
      <c r="K15" s="167">
        <v>9867015.25</v>
      </c>
      <c r="L15" s="167"/>
      <c r="M15" s="167">
        <v>1434387</v>
      </c>
      <c r="N15" s="167">
        <f t="shared" si="0"/>
        <v>11301402</v>
      </c>
      <c r="O15" s="168"/>
      <c r="P15" s="81"/>
      <c r="Q15" s="31"/>
      <c r="S15" s="165">
        <f t="shared" si="1"/>
        <v>9867015.25</v>
      </c>
      <c r="T15" s="165">
        <f t="shared" si="2"/>
        <v>-0.25</v>
      </c>
      <c r="U15" s="169">
        <f t="shared" ref="U15:U23" si="4">M15</f>
        <v>1434387</v>
      </c>
      <c r="V15" s="165">
        <f t="shared" si="3"/>
        <v>0</v>
      </c>
    </row>
    <row r="16" spans="1:35">
      <c r="A16" s="1" t="s">
        <v>147</v>
      </c>
      <c r="B16" s="34" t="s">
        <v>139</v>
      </c>
      <c r="C16" s="56"/>
      <c r="D16" s="44"/>
      <c r="E16" s="36" t="s">
        <v>148</v>
      </c>
      <c r="F16" s="35"/>
      <c r="G16" s="35"/>
      <c r="H16" s="35"/>
      <c r="I16" s="35"/>
      <c r="J16" s="155"/>
      <c r="K16" s="167">
        <v>63984453.709999993</v>
      </c>
      <c r="L16" s="167"/>
      <c r="M16" s="167">
        <v>10593290.91</v>
      </c>
      <c r="N16" s="167">
        <f t="shared" si="0"/>
        <v>74577745</v>
      </c>
      <c r="O16" s="168"/>
      <c r="P16" s="81"/>
      <c r="Q16" s="31"/>
      <c r="S16" s="165">
        <f t="shared" si="1"/>
        <v>63984453.709999993</v>
      </c>
      <c r="T16" s="165">
        <f t="shared" si="2"/>
        <v>0.29000000655651093</v>
      </c>
      <c r="U16" s="169">
        <f t="shared" si="4"/>
        <v>10593290.91</v>
      </c>
      <c r="V16" s="165">
        <f t="shared" si="3"/>
        <v>8.9999999850988388E-2</v>
      </c>
    </row>
    <row r="17" spans="1:22">
      <c r="A17" s="1" t="s">
        <v>149</v>
      </c>
      <c r="B17" s="34" t="s">
        <v>139</v>
      </c>
      <c r="C17" s="56"/>
      <c r="D17" s="44"/>
      <c r="E17" s="36" t="s">
        <v>150</v>
      </c>
      <c r="F17" s="35"/>
      <c r="G17" s="35"/>
      <c r="H17" s="35"/>
      <c r="I17" s="35"/>
      <c r="J17" s="155"/>
      <c r="K17" s="167">
        <v>3862653.23</v>
      </c>
      <c r="L17" s="167"/>
      <c r="M17" s="167">
        <v>191549</v>
      </c>
      <c r="N17" s="167">
        <f t="shared" si="0"/>
        <v>4054202</v>
      </c>
      <c r="O17" s="168"/>
      <c r="P17" s="81"/>
      <c r="Q17" s="31"/>
      <c r="S17" s="165">
        <f t="shared" si="1"/>
        <v>3862653.23</v>
      </c>
      <c r="T17" s="165">
        <f t="shared" si="2"/>
        <v>-0.22999999998137355</v>
      </c>
      <c r="U17" s="169">
        <f t="shared" si="4"/>
        <v>191549</v>
      </c>
      <c r="V17" s="165">
        <f t="shared" si="3"/>
        <v>0</v>
      </c>
    </row>
    <row r="18" spans="1:22">
      <c r="A18" s="1" t="s">
        <v>151</v>
      </c>
      <c r="B18" s="72" t="s">
        <v>152</v>
      </c>
      <c r="C18" s="53"/>
      <c r="D18" s="170"/>
      <c r="E18" s="36" t="s">
        <v>153</v>
      </c>
      <c r="F18" s="35"/>
      <c r="G18" s="35"/>
      <c r="H18" s="35"/>
      <c r="I18" s="35"/>
      <c r="J18" s="155"/>
      <c r="K18" s="167">
        <v>203957947.47999999</v>
      </c>
      <c r="L18" s="167"/>
      <c r="M18" s="167">
        <v>30523</v>
      </c>
      <c r="N18" s="167">
        <f t="shared" si="0"/>
        <v>203988470</v>
      </c>
      <c r="O18" s="168"/>
      <c r="P18" s="81"/>
      <c r="Q18" s="31"/>
      <c r="S18" s="165">
        <f t="shared" si="1"/>
        <v>203957947.47999999</v>
      </c>
      <c r="T18" s="165">
        <f t="shared" si="2"/>
        <v>-0.47999998927116394</v>
      </c>
      <c r="U18" s="169">
        <f t="shared" si="4"/>
        <v>30523</v>
      </c>
      <c r="V18" s="165">
        <f t="shared" si="3"/>
        <v>0</v>
      </c>
    </row>
    <row r="19" spans="1:22">
      <c r="A19" s="1" t="s">
        <v>154</v>
      </c>
      <c r="B19" s="72" t="s">
        <v>155</v>
      </c>
      <c r="C19" s="53"/>
      <c r="D19" s="170"/>
      <c r="E19" s="36" t="s">
        <v>156</v>
      </c>
      <c r="F19" s="35"/>
      <c r="G19" s="35"/>
      <c r="H19" s="35"/>
      <c r="I19" s="35"/>
      <c r="J19" s="155"/>
      <c r="K19" s="167">
        <v>8576542.6799999997</v>
      </c>
      <c r="L19" s="167"/>
      <c r="M19" s="167">
        <v>3305002</v>
      </c>
      <c r="N19" s="167">
        <f t="shared" si="0"/>
        <v>11881545</v>
      </c>
      <c r="O19" s="168"/>
      <c r="P19" s="81"/>
      <c r="Q19" s="31"/>
      <c r="S19" s="165">
        <f t="shared" si="1"/>
        <v>8576542.6799999997</v>
      </c>
      <c r="T19" s="165">
        <f t="shared" si="2"/>
        <v>0.32000000029802322</v>
      </c>
      <c r="U19" s="169">
        <f t="shared" si="4"/>
        <v>3305002</v>
      </c>
      <c r="V19" s="165">
        <f t="shared" si="3"/>
        <v>0</v>
      </c>
    </row>
    <row r="20" spans="1:22">
      <c r="A20" s="1" t="s">
        <v>157</v>
      </c>
      <c r="B20" s="34" t="s">
        <v>158</v>
      </c>
      <c r="C20" s="56"/>
      <c r="D20" s="44"/>
      <c r="E20" s="36" t="s">
        <v>159</v>
      </c>
      <c r="F20" s="35"/>
      <c r="G20" s="35"/>
      <c r="H20" s="35"/>
      <c r="I20" s="35"/>
      <c r="J20" s="155"/>
      <c r="K20" s="167">
        <v>10498350.609999999</v>
      </c>
      <c r="L20" s="167"/>
      <c r="M20" s="167">
        <v>9757</v>
      </c>
      <c r="N20" s="167">
        <f t="shared" si="0"/>
        <v>10508108</v>
      </c>
      <c r="O20" s="168"/>
      <c r="P20" s="81"/>
      <c r="Q20" s="31"/>
      <c r="S20" s="165">
        <f t="shared" si="1"/>
        <v>10498350.609999999</v>
      </c>
      <c r="T20" s="165">
        <f t="shared" si="2"/>
        <v>0.39000000059604645</v>
      </c>
      <c r="U20" s="169">
        <f t="shared" si="4"/>
        <v>9757</v>
      </c>
      <c r="V20" s="165">
        <f t="shared" si="3"/>
        <v>0</v>
      </c>
    </row>
    <row r="21" spans="1:22">
      <c r="A21" s="1" t="s">
        <v>160</v>
      </c>
      <c r="B21" s="34" t="s">
        <v>161</v>
      </c>
      <c r="C21" s="56"/>
      <c r="D21" s="44"/>
      <c r="E21" s="36" t="s">
        <v>162</v>
      </c>
      <c r="F21" s="35"/>
      <c r="G21" s="35"/>
      <c r="H21" s="35"/>
      <c r="I21" s="35"/>
      <c r="J21" s="155"/>
      <c r="K21" s="167">
        <v>12570735.07</v>
      </c>
      <c r="L21" s="167"/>
      <c r="M21" s="167">
        <v>357752.82</v>
      </c>
      <c r="N21" s="167">
        <f t="shared" si="0"/>
        <v>12928488</v>
      </c>
      <c r="O21" s="168"/>
      <c r="P21" s="81"/>
      <c r="Q21" s="31"/>
      <c r="S21" s="165">
        <f t="shared" si="1"/>
        <v>12570735.07</v>
      </c>
      <c r="T21" s="165">
        <f t="shared" si="2"/>
        <v>-7.0000000298023224E-2</v>
      </c>
      <c r="U21" s="169">
        <f t="shared" si="4"/>
        <v>357752.82</v>
      </c>
      <c r="V21" s="165">
        <f t="shared" si="3"/>
        <v>0.17999999999301508</v>
      </c>
    </row>
    <row r="22" spans="1:22">
      <c r="A22" s="1" t="s">
        <v>163</v>
      </c>
      <c r="B22" s="34" t="s">
        <v>164</v>
      </c>
      <c r="C22" s="56"/>
      <c r="D22" s="44"/>
      <c r="E22" s="36" t="s">
        <v>165</v>
      </c>
      <c r="F22" s="35"/>
      <c r="G22" s="35"/>
      <c r="H22" s="35"/>
      <c r="I22" s="35"/>
      <c r="J22" s="155"/>
      <c r="K22" s="167">
        <v>802231.51</v>
      </c>
      <c r="L22" s="167"/>
      <c r="M22" s="167">
        <v>502752</v>
      </c>
      <c r="N22" s="167">
        <f t="shared" si="0"/>
        <v>1304984</v>
      </c>
      <c r="O22" s="168"/>
      <c r="P22" s="81"/>
      <c r="Q22" s="31"/>
      <c r="S22" s="165">
        <f t="shared" si="1"/>
        <v>802231.51</v>
      </c>
      <c r="T22" s="165">
        <f t="shared" si="2"/>
        <v>0.48999999999068677</v>
      </c>
      <c r="U22" s="169">
        <f t="shared" si="4"/>
        <v>502752</v>
      </c>
      <c r="V22" s="165">
        <f t="shared" si="3"/>
        <v>0</v>
      </c>
    </row>
    <row r="23" spans="1:22">
      <c r="A23" s="1" t="s">
        <v>166</v>
      </c>
      <c r="B23" s="34" t="s">
        <v>167</v>
      </c>
      <c r="C23" s="56"/>
      <c r="D23" s="44"/>
      <c r="E23" s="36" t="s">
        <v>168</v>
      </c>
      <c r="F23" s="35"/>
      <c r="G23" s="35"/>
      <c r="H23" s="35"/>
      <c r="I23" s="35"/>
      <c r="J23" s="155"/>
      <c r="K23" s="134">
        <v>26087372.210000001</v>
      </c>
      <c r="L23" s="167"/>
      <c r="M23" s="134">
        <v>46724469.32</v>
      </c>
      <c r="N23" s="134">
        <f t="shared" si="0"/>
        <v>72811841</v>
      </c>
      <c r="O23" s="168"/>
      <c r="P23" s="81"/>
      <c r="Q23" s="31"/>
      <c r="S23" s="165">
        <f t="shared" si="1"/>
        <v>26087372.210000001</v>
      </c>
      <c r="T23" s="165">
        <f t="shared" si="2"/>
        <v>-0.21000000089406967</v>
      </c>
      <c r="U23" s="169">
        <f t="shared" si="4"/>
        <v>46724469.32</v>
      </c>
      <c r="V23" s="165">
        <f t="shared" si="3"/>
        <v>-0.32000000029802322</v>
      </c>
    </row>
    <row r="24" spans="1:22" s="64" customFormat="1" ht="7.5" customHeight="1">
      <c r="A24" s="12"/>
      <c r="B24" s="117"/>
      <c r="C24" s="71"/>
      <c r="D24" s="36"/>
      <c r="E24" s="36"/>
      <c r="F24" s="36"/>
      <c r="G24" s="36"/>
      <c r="H24" s="36"/>
      <c r="I24" s="36"/>
      <c r="J24" s="59"/>
      <c r="K24" s="172"/>
      <c r="L24" s="59"/>
      <c r="M24" s="60"/>
      <c r="N24" s="60"/>
      <c r="O24" s="60"/>
      <c r="P24" s="61"/>
      <c r="Q24" s="173"/>
      <c r="R24" s="174"/>
      <c r="S24" s="175"/>
      <c r="T24" s="165"/>
      <c r="U24" s="176"/>
      <c r="V24" s="175"/>
    </row>
    <row r="25" spans="1:22">
      <c r="A25" s="1" t="s">
        <v>169</v>
      </c>
      <c r="B25" s="72"/>
      <c r="C25" s="53"/>
      <c r="D25" s="170"/>
      <c r="E25" s="101" t="s">
        <v>170</v>
      </c>
      <c r="F25" s="35"/>
      <c r="G25" s="35"/>
      <c r="H25" s="35"/>
      <c r="I25" s="35"/>
      <c r="J25" s="155"/>
      <c r="K25" s="177">
        <f t="array" ref="K25">SUM(ROUND(K12:K23,0))</f>
        <v>1047342602</v>
      </c>
      <c r="L25" s="92"/>
      <c r="M25" s="177">
        <f t="array" ref="M25">SUM(ROUND(M12:M23,0))</f>
        <v>214467741</v>
      </c>
      <c r="N25" s="177">
        <f t="array" ref="N25">SUM(ROUND(N12:N23,0))</f>
        <v>1261810343</v>
      </c>
      <c r="O25" s="49"/>
      <c r="P25" s="81"/>
      <c r="Q25" s="31"/>
      <c r="S25" s="178">
        <f>SUM(S12:S23)</f>
        <v>1047342601.5400002</v>
      </c>
      <c r="T25" s="178">
        <f>K25-S25</f>
        <v>0.45999979972839355</v>
      </c>
      <c r="U25" s="179">
        <f>SUM(U12:U23)</f>
        <v>214467741.08999997</v>
      </c>
      <c r="V25" s="178">
        <f>U25-M25</f>
        <v>8.9999973773956299E-2</v>
      </c>
    </row>
    <row r="26" spans="1:22" s="64" customFormat="1" ht="7.5" customHeight="1">
      <c r="A26" s="12"/>
      <c r="B26" s="117"/>
      <c r="C26" s="71"/>
      <c r="D26" s="36"/>
      <c r="E26" s="36"/>
      <c r="F26" s="36"/>
      <c r="G26" s="36"/>
      <c r="H26" s="36"/>
      <c r="I26" s="36"/>
      <c r="J26" s="59"/>
      <c r="K26" s="180"/>
      <c r="L26" s="180"/>
      <c r="M26" s="181"/>
      <c r="N26" s="181"/>
      <c r="O26" s="181"/>
      <c r="P26" s="182"/>
      <c r="Q26" s="173"/>
      <c r="R26" s="174"/>
      <c r="S26" s="175"/>
      <c r="T26" s="175"/>
      <c r="U26" s="176"/>
      <c r="V26" s="175"/>
    </row>
    <row r="27" spans="1:22">
      <c r="B27" s="72"/>
      <c r="C27" s="53"/>
      <c r="D27" s="36" t="s">
        <v>171</v>
      </c>
      <c r="E27" s="14"/>
      <c r="F27" s="183"/>
      <c r="G27" s="35"/>
      <c r="H27" s="35"/>
      <c r="I27" s="36"/>
      <c r="J27" s="36"/>
      <c r="K27" s="184"/>
      <c r="L27" s="184"/>
      <c r="M27" s="184"/>
      <c r="N27" s="184"/>
      <c r="O27" s="184"/>
      <c r="P27" s="185"/>
      <c r="Q27" s="31"/>
      <c r="U27" s="169"/>
    </row>
    <row r="28" spans="1:22">
      <c r="A28" s="1" t="s">
        <v>172</v>
      </c>
      <c r="B28" s="34" t="s">
        <v>139</v>
      </c>
      <c r="C28" s="56"/>
      <c r="D28" s="36"/>
      <c r="E28" s="36" t="s">
        <v>142</v>
      </c>
      <c r="F28" s="183"/>
      <c r="G28" s="35"/>
      <c r="H28" s="35"/>
      <c r="I28" s="35"/>
      <c r="J28" s="36"/>
      <c r="K28" s="162">
        <v>622344130.93000007</v>
      </c>
      <c r="L28" s="162"/>
      <c r="M28" s="162">
        <v>38877833</v>
      </c>
      <c r="N28" s="167">
        <f t="shared" ref="N28:N34" si="5">ROUND(M28,0)+ROUND(K28,0)</f>
        <v>661221964</v>
      </c>
      <c r="O28" s="168"/>
      <c r="P28" s="81"/>
      <c r="Q28" s="31"/>
      <c r="S28" s="165">
        <f>K28</f>
        <v>622344130.93000007</v>
      </c>
      <c r="T28" s="165">
        <f t="shared" ref="T28:T34" si="6">ROUND(S28,0)-S28</f>
        <v>6.9999933242797852E-2</v>
      </c>
      <c r="U28" s="169">
        <f>M28</f>
        <v>38877833</v>
      </c>
      <c r="V28" s="165">
        <f t="shared" ref="V28:V34" si="7">ROUND(U28,0)-U28</f>
        <v>0</v>
      </c>
    </row>
    <row r="29" spans="1:22">
      <c r="A29" s="1" t="s">
        <v>173</v>
      </c>
      <c r="B29" s="72" t="s">
        <v>139</v>
      </c>
      <c r="C29" s="53"/>
      <c r="D29" s="36"/>
      <c r="E29" s="36" t="s">
        <v>144</v>
      </c>
      <c r="F29" s="183"/>
      <c r="G29" s="35"/>
      <c r="H29" s="35"/>
      <c r="I29" s="35"/>
      <c r="J29" s="36"/>
      <c r="K29" s="167">
        <v>195188219.30000001</v>
      </c>
      <c r="L29" s="167"/>
      <c r="M29" s="167">
        <v>594602344.02999997</v>
      </c>
      <c r="N29" s="167">
        <f t="shared" si="5"/>
        <v>789790563</v>
      </c>
      <c r="O29" s="168"/>
      <c r="P29" s="81"/>
      <c r="Q29" s="31"/>
      <c r="S29" s="165">
        <f t="shared" ref="S29:S34" si="8">K29</f>
        <v>195188219.30000001</v>
      </c>
      <c r="T29" s="165">
        <f t="shared" si="6"/>
        <v>-0.30000001192092896</v>
      </c>
      <c r="U29" s="169">
        <f t="shared" ref="U29:U34" si="9">M29</f>
        <v>594602344.02999997</v>
      </c>
      <c r="V29" s="165">
        <f t="shared" si="7"/>
        <v>-2.9999971389770508E-2</v>
      </c>
    </row>
    <row r="30" spans="1:22">
      <c r="A30" s="1" t="s">
        <v>174</v>
      </c>
      <c r="B30" s="34" t="s">
        <v>139</v>
      </c>
      <c r="C30" s="56"/>
      <c r="D30" s="36"/>
      <c r="E30" s="36" t="s">
        <v>146</v>
      </c>
      <c r="F30" s="183"/>
      <c r="G30" s="35"/>
      <c r="H30" s="35"/>
      <c r="I30" s="35"/>
      <c r="J30" s="36"/>
      <c r="K30" s="167">
        <v>389529146.45199996</v>
      </c>
      <c r="L30" s="167"/>
      <c r="M30" s="167">
        <v>222243944</v>
      </c>
      <c r="N30" s="167">
        <f t="shared" si="5"/>
        <v>611773090</v>
      </c>
      <c r="O30" s="168"/>
      <c r="P30" s="81"/>
      <c r="Q30" s="31"/>
      <c r="S30" s="165">
        <f t="shared" si="8"/>
        <v>389529146.45199996</v>
      </c>
      <c r="T30" s="165">
        <f t="shared" si="6"/>
        <v>-0.4519999623298645</v>
      </c>
      <c r="U30" s="169">
        <f t="shared" si="9"/>
        <v>222243944</v>
      </c>
      <c r="V30" s="165">
        <f t="shared" si="7"/>
        <v>0</v>
      </c>
    </row>
    <row r="31" spans="1:22">
      <c r="A31" s="1" t="s">
        <v>175</v>
      </c>
      <c r="B31" s="34" t="s">
        <v>139</v>
      </c>
      <c r="C31" s="56"/>
      <c r="D31" s="36"/>
      <c r="E31" s="36" t="s">
        <v>176</v>
      </c>
      <c r="F31" s="183"/>
      <c r="G31" s="35"/>
      <c r="H31" s="35"/>
      <c r="I31" s="35"/>
      <c r="J31" s="36"/>
      <c r="K31" s="167">
        <v>12533738.390000001</v>
      </c>
      <c r="L31" s="167"/>
      <c r="M31" s="167">
        <v>3008500</v>
      </c>
      <c r="N31" s="167">
        <f t="shared" si="5"/>
        <v>15542238</v>
      </c>
      <c r="O31" s="168"/>
      <c r="P31" s="81"/>
      <c r="Q31" s="31"/>
      <c r="S31" s="165">
        <f t="shared" si="8"/>
        <v>12533738.390000001</v>
      </c>
      <c r="T31" s="165">
        <f t="shared" si="6"/>
        <v>-0.39000000059604645</v>
      </c>
      <c r="U31" s="169">
        <f t="shared" si="9"/>
        <v>3008500</v>
      </c>
      <c r="V31" s="165">
        <f t="shared" si="7"/>
        <v>0</v>
      </c>
    </row>
    <row r="32" spans="1:22">
      <c r="A32" s="1" t="s">
        <v>177</v>
      </c>
      <c r="B32" s="72" t="s">
        <v>139</v>
      </c>
      <c r="C32" s="53"/>
      <c r="D32" s="36"/>
      <c r="E32" s="36" t="s">
        <v>178</v>
      </c>
      <c r="F32" s="183"/>
      <c r="G32" s="35"/>
      <c r="H32" s="35"/>
      <c r="I32" s="35"/>
      <c r="J32" s="36"/>
      <c r="K32" s="167">
        <v>3406916102.5999994</v>
      </c>
      <c r="L32" s="167"/>
      <c r="M32" s="167">
        <v>54765837</v>
      </c>
      <c r="N32" s="167">
        <f t="shared" si="5"/>
        <v>3461681940</v>
      </c>
      <c r="O32" s="168"/>
      <c r="P32" s="81"/>
      <c r="Q32" s="31"/>
      <c r="S32" s="165">
        <f t="shared" si="8"/>
        <v>3406916102.5999994</v>
      </c>
      <c r="T32" s="165">
        <f t="shared" si="6"/>
        <v>0.40000057220458984</v>
      </c>
      <c r="U32" s="169">
        <f t="shared" si="9"/>
        <v>54765837</v>
      </c>
      <c r="V32" s="165">
        <f t="shared" si="7"/>
        <v>0</v>
      </c>
    </row>
    <row r="33" spans="1:22">
      <c r="A33" s="1" t="s">
        <v>179</v>
      </c>
      <c r="B33" s="72" t="s">
        <v>139</v>
      </c>
      <c r="C33" s="53"/>
      <c r="D33" s="36"/>
      <c r="E33" s="36" t="s">
        <v>180</v>
      </c>
      <c r="F33" s="183"/>
      <c r="G33" s="35"/>
      <c r="H33" s="35"/>
      <c r="I33" s="35"/>
      <c r="J33" s="36"/>
      <c r="K33" s="167">
        <v>502468867.98000014</v>
      </c>
      <c r="L33" s="167"/>
      <c r="M33" s="167">
        <v>30470456</v>
      </c>
      <c r="N33" s="167">
        <f t="shared" si="5"/>
        <v>532939324</v>
      </c>
      <c r="O33" s="168"/>
      <c r="P33" s="81"/>
      <c r="Q33" s="31"/>
      <c r="S33" s="165">
        <f t="shared" si="8"/>
        <v>502468867.98000014</v>
      </c>
      <c r="T33" s="165">
        <f t="shared" si="6"/>
        <v>1.9999861717224121E-2</v>
      </c>
      <c r="U33" s="169">
        <f t="shared" si="9"/>
        <v>30470456</v>
      </c>
      <c r="V33" s="165">
        <f t="shared" si="7"/>
        <v>0</v>
      </c>
    </row>
    <row r="34" spans="1:22">
      <c r="A34" s="1" t="s">
        <v>181</v>
      </c>
      <c r="B34" s="72" t="s">
        <v>182</v>
      </c>
      <c r="C34" s="53"/>
      <c r="D34" s="36"/>
      <c r="E34" s="36" t="s">
        <v>168</v>
      </c>
      <c r="F34" s="183"/>
      <c r="G34" s="35"/>
      <c r="H34" s="35"/>
      <c r="I34" s="35"/>
      <c r="J34" s="36"/>
      <c r="K34" s="134">
        <v>5991165.6100000003</v>
      </c>
      <c r="L34" s="167"/>
      <c r="M34" s="134">
        <v>10179570</v>
      </c>
      <c r="N34" s="134">
        <f t="shared" si="5"/>
        <v>16170736</v>
      </c>
      <c r="O34" s="168"/>
      <c r="P34" s="81"/>
      <c r="Q34" s="31"/>
      <c r="S34" s="165">
        <f t="shared" si="8"/>
        <v>5991165.6100000003</v>
      </c>
      <c r="T34" s="165">
        <f t="shared" si="6"/>
        <v>0.38999999966472387</v>
      </c>
      <c r="U34" s="169">
        <f t="shared" si="9"/>
        <v>10179570</v>
      </c>
      <c r="V34" s="165">
        <f t="shared" si="7"/>
        <v>0</v>
      </c>
    </row>
    <row r="35" spans="1:22" s="64" customFormat="1" ht="7.5" customHeight="1">
      <c r="A35" s="12"/>
      <c r="B35" s="117"/>
      <c r="C35" s="71"/>
      <c r="D35" s="36"/>
      <c r="E35" s="36"/>
      <c r="F35" s="36"/>
      <c r="G35" s="36"/>
      <c r="H35" s="36"/>
      <c r="I35" s="36"/>
      <c r="J35" s="59"/>
      <c r="K35" s="81"/>
      <c r="L35" s="186"/>
      <c r="M35" s="49"/>
      <c r="N35" s="49"/>
      <c r="O35" s="49"/>
      <c r="P35" s="81"/>
      <c r="Q35" s="173"/>
      <c r="R35" s="174"/>
      <c r="S35" s="175"/>
      <c r="T35" s="175"/>
      <c r="U35" s="176"/>
      <c r="V35" s="175"/>
    </row>
    <row r="36" spans="1:22">
      <c r="A36" s="1" t="s">
        <v>183</v>
      </c>
      <c r="B36" s="72"/>
      <c r="C36" s="53"/>
      <c r="D36" s="101"/>
      <c r="E36" s="101" t="s">
        <v>184</v>
      </c>
      <c r="F36" s="183"/>
      <c r="G36" s="35"/>
      <c r="H36" s="35"/>
      <c r="I36" s="35"/>
      <c r="J36" s="36"/>
      <c r="K36" s="187">
        <f t="array" ref="K36">SUM(ROUND(K28:K34,0))</f>
        <v>5134971371</v>
      </c>
      <c r="L36" s="49"/>
      <c r="M36" s="187">
        <f t="array" ref="M36">SUM(ROUND(M28:M34,0))</f>
        <v>954148484</v>
      </c>
      <c r="N36" s="187">
        <f t="array" ref="N36">SUM(ROUND(N28:N34,0))</f>
        <v>6089119855</v>
      </c>
      <c r="O36" s="49"/>
      <c r="P36" s="81"/>
      <c r="Q36" s="31"/>
      <c r="S36" s="178">
        <f>SUM(S28:S34)</f>
        <v>5134971371.2619991</v>
      </c>
      <c r="T36" s="178">
        <f>K36-S36</f>
        <v>-0.26199913024902344</v>
      </c>
      <c r="U36" s="179">
        <f>SUM(U28:U34)</f>
        <v>954148484.02999997</v>
      </c>
      <c r="V36" s="178">
        <f>U36-M36</f>
        <v>2.9999971389770508E-2</v>
      </c>
    </row>
    <row r="37" spans="1:22" s="64" customFormat="1" ht="7.5" customHeight="1">
      <c r="A37" s="12"/>
      <c r="B37" s="117"/>
      <c r="C37" s="71"/>
      <c r="D37" s="36"/>
      <c r="E37" s="36"/>
      <c r="F37" s="36"/>
      <c r="G37" s="36"/>
      <c r="H37" s="36"/>
      <c r="I37" s="36"/>
      <c r="J37" s="59"/>
      <c r="K37" s="184"/>
      <c r="L37" s="188"/>
      <c r="M37" s="189"/>
      <c r="N37" s="189"/>
      <c r="O37" s="189"/>
      <c r="P37" s="61"/>
      <c r="Q37" s="173"/>
      <c r="R37" s="174"/>
      <c r="S37" s="175"/>
      <c r="T37" s="175"/>
      <c r="U37" s="176"/>
      <c r="V37" s="175"/>
    </row>
    <row r="38" spans="1:22" ht="13.5" thickBot="1">
      <c r="B38" s="72"/>
      <c r="C38" s="53"/>
      <c r="D38" s="101" t="s">
        <v>185</v>
      </c>
      <c r="E38" s="36"/>
      <c r="F38" s="183"/>
      <c r="G38" s="35"/>
      <c r="H38" s="35"/>
      <c r="I38" s="35"/>
      <c r="J38" s="36"/>
      <c r="K38" s="190">
        <f>SUM(K25+K36)</f>
        <v>6182313973</v>
      </c>
      <c r="L38" s="191"/>
      <c r="M38" s="192">
        <f>SUM(M25+M36)</f>
        <v>1168616225</v>
      </c>
      <c r="N38" s="192">
        <f>SUM(N25+N36)</f>
        <v>7350930198</v>
      </c>
      <c r="O38" s="193"/>
      <c r="P38" s="194"/>
      <c r="Q38" s="31"/>
      <c r="S38" s="178">
        <f>S25+S36</f>
        <v>6182313972.8019991</v>
      </c>
      <c r="T38" s="178">
        <f>K38-S38</f>
        <v>0.19800090789794922</v>
      </c>
      <c r="U38" s="179">
        <f>U25+U36</f>
        <v>1168616225.1199999</v>
      </c>
      <c r="V38" s="178">
        <f>U38-M38</f>
        <v>0.11999988555908203</v>
      </c>
    </row>
    <row r="39" spans="1:22" ht="13.5" thickTop="1">
      <c r="B39" s="72"/>
      <c r="C39" s="53"/>
      <c r="D39" s="101"/>
      <c r="E39" s="36"/>
      <c r="F39" s="183"/>
      <c r="G39" s="35"/>
      <c r="H39" s="35"/>
      <c r="I39" s="35"/>
      <c r="J39" s="36"/>
      <c r="K39" s="195"/>
      <c r="L39" s="191"/>
      <c r="M39" s="196"/>
      <c r="N39" s="196"/>
      <c r="O39" s="193"/>
      <c r="P39" s="194"/>
      <c r="Q39" s="31"/>
      <c r="S39" s="197"/>
      <c r="T39" s="197"/>
      <c r="U39" s="169"/>
      <c r="V39" s="197"/>
    </row>
    <row r="40" spans="1:22">
      <c r="B40" s="72"/>
      <c r="C40" s="53"/>
      <c r="D40" s="198" t="s">
        <v>186</v>
      </c>
      <c r="E40" s="199"/>
      <c r="F40" s="200"/>
      <c r="G40" s="43"/>
      <c r="H40" s="43"/>
      <c r="I40" s="43"/>
      <c r="J40" s="199"/>
      <c r="K40" s="201"/>
      <c r="L40" s="202"/>
      <c r="M40" s="201"/>
      <c r="N40" s="196"/>
      <c r="O40" s="193"/>
      <c r="P40" s="194"/>
      <c r="Q40" s="31"/>
      <c r="S40" s="197"/>
      <c r="T40" s="197"/>
      <c r="U40" s="169"/>
      <c r="V40" s="197"/>
    </row>
    <row r="41" spans="1:22">
      <c r="B41" s="72"/>
      <c r="C41" s="53"/>
      <c r="D41" s="199" t="s">
        <v>187</v>
      </c>
      <c r="E41" s="199"/>
      <c r="F41" s="200"/>
      <c r="G41" s="43"/>
      <c r="H41" s="43"/>
      <c r="I41" s="43"/>
      <c r="J41" s="199"/>
      <c r="K41" s="167" t="e">
        <f>SUM([3]EASTERNFL:VALENCIA!K41)</f>
        <v>#REF!</v>
      </c>
      <c r="L41" s="167"/>
      <c r="M41" s="167">
        <f>SUM([3]EASTERNFL:VALENCIA!M41)</f>
        <v>0</v>
      </c>
      <c r="N41" s="167" t="e">
        <f>ROUND(M41,0)+ROUND(K41,0)</f>
        <v>#REF!</v>
      </c>
      <c r="O41" s="193"/>
      <c r="P41" s="194"/>
      <c r="Q41" s="31"/>
      <c r="S41" s="197"/>
      <c r="T41" s="197"/>
      <c r="U41" s="169"/>
      <c r="V41" s="197"/>
    </row>
    <row r="42" spans="1:22">
      <c r="B42" s="72"/>
      <c r="C42" s="53"/>
      <c r="D42" s="199" t="s">
        <v>302</v>
      </c>
      <c r="E42" s="199"/>
      <c r="F42" s="200"/>
      <c r="G42" s="43"/>
      <c r="H42" s="43"/>
      <c r="I42" s="43"/>
      <c r="J42" s="199"/>
      <c r="K42" s="167">
        <v>131642995.01000001</v>
      </c>
      <c r="L42" s="167"/>
      <c r="M42" s="167">
        <v>0</v>
      </c>
      <c r="N42" s="167">
        <f t="shared" ref="N42:N43" si="10">ROUND(M42,0)+ROUND(K42,0)</f>
        <v>131642995</v>
      </c>
      <c r="O42" s="193"/>
      <c r="P42" s="194"/>
      <c r="Q42" s="31"/>
      <c r="S42" s="197"/>
      <c r="T42" s="197"/>
      <c r="U42" s="169"/>
      <c r="V42" s="197"/>
    </row>
    <row r="43" spans="1:22">
      <c r="B43" s="72"/>
      <c r="C43" s="53"/>
      <c r="D43" s="199" t="s">
        <v>303</v>
      </c>
      <c r="E43" s="199"/>
      <c r="F43" s="200"/>
      <c r="G43" s="43"/>
      <c r="H43" s="43"/>
      <c r="I43" s="43"/>
      <c r="J43" s="199"/>
      <c r="K43" s="167">
        <v>30423183</v>
      </c>
      <c r="L43" s="167"/>
      <c r="M43" s="167">
        <v>0</v>
      </c>
      <c r="N43" s="167">
        <f t="shared" si="10"/>
        <v>30423183</v>
      </c>
      <c r="O43" s="193"/>
      <c r="P43" s="194"/>
      <c r="Q43" s="31"/>
      <c r="S43" s="197"/>
      <c r="T43" s="197"/>
      <c r="U43" s="169"/>
      <c r="V43" s="197"/>
    </row>
    <row r="44" spans="1:22">
      <c r="B44" s="72"/>
      <c r="C44" s="53"/>
      <c r="D44" s="199" t="s">
        <v>188</v>
      </c>
      <c r="E44" s="199"/>
      <c r="F44" s="199"/>
      <c r="G44" s="199"/>
      <c r="H44" s="199"/>
      <c r="I44" s="199"/>
      <c r="J44" s="199"/>
      <c r="K44" s="134">
        <v>1228135</v>
      </c>
      <c r="L44" s="167"/>
      <c r="M44" s="134">
        <v>0</v>
      </c>
      <c r="N44" s="134">
        <f>ROUND(M44,0)+ROUND(K44,0)</f>
        <v>1228135</v>
      </c>
      <c r="O44" s="193"/>
      <c r="P44" s="194"/>
      <c r="Q44" s="31"/>
      <c r="S44" s="197">
        <f>N44</f>
        <v>1228135</v>
      </c>
      <c r="T44" s="197"/>
      <c r="U44" s="169"/>
      <c r="V44" s="197"/>
    </row>
    <row r="45" spans="1:22" s="64" customFormat="1" ht="9.75" customHeight="1">
      <c r="A45" s="12"/>
      <c r="B45" s="117"/>
      <c r="C45" s="71"/>
      <c r="D45" s="199"/>
      <c r="E45" s="199"/>
      <c r="F45" s="199"/>
      <c r="G45" s="199"/>
      <c r="H45" s="199"/>
      <c r="I45" s="199"/>
      <c r="J45" s="205"/>
      <c r="K45" s="77"/>
      <c r="L45" s="77"/>
      <c r="M45" s="61"/>
      <c r="N45" s="189"/>
      <c r="O45" s="189"/>
      <c r="P45" s="61"/>
      <c r="Q45" s="173"/>
      <c r="R45" s="174"/>
      <c r="S45" s="175"/>
      <c r="T45" s="175"/>
      <c r="U45" s="176"/>
      <c r="V45" s="175"/>
    </row>
    <row r="46" spans="1:22" ht="15.75" customHeight="1" thickBot="1">
      <c r="B46" s="72"/>
      <c r="C46" s="53"/>
      <c r="D46" s="198" t="s">
        <v>189</v>
      </c>
      <c r="E46" s="199"/>
      <c r="F46" s="200"/>
      <c r="G46" s="43"/>
      <c r="H46" s="43"/>
      <c r="I46" s="43"/>
      <c r="J46" s="199"/>
      <c r="K46" s="203" t="e">
        <f>SUM(K41:K44)</f>
        <v>#REF!</v>
      </c>
      <c r="L46" s="202"/>
      <c r="M46" s="203">
        <f>SUM(M41:M44)</f>
        <v>0</v>
      </c>
      <c r="N46" s="204" t="e">
        <f>SUM(N41:N44,0)</f>
        <v>#REF!</v>
      </c>
      <c r="O46" s="193"/>
      <c r="P46" s="194"/>
      <c r="Q46" s="31"/>
      <c r="S46" s="197" t="e">
        <f>N46</f>
        <v>#REF!</v>
      </c>
      <c r="T46" s="197"/>
      <c r="U46" s="169"/>
      <c r="V46" s="197"/>
    </row>
    <row r="47" spans="1:22" s="64" customFormat="1" ht="14.25" thickTop="1" thickBot="1">
      <c r="A47" s="12"/>
      <c r="B47" s="117"/>
      <c r="C47" s="71"/>
      <c r="D47" s="198" t="s">
        <v>190</v>
      </c>
      <c r="E47" s="199"/>
      <c r="F47" s="200"/>
      <c r="G47" s="43"/>
      <c r="H47" s="43"/>
      <c r="I47" s="43"/>
      <c r="J47" s="199"/>
      <c r="K47" s="203" t="e">
        <f>K38+K46</f>
        <v>#REF!</v>
      </c>
      <c r="L47" s="202"/>
      <c r="M47" s="203">
        <f>M38+M46</f>
        <v>1168616225</v>
      </c>
      <c r="N47" s="192" t="e">
        <f>SUM(K47+M47)</f>
        <v>#REF!</v>
      </c>
      <c r="O47" s="189"/>
      <c r="P47" s="61"/>
      <c r="Q47" s="173"/>
      <c r="R47" s="174"/>
      <c r="S47" s="175"/>
      <c r="T47" s="175"/>
      <c r="U47" s="176"/>
      <c r="V47" s="175"/>
    </row>
    <row r="48" spans="1:22" s="64" customFormat="1" ht="13.5" thickTop="1">
      <c r="A48" s="12"/>
      <c r="B48" s="117"/>
      <c r="C48" s="71"/>
      <c r="D48" s="36"/>
      <c r="E48" s="36"/>
      <c r="F48" s="36"/>
      <c r="G48" s="36"/>
      <c r="H48" s="36"/>
      <c r="I48" s="36"/>
      <c r="J48" s="59"/>
      <c r="K48" s="188"/>
      <c r="L48" s="188"/>
      <c r="M48" s="189"/>
      <c r="N48" s="189"/>
      <c r="O48" s="189"/>
      <c r="P48" s="61"/>
      <c r="Q48" s="173"/>
      <c r="R48" s="174"/>
      <c r="S48" s="175"/>
      <c r="T48" s="175"/>
      <c r="U48" s="176"/>
      <c r="V48" s="175"/>
    </row>
    <row r="49" spans="1:22">
      <c r="B49" s="72"/>
      <c r="C49" s="53"/>
      <c r="D49" s="101" t="s">
        <v>191</v>
      </c>
      <c r="E49" s="36"/>
      <c r="F49" s="36"/>
      <c r="G49" s="36"/>
      <c r="H49" s="36"/>
      <c r="I49" s="36"/>
      <c r="J49" s="36"/>
      <c r="K49" s="206"/>
      <c r="L49" s="206"/>
      <c r="M49" s="206"/>
      <c r="N49" s="206"/>
      <c r="O49" s="206"/>
      <c r="P49" s="207"/>
      <c r="Q49" s="31"/>
      <c r="R49" s="208"/>
      <c r="U49" s="169"/>
    </row>
    <row r="50" spans="1:22">
      <c r="B50" s="209"/>
      <c r="C50" s="210"/>
      <c r="D50" s="36" t="s">
        <v>192</v>
      </c>
      <c r="E50" s="36"/>
      <c r="F50" s="36"/>
      <c r="G50" s="36"/>
      <c r="H50" s="36"/>
      <c r="I50" s="36"/>
      <c r="J50" s="36"/>
      <c r="K50" s="211"/>
      <c r="L50" s="206"/>
      <c r="M50" s="206"/>
      <c r="N50" s="206"/>
      <c r="O50" s="206"/>
      <c r="P50" s="207"/>
      <c r="Q50" s="31"/>
      <c r="R50" s="208"/>
      <c r="U50" s="169"/>
    </row>
    <row r="51" spans="1:22">
      <c r="A51" s="1" t="s">
        <v>193</v>
      </c>
      <c r="B51" s="72" t="s">
        <v>194</v>
      </c>
      <c r="C51" s="53"/>
      <c r="D51" s="36"/>
      <c r="E51" s="36" t="s">
        <v>195</v>
      </c>
      <c r="F51" s="36"/>
      <c r="G51" s="36"/>
      <c r="H51" s="36"/>
      <c r="I51" s="36"/>
      <c r="J51" s="36"/>
      <c r="K51" s="162">
        <v>42440987.069999993</v>
      </c>
      <c r="L51" s="162"/>
      <c r="M51" s="162">
        <v>3249781.2800000003</v>
      </c>
      <c r="N51" s="162">
        <f t="shared" ref="N51:N59" si="11">ROUND(M51,0)+ROUND(K51,0)</f>
        <v>45690768</v>
      </c>
      <c r="O51" s="163"/>
      <c r="P51" s="164"/>
      <c r="Q51" s="31"/>
      <c r="R51" s="208"/>
      <c r="S51" s="165">
        <f>K51</f>
        <v>42440987.069999993</v>
      </c>
      <c r="T51" s="165">
        <f t="shared" ref="T51:T69" si="12">ROUND(S51,0)-S51</f>
        <v>-6.9999992847442627E-2</v>
      </c>
      <c r="U51" s="169">
        <f>M51</f>
        <v>3249781.2800000003</v>
      </c>
      <c r="V51" s="165">
        <f t="shared" ref="V51:V69" si="13">ROUND(U51,0)-U51</f>
        <v>-0.28000000026077032</v>
      </c>
    </row>
    <row r="52" spans="1:22">
      <c r="A52" s="1" t="s">
        <v>196</v>
      </c>
      <c r="B52" s="72" t="s">
        <v>197</v>
      </c>
      <c r="C52" s="53"/>
      <c r="D52" s="36"/>
      <c r="E52" s="36" t="s">
        <v>198</v>
      </c>
      <c r="F52" s="36"/>
      <c r="G52" s="36"/>
      <c r="H52" s="36"/>
      <c r="I52" s="36"/>
      <c r="J52" s="36"/>
      <c r="K52" s="167">
        <v>27937</v>
      </c>
      <c r="L52" s="167"/>
      <c r="M52" s="167">
        <v>562483</v>
      </c>
      <c r="N52" s="167">
        <f t="shared" si="11"/>
        <v>590420</v>
      </c>
      <c r="O52" s="168"/>
      <c r="P52" s="81"/>
      <c r="Q52" s="31"/>
      <c r="R52" s="208"/>
      <c r="S52" s="165">
        <f t="shared" ref="S52:S69" si="14">K52</f>
        <v>27937</v>
      </c>
      <c r="T52" s="165">
        <f t="shared" si="12"/>
        <v>0</v>
      </c>
      <c r="U52" s="169">
        <f t="shared" ref="U52:U69" si="15">M52</f>
        <v>562483</v>
      </c>
      <c r="V52" s="165">
        <f t="shared" si="13"/>
        <v>0</v>
      </c>
    </row>
    <row r="53" spans="1:22">
      <c r="A53" s="1" t="s">
        <v>199</v>
      </c>
      <c r="B53" s="72" t="s">
        <v>200</v>
      </c>
      <c r="C53" s="53"/>
      <c r="D53" s="36"/>
      <c r="E53" s="36" t="s">
        <v>201</v>
      </c>
      <c r="F53" s="36"/>
      <c r="G53" s="36"/>
      <c r="H53" s="36"/>
      <c r="I53" s="36"/>
      <c r="J53" s="36"/>
      <c r="K53" s="167">
        <v>69347483.669999987</v>
      </c>
      <c r="L53" s="167"/>
      <c r="M53" s="167">
        <v>0</v>
      </c>
      <c r="N53" s="167">
        <f t="shared" si="11"/>
        <v>69347484</v>
      </c>
      <c r="O53" s="168"/>
      <c r="P53" s="81"/>
      <c r="Q53" s="31"/>
      <c r="R53" s="208"/>
      <c r="S53" s="165">
        <f t="shared" si="14"/>
        <v>69347483.669999987</v>
      </c>
      <c r="T53" s="165">
        <f t="shared" si="12"/>
        <v>0.33000001311302185</v>
      </c>
      <c r="U53" s="169">
        <f t="shared" si="15"/>
        <v>0</v>
      </c>
      <c r="V53" s="165">
        <f t="shared" si="13"/>
        <v>0</v>
      </c>
    </row>
    <row r="54" spans="1:22">
      <c r="A54" s="1" t="s">
        <v>202</v>
      </c>
      <c r="B54" s="72" t="s">
        <v>203</v>
      </c>
      <c r="C54" s="53"/>
      <c r="D54" s="36"/>
      <c r="E54" s="36" t="s">
        <v>204</v>
      </c>
      <c r="F54" s="36"/>
      <c r="G54" s="36"/>
      <c r="H54" s="36"/>
      <c r="I54" s="36"/>
      <c r="J54" s="36"/>
      <c r="K54" s="167">
        <v>5903668.0200000005</v>
      </c>
      <c r="L54" s="167"/>
      <c r="M54" s="167">
        <v>0</v>
      </c>
      <c r="N54" s="167">
        <f t="shared" si="11"/>
        <v>5903668</v>
      </c>
      <c r="O54" s="168"/>
      <c r="P54" s="81"/>
      <c r="Q54" s="31"/>
      <c r="R54" s="208"/>
      <c r="S54" s="165">
        <f t="shared" si="14"/>
        <v>5903668.0200000005</v>
      </c>
      <c r="T54" s="165">
        <f t="shared" si="12"/>
        <v>-2.0000000484287739E-2</v>
      </c>
      <c r="U54" s="169">
        <f t="shared" si="15"/>
        <v>0</v>
      </c>
      <c r="V54" s="165">
        <f t="shared" si="13"/>
        <v>0</v>
      </c>
    </row>
    <row r="55" spans="1:22">
      <c r="A55" s="1" t="s">
        <v>205</v>
      </c>
      <c r="B55" s="72" t="s">
        <v>206</v>
      </c>
      <c r="C55" s="53"/>
      <c r="D55" s="36"/>
      <c r="E55" s="36" t="s">
        <v>207</v>
      </c>
      <c r="F55" s="36"/>
      <c r="G55" s="36"/>
      <c r="H55" s="36"/>
      <c r="I55" s="36"/>
      <c r="J55" s="36"/>
      <c r="K55" s="167">
        <v>3660482.7199999997</v>
      </c>
      <c r="L55" s="167"/>
      <c r="M55" s="167">
        <v>308614</v>
      </c>
      <c r="N55" s="167">
        <f t="shared" si="11"/>
        <v>3969097</v>
      </c>
      <c r="O55" s="168"/>
      <c r="P55" s="81"/>
      <c r="Q55" s="31"/>
      <c r="S55" s="165">
        <f t="shared" si="14"/>
        <v>3660482.7199999997</v>
      </c>
      <c r="T55" s="165">
        <f t="shared" si="12"/>
        <v>0.28000000026077032</v>
      </c>
      <c r="U55" s="169">
        <f t="shared" si="15"/>
        <v>308614</v>
      </c>
      <c r="V55" s="165">
        <f t="shared" si="13"/>
        <v>0</v>
      </c>
    </row>
    <row r="56" spans="1:22">
      <c r="A56" s="1" t="s">
        <v>208</v>
      </c>
      <c r="B56" s="72" t="s">
        <v>209</v>
      </c>
      <c r="C56" s="53"/>
      <c r="D56" s="36"/>
      <c r="E56" s="36" t="s">
        <v>210</v>
      </c>
      <c r="F56" s="36"/>
      <c r="G56" s="36"/>
      <c r="H56" s="36"/>
      <c r="I56" s="36"/>
      <c r="J56" s="36"/>
      <c r="K56" s="167">
        <v>2600984.9899999998</v>
      </c>
      <c r="L56" s="167"/>
      <c r="M56" s="167">
        <v>3991761.4</v>
      </c>
      <c r="N56" s="167">
        <f t="shared" si="11"/>
        <v>6592746</v>
      </c>
      <c r="O56" s="168"/>
      <c r="P56" s="81"/>
      <c r="Q56" s="31"/>
      <c r="R56" s="208"/>
      <c r="S56" s="165">
        <f t="shared" si="14"/>
        <v>2600984.9899999998</v>
      </c>
      <c r="T56" s="165">
        <f t="shared" si="12"/>
        <v>1.0000000242143869E-2</v>
      </c>
      <c r="U56" s="169">
        <f t="shared" si="15"/>
        <v>3991761.4</v>
      </c>
      <c r="V56" s="165">
        <f t="shared" si="13"/>
        <v>-0.39999999990686774</v>
      </c>
    </row>
    <row r="57" spans="1:22">
      <c r="A57" s="1" t="s">
        <v>211</v>
      </c>
      <c r="B57" s="72" t="s">
        <v>212</v>
      </c>
      <c r="C57" s="53"/>
      <c r="D57" s="36"/>
      <c r="E57" s="199" t="s">
        <v>213</v>
      </c>
      <c r="F57" s="199"/>
      <c r="G57" s="199"/>
      <c r="H57" s="36"/>
      <c r="I57" s="36"/>
      <c r="J57" s="36"/>
      <c r="K57" s="167">
        <v>36206333.030000001</v>
      </c>
      <c r="L57" s="167"/>
      <c r="M57" s="167">
        <v>652445.26</v>
      </c>
      <c r="N57" s="167">
        <f t="shared" si="11"/>
        <v>36858778</v>
      </c>
      <c r="O57" s="168"/>
      <c r="P57" s="81"/>
      <c r="Q57" s="31"/>
      <c r="R57" s="208"/>
      <c r="S57" s="165">
        <f t="shared" si="14"/>
        <v>36206333.030000001</v>
      </c>
      <c r="T57" s="165">
        <f t="shared" si="12"/>
        <v>-3.0000001192092896E-2</v>
      </c>
      <c r="U57" s="169">
        <f t="shared" si="15"/>
        <v>652445.26</v>
      </c>
      <c r="V57" s="165">
        <f t="shared" si="13"/>
        <v>-0.26000000000931323</v>
      </c>
    </row>
    <row r="58" spans="1:22">
      <c r="A58" s="1" t="s">
        <v>214</v>
      </c>
      <c r="B58" s="72" t="s">
        <v>215</v>
      </c>
      <c r="C58" s="53"/>
      <c r="D58" s="36"/>
      <c r="E58" s="36" t="s">
        <v>216</v>
      </c>
      <c r="F58" s="36"/>
      <c r="G58" s="36"/>
      <c r="H58" s="36"/>
      <c r="I58" s="36"/>
      <c r="J58" s="36"/>
      <c r="K58" s="167">
        <v>18956480.93</v>
      </c>
      <c r="L58" s="167"/>
      <c r="M58" s="167">
        <v>43403</v>
      </c>
      <c r="N58" s="167">
        <f t="shared" si="11"/>
        <v>18999884</v>
      </c>
      <c r="O58" s="168"/>
      <c r="P58" s="81"/>
      <c r="Q58" s="31"/>
      <c r="R58" s="208"/>
      <c r="S58" s="165">
        <f t="shared" si="14"/>
        <v>18956480.93</v>
      </c>
      <c r="T58" s="165">
        <f t="shared" si="12"/>
        <v>7.0000000298023224E-2</v>
      </c>
      <c r="U58" s="169">
        <f t="shared" si="15"/>
        <v>43403</v>
      </c>
      <c r="V58" s="165">
        <f t="shared" si="13"/>
        <v>0</v>
      </c>
    </row>
    <row r="59" spans="1:22">
      <c r="A59" s="1" t="s">
        <v>217</v>
      </c>
      <c r="B59" s="72">
        <v>33100</v>
      </c>
      <c r="C59" s="53"/>
      <c r="D59" s="36"/>
      <c r="E59" s="36" t="s">
        <v>218</v>
      </c>
      <c r="F59" s="36"/>
      <c r="G59" s="36"/>
      <c r="H59" s="36"/>
      <c r="I59" s="36"/>
      <c r="J59" s="36"/>
      <c r="K59" s="167">
        <v>132257834.55999997</v>
      </c>
      <c r="L59" s="167"/>
      <c r="M59" s="167">
        <v>35819737</v>
      </c>
      <c r="N59" s="167">
        <f t="shared" si="11"/>
        <v>168077572</v>
      </c>
      <c r="O59" s="168"/>
      <c r="P59" s="81"/>
      <c r="Q59" s="31"/>
      <c r="R59" s="208"/>
      <c r="S59" s="165">
        <f t="shared" si="14"/>
        <v>132257834.55999997</v>
      </c>
      <c r="T59" s="165">
        <f t="shared" si="12"/>
        <v>0.4400000274181366</v>
      </c>
      <c r="U59" s="169">
        <f t="shared" si="15"/>
        <v>35819737</v>
      </c>
      <c r="V59" s="165">
        <f t="shared" si="13"/>
        <v>0</v>
      </c>
    </row>
    <row r="60" spans="1:22">
      <c r="B60" s="72"/>
      <c r="C60" s="53"/>
      <c r="D60" s="36"/>
      <c r="E60" s="36" t="s">
        <v>219</v>
      </c>
      <c r="F60" s="36"/>
      <c r="G60" s="36"/>
      <c r="H60" s="36"/>
      <c r="I60" s="36"/>
      <c r="J60" s="36"/>
      <c r="K60" s="167">
        <v>0</v>
      </c>
      <c r="L60" s="167"/>
      <c r="M60" s="167">
        <v>0</v>
      </c>
      <c r="N60" s="81"/>
      <c r="O60" s="49"/>
      <c r="P60" s="81"/>
      <c r="Q60" s="31"/>
      <c r="R60" s="208"/>
      <c r="S60" s="165">
        <f t="shared" si="14"/>
        <v>0</v>
      </c>
      <c r="T60" s="165">
        <f t="shared" si="12"/>
        <v>0</v>
      </c>
      <c r="U60" s="169">
        <f t="shared" si="15"/>
        <v>0</v>
      </c>
      <c r="V60" s="165">
        <f t="shared" si="13"/>
        <v>0</v>
      </c>
    </row>
    <row r="61" spans="1:22">
      <c r="A61" s="1" t="s">
        <v>220</v>
      </c>
      <c r="B61" s="72" t="s">
        <v>221</v>
      </c>
      <c r="C61" s="53"/>
      <c r="D61" s="36"/>
      <c r="E61" s="36"/>
      <c r="F61" s="36" t="s">
        <v>222</v>
      </c>
      <c r="G61" s="36"/>
      <c r="H61" s="36"/>
      <c r="I61" s="36"/>
      <c r="J61" s="36"/>
      <c r="K61" s="167">
        <v>10960936</v>
      </c>
      <c r="L61" s="167"/>
      <c r="M61" s="167">
        <v>8825185</v>
      </c>
      <c r="N61" s="167">
        <f t="shared" ref="N61:N69" si="16">ROUND(M61,0)+ROUND(K61,0)</f>
        <v>19786121</v>
      </c>
      <c r="O61" s="168"/>
      <c r="P61" s="81"/>
      <c r="Q61" s="31"/>
      <c r="R61" s="208"/>
      <c r="S61" s="165">
        <f t="shared" si="14"/>
        <v>10960936</v>
      </c>
      <c r="T61" s="165">
        <f t="shared" si="12"/>
        <v>0</v>
      </c>
      <c r="U61" s="169">
        <f t="shared" si="15"/>
        <v>8825185</v>
      </c>
      <c r="V61" s="165">
        <f t="shared" si="13"/>
        <v>0</v>
      </c>
    </row>
    <row r="62" spans="1:22">
      <c r="A62" s="1" t="s">
        <v>223</v>
      </c>
      <c r="B62" s="72" t="s">
        <v>224</v>
      </c>
      <c r="C62" s="53"/>
      <c r="D62" s="36"/>
      <c r="E62" s="36"/>
      <c r="F62" s="36" t="s">
        <v>225</v>
      </c>
      <c r="G62" s="36"/>
      <c r="H62" s="36"/>
      <c r="I62" s="36"/>
      <c r="J62" s="36"/>
      <c r="K62" s="167">
        <v>8214020.3100000005</v>
      </c>
      <c r="L62" s="167"/>
      <c r="M62" s="167">
        <v>2220971</v>
      </c>
      <c r="N62" s="167">
        <f t="shared" si="16"/>
        <v>10434991</v>
      </c>
      <c r="O62" s="168"/>
      <c r="P62" s="81"/>
      <c r="Q62" s="31"/>
      <c r="S62" s="165">
        <f t="shared" si="14"/>
        <v>8214020.3100000005</v>
      </c>
      <c r="T62" s="165">
        <f t="shared" si="12"/>
        <v>-0.31000000052154064</v>
      </c>
      <c r="U62" s="169">
        <f t="shared" si="15"/>
        <v>2220971</v>
      </c>
      <c r="V62" s="165">
        <f t="shared" si="13"/>
        <v>0</v>
      </c>
    </row>
    <row r="63" spans="1:22">
      <c r="A63" s="1" t="s">
        <v>226</v>
      </c>
      <c r="B63" s="72" t="s">
        <v>227</v>
      </c>
      <c r="C63" s="53"/>
      <c r="D63" s="36"/>
      <c r="E63" s="36"/>
      <c r="F63" s="36" t="s">
        <v>228</v>
      </c>
      <c r="G63" s="36"/>
      <c r="H63" s="36"/>
      <c r="I63" s="36"/>
      <c r="J63" s="36"/>
      <c r="K63" s="167">
        <v>0</v>
      </c>
      <c r="L63" s="167"/>
      <c r="M63" s="167">
        <v>0</v>
      </c>
      <c r="N63" s="167">
        <f t="shared" si="16"/>
        <v>0</v>
      </c>
      <c r="O63" s="168"/>
      <c r="P63" s="81"/>
      <c r="Q63" s="31"/>
      <c r="S63" s="165">
        <f t="shared" si="14"/>
        <v>0</v>
      </c>
      <c r="T63" s="165">
        <f t="shared" si="12"/>
        <v>0</v>
      </c>
      <c r="U63" s="169">
        <f t="shared" si="15"/>
        <v>0</v>
      </c>
      <c r="V63" s="165">
        <f t="shared" si="13"/>
        <v>0</v>
      </c>
    </row>
    <row r="64" spans="1:22">
      <c r="A64" s="1" t="s">
        <v>229</v>
      </c>
      <c r="B64" s="72" t="s">
        <v>230</v>
      </c>
      <c r="C64" s="53"/>
      <c r="D64" s="36"/>
      <c r="E64" s="36"/>
      <c r="F64" s="36" t="s">
        <v>231</v>
      </c>
      <c r="G64" s="36"/>
      <c r="H64" s="36"/>
      <c r="I64" s="36"/>
      <c r="J64" s="36"/>
      <c r="K64" s="167">
        <v>3389871.02</v>
      </c>
      <c r="L64" s="167"/>
      <c r="M64" s="167">
        <v>0</v>
      </c>
      <c r="N64" s="167">
        <f t="shared" si="16"/>
        <v>3389871</v>
      </c>
      <c r="O64" s="168"/>
      <c r="P64" s="81"/>
      <c r="Q64" s="31"/>
      <c r="S64" s="165">
        <f t="shared" si="14"/>
        <v>3389871.02</v>
      </c>
      <c r="T64" s="165">
        <f t="shared" si="12"/>
        <v>-2.0000000018626451E-2</v>
      </c>
      <c r="U64" s="169">
        <f t="shared" si="15"/>
        <v>0</v>
      </c>
      <c r="V64" s="165">
        <f t="shared" si="13"/>
        <v>0</v>
      </c>
    </row>
    <row r="65" spans="1:22">
      <c r="A65" s="1" t="s">
        <v>232</v>
      </c>
      <c r="B65" s="72" t="s">
        <v>224</v>
      </c>
      <c r="C65" s="53"/>
      <c r="D65" s="36"/>
      <c r="E65" s="36"/>
      <c r="F65" s="36" t="s">
        <v>233</v>
      </c>
      <c r="G65" s="36"/>
      <c r="H65" s="36"/>
      <c r="I65" s="36"/>
      <c r="J65" s="36"/>
      <c r="K65" s="167">
        <v>841300.92999999993</v>
      </c>
      <c r="L65" s="167"/>
      <c r="M65" s="167">
        <v>0</v>
      </c>
      <c r="N65" s="167">
        <f t="shared" si="16"/>
        <v>841301</v>
      </c>
      <c r="O65" s="168"/>
      <c r="P65" s="81"/>
      <c r="Q65" s="31"/>
      <c r="S65" s="165">
        <f t="shared" si="14"/>
        <v>841300.92999999993</v>
      </c>
      <c r="T65" s="165">
        <f t="shared" si="12"/>
        <v>7.000000006519258E-2</v>
      </c>
      <c r="U65" s="169">
        <f t="shared" si="15"/>
        <v>0</v>
      </c>
      <c r="V65" s="165">
        <f t="shared" si="13"/>
        <v>0</v>
      </c>
    </row>
    <row r="66" spans="1:22">
      <c r="A66" s="1" t="s">
        <v>234</v>
      </c>
      <c r="B66" s="72" t="s">
        <v>235</v>
      </c>
      <c r="C66" s="53"/>
      <c r="D66" s="36"/>
      <c r="E66" s="36"/>
      <c r="F66" s="36" t="s">
        <v>236</v>
      </c>
      <c r="G66" s="36"/>
      <c r="H66" s="36"/>
      <c r="I66" s="36"/>
      <c r="J66" s="36"/>
      <c r="K66" s="167">
        <v>29315330.459999997</v>
      </c>
      <c r="L66" s="167"/>
      <c r="M66" s="167">
        <v>0</v>
      </c>
      <c r="N66" s="167">
        <f t="shared" si="16"/>
        <v>29315330</v>
      </c>
      <c r="O66" s="168"/>
      <c r="P66" s="81"/>
      <c r="Q66" s="31"/>
      <c r="S66" s="165">
        <f t="shared" si="14"/>
        <v>29315330.459999997</v>
      </c>
      <c r="T66" s="165">
        <f t="shared" si="12"/>
        <v>-0.45999999716877937</v>
      </c>
      <c r="U66" s="169">
        <f t="shared" si="15"/>
        <v>0</v>
      </c>
      <c r="V66" s="165">
        <f t="shared" si="13"/>
        <v>0</v>
      </c>
    </row>
    <row r="67" spans="1:22">
      <c r="B67" s="72"/>
      <c r="C67" s="53"/>
      <c r="D67" s="36"/>
      <c r="E67" s="36"/>
      <c r="F67" s="36" t="s">
        <v>304</v>
      </c>
      <c r="G67" s="36"/>
      <c r="H67" s="36"/>
      <c r="I67" s="36"/>
      <c r="J67" s="36"/>
      <c r="K67" s="167">
        <v>4045111</v>
      </c>
      <c r="L67" s="167"/>
      <c r="M67" s="167">
        <v>0</v>
      </c>
      <c r="N67" s="167">
        <f t="shared" si="16"/>
        <v>4045111</v>
      </c>
      <c r="O67" s="168"/>
      <c r="P67" s="81"/>
      <c r="Q67" s="31"/>
      <c r="U67" s="169"/>
    </row>
    <row r="68" spans="1:22">
      <c r="B68" s="72"/>
      <c r="C68" s="53"/>
      <c r="D68" s="36"/>
      <c r="E68" s="36"/>
      <c r="F68" s="36" t="s">
        <v>305</v>
      </c>
      <c r="G68" s="36"/>
      <c r="H68" s="36"/>
      <c r="I68" s="36"/>
      <c r="J68" s="36"/>
      <c r="K68" s="167">
        <v>11014277</v>
      </c>
      <c r="L68" s="167"/>
      <c r="M68" s="167">
        <v>0</v>
      </c>
      <c r="N68" s="167">
        <f t="shared" si="16"/>
        <v>11014277</v>
      </c>
      <c r="O68" s="168"/>
      <c r="P68" s="81"/>
      <c r="Q68" s="31"/>
      <c r="U68" s="169"/>
    </row>
    <row r="69" spans="1:22">
      <c r="A69" s="1" t="s">
        <v>237</v>
      </c>
      <c r="B69" s="72" t="s">
        <v>224</v>
      </c>
      <c r="C69" s="53"/>
      <c r="D69" s="36"/>
      <c r="E69" s="36"/>
      <c r="F69" s="36" t="s">
        <v>238</v>
      </c>
      <c r="G69" s="36"/>
      <c r="H69" s="36"/>
      <c r="I69" s="36"/>
      <c r="J69" s="36"/>
      <c r="K69" s="134">
        <v>337802</v>
      </c>
      <c r="L69" s="167"/>
      <c r="M69" s="134">
        <v>351736</v>
      </c>
      <c r="N69" s="134">
        <f t="shared" si="16"/>
        <v>689538</v>
      </c>
      <c r="O69" s="168"/>
      <c r="P69" s="81"/>
      <c r="Q69" s="31"/>
      <c r="S69" s="165">
        <f t="shared" si="14"/>
        <v>337802</v>
      </c>
      <c r="T69" s="165">
        <f t="shared" si="12"/>
        <v>0</v>
      </c>
      <c r="U69" s="169">
        <f t="shared" si="15"/>
        <v>351736</v>
      </c>
      <c r="V69" s="165">
        <f t="shared" si="13"/>
        <v>0</v>
      </c>
    </row>
    <row r="70" spans="1:22" s="64" customFormat="1" ht="7.5" customHeight="1">
      <c r="A70" s="12"/>
      <c r="B70" s="117"/>
      <c r="C70" s="71"/>
      <c r="D70" s="36"/>
      <c r="E70" s="36"/>
      <c r="F70" s="36"/>
      <c r="G70" s="36"/>
      <c r="H70" s="36"/>
      <c r="I70" s="36"/>
      <c r="J70" s="59"/>
      <c r="K70" s="59"/>
      <c r="L70" s="59"/>
      <c r="M70" s="60"/>
      <c r="N70" s="60"/>
      <c r="O70" s="60"/>
      <c r="P70" s="61"/>
      <c r="Q70" s="173"/>
      <c r="R70" s="174"/>
      <c r="S70" s="175"/>
      <c r="T70" s="175"/>
      <c r="U70" s="176"/>
      <c r="V70" s="175"/>
    </row>
    <row r="71" spans="1:22">
      <c r="A71" s="1" t="s">
        <v>239</v>
      </c>
      <c r="B71" s="72"/>
      <c r="C71" s="53"/>
      <c r="D71" s="36"/>
      <c r="E71" s="101" t="s">
        <v>240</v>
      </c>
      <c r="F71" s="36"/>
      <c r="G71" s="36"/>
      <c r="H71" s="36"/>
      <c r="I71" s="36"/>
      <c r="J71" s="36"/>
      <c r="K71" s="177">
        <f t="array" ref="K71">SUM(ROUND(K51:K69,0))</f>
        <v>379520841</v>
      </c>
      <c r="L71" s="92"/>
      <c r="M71" s="177">
        <f t="array" ref="M71">SUM(ROUND(M51:M69,0))</f>
        <v>56026116</v>
      </c>
      <c r="N71" s="177">
        <f t="array" ref="N71">SUM(ROUND(N51:N69,0))</f>
        <v>435546957</v>
      </c>
      <c r="O71" s="49"/>
      <c r="P71" s="81"/>
      <c r="Q71" s="31"/>
      <c r="S71" s="178">
        <f>SUM(S51:S69)</f>
        <v>364461452.70999992</v>
      </c>
      <c r="T71" s="178">
        <f>K71-S71</f>
        <v>15059388.290000081</v>
      </c>
      <c r="U71" s="178">
        <f>SUM(U51:U69)</f>
        <v>56026116.939999998</v>
      </c>
      <c r="V71" s="178">
        <f>U71-M71</f>
        <v>0.93999999761581421</v>
      </c>
    </row>
    <row r="72" spans="1:22" s="64" customFormat="1">
      <c r="A72" s="12"/>
      <c r="B72" s="117"/>
      <c r="C72" s="71"/>
      <c r="D72" s="36"/>
      <c r="E72" s="36"/>
      <c r="F72" s="36"/>
      <c r="G72" s="36"/>
      <c r="H72" s="36"/>
      <c r="I72" s="36"/>
      <c r="J72" s="59"/>
      <c r="K72" s="59"/>
      <c r="L72" s="59"/>
      <c r="M72" s="60"/>
      <c r="N72" s="60"/>
      <c r="O72" s="60"/>
      <c r="P72" s="61"/>
      <c r="Q72" s="173"/>
      <c r="R72" s="174"/>
      <c r="S72" s="175"/>
      <c r="T72" s="175"/>
      <c r="U72" s="176"/>
      <c r="V72" s="175"/>
    </row>
    <row r="73" spans="1:22">
      <c r="B73" s="72"/>
      <c r="C73" s="53"/>
      <c r="D73" s="256" t="str">
        <f>D3</f>
        <v>FLORIDA COLLEGE SYSTEM - ALL COLLEGES</v>
      </c>
      <c r="E73" s="256"/>
      <c r="F73" s="256"/>
      <c r="G73" s="256"/>
      <c r="H73" s="256"/>
      <c r="I73" s="256"/>
      <c r="J73" s="256"/>
      <c r="K73" s="256"/>
      <c r="L73" s="256"/>
      <c r="M73" s="256"/>
      <c r="N73" s="245"/>
      <c r="O73" s="245"/>
      <c r="P73" s="7"/>
      <c r="Q73" s="31"/>
      <c r="T73" s="197"/>
      <c r="U73" s="197"/>
    </row>
    <row r="74" spans="1:22">
      <c r="B74" s="72"/>
      <c r="C74" s="53"/>
      <c r="D74" s="256" t="s">
        <v>0</v>
      </c>
      <c r="E74" s="256"/>
      <c r="F74" s="256"/>
      <c r="G74" s="256"/>
      <c r="H74" s="256"/>
      <c r="I74" s="256"/>
      <c r="J74" s="256"/>
      <c r="K74" s="256"/>
      <c r="L74" s="256"/>
      <c r="M74" s="256"/>
      <c r="N74" s="245"/>
      <c r="O74" s="245"/>
      <c r="P74" s="7"/>
      <c r="Q74" s="31"/>
      <c r="T74" s="197"/>
      <c r="U74" s="197"/>
    </row>
    <row r="75" spans="1:22">
      <c r="B75" s="72"/>
      <c r="C75" s="53"/>
      <c r="D75" s="256" t="s">
        <v>241</v>
      </c>
      <c r="E75" s="256"/>
      <c r="F75" s="256"/>
      <c r="G75" s="256"/>
      <c r="H75" s="256"/>
      <c r="I75" s="256"/>
      <c r="J75" s="256"/>
      <c r="K75" s="256"/>
      <c r="L75" s="256"/>
      <c r="M75" s="256"/>
      <c r="N75" s="245"/>
      <c r="O75" s="245"/>
      <c r="P75" s="7"/>
      <c r="Q75" s="31"/>
      <c r="T75" s="197"/>
      <c r="U75" s="197"/>
    </row>
    <row r="76" spans="1:22">
      <c r="B76" s="72"/>
      <c r="C76" s="53"/>
      <c r="D76" s="253">
        <f>D6</f>
        <v>42185</v>
      </c>
      <c r="E76" s="253"/>
      <c r="F76" s="253"/>
      <c r="G76" s="253"/>
      <c r="H76" s="253"/>
      <c r="I76" s="253"/>
      <c r="J76" s="253"/>
      <c r="K76" s="253"/>
      <c r="L76" s="253"/>
      <c r="M76" s="253"/>
      <c r="N76" s="243"/>
      <c r="O76" s="212"/>
      <c r="P76" s="213"/>
      <c r="Q76" s="31"/>
      <c r="T76" s="197"/>
      <c r="U76" s="197"/>
    </row>
    <row r="77" spans="1:22" s="64" customFormat="1" ht="9" customHeight="1">
      <c r="A77" s="12"/>
      <c r="B77" s="117"/>
      <c r="C77" s="71"/>
      <c r="D77" s="36"/>
      <c r="E77" s="36"/>
      <c r="F77" s="36"/>
      <c r="G77" s="36"/>
      <c r="H77" s="36"/>
      <c r="I77" s="59"/>
      <c r="J77" s="59"/>
      <c r="K77" s="59"/>
      <c r="L77" s="60"/>
      <c r="M77" s="60"/>
      <c r="N77" s="60"/>
      <c r="O77" s="60"/>
      <c r="P77" s="61"/>
      <c r="Q77" s="173"/>
      <c r="R77" s="174"/>
      <c r="S77" s="254" t="s">
        <v>135</v>
      </c>
      <c r="T77" s="254"/>
      <c r="U77" s="254"/>
      <c r="V77" s="254"/>
    </row>
    <row r="78" spans="1:22">
      <c r="B78" s="72"/>
      <c r="C78" s="53"/>
      <c r="D78" s="245"/>
      <c r="E78" s="245"/>
      <c r="F78" s="245"/>
      <c r="G78" s="245"/>
      <c r="H78" s="245"/>
      <c r="I78" s="245"/>
      <c r="J78" s="245"/>
      <c r="K78" s="214" t="s">
        <v>5</v>
      </c>
      <c r="L78" s="215"/>
      <c r="M78" s="216" t="s">
        <v>6</v>
      </c>
      <c r="N78" s="216" t="s">
        <v>7</v>
      </c>
      <c r="O78" s="216"/>
      <c r="P78" s="27"/>
      <c r="Q78" s="31"/>
      <c r="S78" s="255"/>
      <c r="T78" s="255"/>
      <c r="U78" s="255"/>
      <c r="V78" s="255"/>
    </row>
    <row r="79" spans="1:22">
      <c r="B79" s="72"/>
      <c r="C79" s="53"/>
      <c r="D79" s="101"/>
      <c r="E79" s="101"/>
      <c r="F79" s="101"/>
      <c r="G79" s="101"/>
      <c r="H79" s="101"/>
      <c r="I79" s="101"/>
      <c r="J79" s="101"/>
      <c r="K79" s="26"/>
      <c r="L79" s="215"/>
      <c r="M79" s="26" t="str">
        <f>M9</f>
        <v>Unit</v>
      </c>
      <c r="N79" s="26"/>
      <c r="O79" s="153"/>
      <c r="P79" s="27"/>
      <c r="Q79" s="31"/>
      <c r="S79" s="39" t="s">
        <v>5</v>
      </c>
      <c r="T79" s="40" t="s">
        <v>15</v>
      </c>
      <c r="U79" s="41" t="s">
        <v>16</v>
      </c>
      <c r="V79" s="42" t="s">
        <v>15</v>
      </c>
    </row>
    <row r="80" spans="1:22">
      <c r="B80" s="72"/>
      <c r="C80" s="53"/>
      <c r="D80" s="36" t="s">
        <v>242</v>
      </c>
      <c r="E80" s="36"/>
      <c r="F80" s="36"/>
      <c r="G80" s="36"/>
      <c r="H80" s="36"/>
      <c r="I80" s="36"/>
      <c r="J80" s="36"/>
      <c r="K80" s="59"/>
      <c r="L80" s="59"/>
      <c r="M80" s="59"/>
      <c r="N80" s="59"/>
      <c r="O80" s="59"/>
      <c r="P80" s="77"/>
      <c r="Q80" s="31"/>
      <c r="U80" s="169"/>
    </row>
    <row r="81" spans="1:22">
      <c r="A81" s="52" t="s">
        <v>243</v>
      </c>
      <c r="B81" s="160" t="s">
        <v>244</v>
      </c>
      <c r="C81" s="160"/>
      <c r="D81" s="36"/>
      <c r="E81" s="36" t="s">
        <v>222</v>
      </c>
      <c r="F81" s="36"/>
      <c r="G81" s="36"/>
      <c r="H81" s="36"/>
      <c r="I81" s="36"/>
      <c r="J81" s="36"/>
      <c r="K81" s="162">
        <v>134840172</v>
      </c>
      <c r="L81" s="162"/>
      <c r="M81" s="162">
        <v>16490006</v>
      </c>
      <c r="N81" s="162">
        <f t="shared" ref="N81:N90" si="17">ROUND(M81,0)+ROUND(K81,0)</f>
        <v>151330178</v>
      </c>
      <c r="O81" s="163"/>
      <c r="P81" s="164"/>
      <c r="Q81" s="31"/>
      <c r="S81" s="165">
        <f t="shared" ref="S81:S90" si="18">K81</f>
        <v>134840172</v>
      </c>
      <c r="T81" s="165">
        <f t="shared" ref="T81:T90" si="19">ROUND(S81,0)-S81</f>
        <v>0</v>
      </c>
      <c r="U81" s="169">
        <f t="shared" ref="U81:U90" si="20">M81</f>
        <v>16490006</v>
      </c>
      <c r="V81" s="165">
        <f t="shared" ref="V81:V90" si="21">ROUND(U81,0)-U81</f>
        <v>0</v>
      </c>
    </row>
    <row r="82" spans="1:22">
      <c r="A82" s="52" t="s">
        <v>245</v>
      </c>
      <c r="B82" s="53" t="s">
        <v>246</v>
      </c>
      <c r="C82" s="53"/>
      <c r="D82" s="36"/>
      <c r="E82" s="36" t="s">
        <v>225</v>
      </c>
      <c r="F82" s="36"/>
      <c r="G82" s="36"/>
      <c r="H82" s="36"/>
      <c r="I82" s="36"/>
      <c r="J82" s="36"/>
      <c r="K82" s="167">
        <v>44604931.850000001</v>
      </c>
      <c r="L82" s="167"/>
      <c r="M82" s="167">
        <v>7272990</v>
      </c>
      <c r="N82" s="167">
        <f t="shared" si="17"/>
        <v>51877922</v>
      </c>
      <c r="O82" s="168"/>
      <c r="P82" s="81"/>
      <c r="Q82" s="31"/>
      <c r="S82" s="165">
        <f t="shared" si="18"/>
        <v>44604931.850000001</v>
      </c>
      <c r="T82" s="165">
        <f t="shared" si="19"/>
        <v>0.14999999850988388</v>
      </c>
      <c r="U82" s="169">
        <f t="shared" si="20"/>
        <v>7272990</v>
      </c>
      <c r="V82" s="165">
        <f t="shared" si="21"/>
        <v>0</v>
      </c>
    </row>
    <row r="83" spans="1:22">
      <c r="A83" s="52" t="s">
        <v>247</v>
      </c>
      <c r="B83" s="53" t="s">
        <v>248</v>
      </c>
      <c r="C83" s="53"/>
      <c r="D83" s="36"/>
      <c r="E83" s="36" t="s">
        <v>228</v>
      </c>
      <c r="F83" s="36"/>
      <c r="G83" s="36"/>
      <c r="H83" s="36"/>
      <c r="I83" s="36"/>
      <c r="J83" s="36"/>
      <c r="K83" s="167">
        <v>0</v>
      </c>
      <c r="L83" s="167"/>
      <c r="M83" s="167">
        <v>0</v>
      </c>
      <c r="N83" s="167">
        <f t="shared" si="17"/>
        <v>0</v>
      </c>
      <c r="O83" s="168"/>
      <c r="P83" s="81"/>
      <c r="Q83" s="31"/>
      <c r="S83" s="165">
        <f t="shared" si="18"/>
        <v>0</v>
      </c>
      <c r="T83" s="165">
        <f t="shared" si="19"/>
        <v>0</v>
      </c>
      <c r="U83" s="169">
        <f t="shared" si="20"/>
        <v>0</v>
      </c>
      <c r="V83" s="165">
        <f t="shared" si="21"/>
        <v>0</v>
      </c>
    </row>
    <row r="84" spans="1:22">
      <c r="A84" s="52" t="s">
        <v>249</v>
      </c>
      <c r="B84" s="53" t="s">
        <v>250</v>
      </c>
      <c r="C84" s="53"/>
      <c r="D84" s="36"/>
      <c r="E84" s="36" t="s">
        <v>231</v>
      </c>
      <c r="F84" s="36"/>
      <c r="G84" s="36"/>
      <c r="H84" s="36"/>
      <c r="I84" s="36"/>
      <c r="J84" s="36"/>
      <c r="K84" s="167">
        <v>10563655.02</v>
      </c>
      <c r="L84" s="167"/>
      <c r="M84" s="167">
        <v>0</v>
      </c>
      <c r="N84" s="167">
        <f t="shared" si="17"/>
        <v>10563655</v>
      </c>
      <c r="O84" s="168"/>
      <c r="P84" s="81"/>
      <c r="Q84" s="31"/>
      <c r="S84" s="165">
        <f t="shared" si="18"/>
        <v>10563655.02</v>
      </c>
      <c r="T84" s="165">
        <f t="shared" si="19"/>
        <v>-1.9999999552965164E-2</v>
      </c>
      <c r="U84" s="169">
        <f t="shared" si="20"/>
        <v>0</v>
      </c>
      <c r="V84" s="165">
        <f t="shared" si="21"/>
        <v>0</v>
      </c>
    </row>
    <row r="85" spans="1:22">
      <c r="A85" s="52" t="s">
        <v>251</v>
      </c>
      <c r="B85" s="53" t="s">
        <v>246</v>
      </c>
      <c r="C85" s="53"/>
      <c r="D85" s="36"/>
      <c r="E85" s="36" t="s">
        <v>233</v>
      </c>
      <c r="F85" s="36"/>
      <c r="G85" s="36"/>
      <c r="H85" s="36"/>
      <c r="I85" s="36"/>
      <c r="J85" s="36"/>
      <c r="K85" s="167">
        <v>3419577.04</v>
      </c>
      <c r="L85" s="167"/>
      <c r="M85" s="167">
        <v>0</v>
      </c>
      <c r="N85" s="167">
        <f t="shared" si="17"/>
        <v>3419577</v>
      </c>
      <c r="O85" s="168"/>
      <c r="P85" s="81"/>
      <c r="Q85" s="31"/>
      <c r="S85" s="165">
        <f t="shared" si="18"/>
        <v>3419577.04</v>
      </c>
      <c r="T85" s="165">
        <f t="shared" si="19"/>
        <v>-4.0000000037252903E-2</v>
      </c>
      <c r="U85" s="169">
        <f t="shared" si="20"/>
        <v>0</v>
      </c>
      <c r="V85" s="165">
        <f t="shared" si="21"/>
        <v>0</v>
      </c>
    </row>
    <row r="86" spans="1:22">
      <c r="A86" s="52" t="s">
        <v>252</v>
      </c>
      <c r="B86" s="53" t="s">
        <v>253</v>
      </c>
      <c r="C86" s="53"/>
      <c r="D86" s="36"/>
      <c r="E86" s="36" t="s">
        <v>236</v>
      </c>
      <c r="F86" s="36"/>
      <c r="G86" s="36"/>
      <c r="H86" s="36"/>
      <c r="I86" s="36"/>
      <c r="J86" s="36"/>
      <c r="K86" s="167">
        <v>155163939.31</v>
      </c>
      <c r="L86" s="167"/>
      <c r="M86" s="167">
        <v>0</v>
      </c>
      <c r="N86" s="167">
        <f t="shared" si="17"/>
        <v>155163939</v>
      </c>
      <c r="O86" s="168"/>
      <c r="P86" s="81"/>
      <c r="Q86" s="31"/>
      <c r="S86" s="165">
        <f t="shared" si="18"/>
        <v>155163939.31</v>
      </c>
      <c r="T86" s="165">
        <f t="shared" si="19"/>
        <v>-0.31000000238418579</v>
      </c>
      <c r="U86" s="169">
        <f t="shared" si="20"/>
        <v>0</v>
      </c>
      <c r="V86" s="165">
        <f t="shared" si="21"/>
        <v>0</v>
      </c>
    </row>
    <row r="87" spans="1:22">
      <c r="A87" s="52" t="s">
        <v>254</v>
      </c>
      <c r="B87" s="53" t="s">
        <v>246</v>
      </c>
      <c r="C87" s="53"/>
      <c r="D87" s="36"/>
      <c r="E87" s="36" t="s">
        <v>255</v>
      </c>
      <c r="F87" s="36"/>
      <c r="G87" s="36"/>
      <c r="H87" s="36"/>
      <c r="I87" s="36"/>
      <c r="J87" s="36"/>
      <c r="K87" s="167">
        <v>164184674</v>
      </c>
      <c r="L87" s="167"/>
      <c r="M87" s="167">
        <v>0</v>
      </c>
      <c r="N87" s="167">
        <f t="shared" si="17"/>
        <v>164184674</v>
      </c>
      <c r="O87" s="168"/>
      <c r="P87" s="81"/>
      <c r="Q87" s="31"/>
      <c r="S87" s="165">
        <f t="shared" si="18"/>
        <v>164184674</v>
      </c>
      <c r="T87" s="165">
        <f t="shared" si="19"/>
        <v>0</v>
      </c>
      <c r="U87" s="169">
        <f t="shared" si="20"/>
        <v>0</v>
      </c>
      <c r="V87" s="165">
        <f t="shared" si="21"/>
        <v>0</v>
      </c>
    </row>
    <row r="88" spans="1:22">
      <c r="A88" s="52"/>
      <c r="B88" s="53"/>
      <c r="C88" s="53"/>
      <c r="D88" s="36"/>
      <c r="E88" s="36" t="s">
        <v>304</v>
      </c>
      <c r="F88" s="36"/>
      <c r="G88" s="36"/>
      <c r="H88" s="36"/>
      <c r="I88" s="36"/>
      <c r="J88" s="36"/>
      <c r="K88" s="167">
        <v>316140133.01999998</v>
      </c>
      <c r="L88" s="167"/>
      <c r="M88" s="167">
        <v>0</v>
      </c>
      <c r="N88" s="167">
        <f t="shared" si="17"/>
        <v>316140133</v>
      </c>
      <c r="O88" s="168"/>
      <c r="P88" s="81"/>
      <c r="Q88" s="31"/>
      <c r="U88" s="169"/>
    </row>
    <row r="89" spans="1:22">
      <c r="A89" s="52"/>
      <c r="B89" s="53"/>
      <c r="C89" s="53"/>
      <c r="D89" s="36"/>
      <c r="E89" s="36" t="s">
        <v>305</v>
      </c>
      <c r="F89" s="36"/>
      <c r="G89" s="36"/>
      <c r="H89" s="36"/>
      <c r="I89" s="36"/>
      <c r="J89" s="36"/>
      <c r="K89" s="167">
        <v>41996364.859999999</v>
      </c>
      <c r="L89" s="167"/>
      <c r="M89" s="167">
        <v>0</v>
      </c>
      <c r="N89" s="167">
        <f t="shared" si="17"/>
        <v>41996365</v>
      </c>
      <c r="O89" s="168"/>
      <c r="P89" s="81"/>
      <c r="Q89" s="31"/>
      <c r="U89" s="169"/>
    </row>
    <row r="90" spans="1:22">
      <c r="A90" s="52" t="s">
        <v>256</v>
      </c>
      <c r="B90" s="53" t="s">
        <v>246</v>
      </c>
      <c r="C90" s="53"/>
      <c r="D90" s="36"/>
      <c r="E90" s="36" t="s">
        <v>238</v>
      </c>
      <c r="F90" s="36"/>
      <c r="G90" s="36"/>
      <c r="H90" s="36"/>
      <c r="I90" s="36"/>
      <c r="J90" s="36"/>
      <c r="K90" s="171">
        <v>21646784.739999998</v>
      </c>
      <c r="L90" s="162"/>
      <c r="M90" s="171">
        <v>5192847</v>
      </c>
      <c r="N90" s="134">
        <f t="shared" si="17"/>
        <v>26839632</v>
      </c>
      <c r="O90" s="168"/>
      <c r="P90" s="81"/>
      <c r="Q90" s="31"/>
      <c r="S90" s="165">
        <f t="shared" si="18"/>
        <v>21646784.739999998</v>
      </c>
      <c r="T90" s="165">
        <f t="shared" si="19"/>
        <v>0.26000000163912773</v>
      </c>
      <c r="U90" s="169">
        <f t="shared" si="20"/>
        <v>5192847</v>
      </c>
      <c r="V90" s="165">
        <f t="shared" si="21"/>
        <v>0</v>
      </c>
    </row>
    <row r="91" spans="1:22" s="64" customFormat="1" ht="7.5" customHeight="1">
      <c r="A91" s="70"/>
      <c r="B91" s="71"/>
      <c r="C91" s="71"/>
      <c r="D91" s="36"/>
      <c r="E91" s="36"/>
      <c r="F91" s="36"/>
      <c r="G91" s="36"/>
      <c r="H91" s="36"/>
      <c r="I91" s="36"/>
      <c r="J91" s="59"/>
      <c r="K91" s="92"/>
      <c r="L91" s="92"/>
      <c r="M91" s="99"/>
      <c r="N91" s="99"/>
      <c r="O91" s="99"/>
      <c r="P91" s="100"/>
      <c r="Q91" s="173"/>
      <c r="R91" s="174"/>
      <c r="S91" s="165"/>
      <c r="T91" s="165"/>
      <c r="U91" s="169"/>
      <c r="V91" s="165"/>
    </row>
    <row r="92" spans="1:22">
      <c r="A92" s="52" t="s">
        <v>257</v>
      </c>
      <c r="B92" s="53"/>
      <c r="C92" s="53"/>
      <c r="D92" s="36"/>
      <c r="E92" s="101" t="s">
        <v>258</v>
      </c>
      <c r="F92" s="36"/>
      <c r="G92" s="36"/>
      <c r="H92" s="36"/>
      <c r="I92" s="36"/>
      <c r="J92" s="36"/>
      <c r="K92" s="177">
        <f t="array" ref="K92">SUM(ROUND(K81:K90,0))</f>
        <v>892560232</v>
      </c>
      <c r="L92" s="92"/>
      <c r="M92" s="177">
        <f t="array" ref="M92">SUM(ROUND(M81:M90,0))</f>
        <v>28955843</v>
      </c>
      <c r="N92" s="177">
        <f t="array" ref="N92">SUM(ROUND(N81:N90,0))</f>
        <v>921516075</v>
      </c>
      <c r="O92" s="49"/>
      <c r="P92" s="81"/>
      <c r="Q92" s="31"/>
      <c r="S92" s="178">
        <f>SUM(S81:S90)</f>
        <v>534423733.96000004</v>
      </c>
      <c r="T92" s="178">
        <f>K92-S92</f>
        <v>358136498.03999996</v>
      </c>
      <c r="U92" s="178">
        <f>SUM(U81:U90)</f>
        <v>28955843</v>
      </c>
      <c r="V92" s="178">
        <f>U92-M92</f>
        <v>0</v>
      </c>
    </row>
    <row r="93" spans="1:22" s="64" customFormat="1" ht="7.5" customHeight="1">
      <c r="A93" s="70"/>
      <c r="B93" s="71"/>
      <c r="C93" s="71"/>
      <c r="D93" s="36"/>
      <c r="E93" s="36"/>
      <c r="F93" s="36"/>
      <c r="G93" s="36"/>
      <c r="H93" s="36"/>
      <c r="I93" s="36"/>
      <c r="J93" s="59"/>
      <c r="K93" s="59"/>
      <c r="L93" s="59"/>
      <c r="M93" s="60"/>
      <c r="N93" s="60"/>
      <c r="O93" s="60"/>
      <c r="P93" s="61"/>
      <c r="Q93" s="173"/>
      <c r="R93" s="174"/>
      <c r="S93" s="165"/>
      <c r="T93" s="165"/>
      <c r="U93" s="169"/>
      <c r="V93" s="165"/>
    </row>
    <row r="94" spans="1:22" ht="13.5" thickBot="1">
      <c r="A94" s="6"/>
      <c r="B94" s="53"/>
      <c r="C94" s="53"/>
      <c r="D94" s="101" t="s">
        <v>259</v>
      </c>
      <c r="E94" s="36"/>
      <c r="F94" s="36"/>
      <c r="G94" s="36"/>
      <c r="H94" s="36"/>
      <c r="I94" s="36"/>
      <c r="J94" s="36"/>
      <c r="K94" s="190">
        <f>SUM(K71+K92)</f>
        <v>1272081073</v>
      </c>
      <c r="L94" s="191"/>
      <c r="M94" s="192">
        <f>SUM(M71+M92)</f>
        <v>84981959</v>
      </c>
      <c r="N94" s="217">
        <f>SUM(N71+N92)</f>
        <v>1357063032</v>
      </c>
      <c r="O94" s="49"/>
      <c r="P94" s="81"/>
      <c r="Q94" s="31"/>
      <c r="S94" s="178">
        <f>S92+S71</f>
        <v>898885186.66999996</v>
      </c>
      <c r="T94" s="178">
        <f>K94-S94</f>
        <v>373195886.33000004</v>
      </c>
      <c r="U94" s="179">
        <f>U92+U71</f>
        <v>84981959.939999998</v>
      </c>
      <c r="V94" s="178">
        <f>U94-M94</f>
        <v>0.93999999761581421</v>
      </c>
    </row>
    <row r="95" spans="1:22" ht="13.5" thickTop="1">
      <c r="A95" s="6"/>
      <c r="B95" s="53"/>
      <c r="C95" s="53"/>
      <c r="D95" s="101"/>
      <c r="E95" s="36"/>
      <c r="F95" s="36"/>
      <c r="G95" s="36"/>
      <c r="H95" s="36"/>
      <c r="I95" s="36"/>
      <c r="J95" s="36"/>
      <c r="K95" s="96"/>
      <c r="L95" s="186"/>
      <c r="M95" s="96"/>
      <c r="N95" s="96"/>
      <c r="O95" s="49"/>
      <c r="P95" s="81"/>
      <c r="Q95" s="31"/>
      <c r="S95" s="197"/>
      <c r="T95" s="197"/>
      <c r="U95" s="169"/>
      <c r="V95" s="197"/>
    </row>
    <row r="96" spans="1:22">
      <c r="B96" s="72"/>
      <c r="C96" s="53"/>
      <c r="D96" s="198" t="s">
        <v>260</v>
      </c>
      <c r="E96" s="199"/>
      <c r="F96" s="200"/>
      <c r="G96" s="43"/>
      <c r="H96" s="43"/>
      <c r="I96" s="43"/>
      <c r="J96" s="199"/>
      <c r="K96" s="201"/>
      <c r="L96" s="202"/>
      <c r="M96" s="201"/>
      <c r="N96" s="196"/>
      <c r="O96" s="193"/>
      <c r="P96" s="194"/>
      <c r="Q96" s="31"/>
      <c r="S96" s="197"/>
      <c r="T96" s="197"/>
      <c r="U96" s="169"/>
      <c r="V96" s="197"/>
    </row>
    <row r="97" spans="1:22">
      <c r="B97" s="72"/>
      <c r="C97" s="53"/>
      <c r="D97" s="199" t="s">
        <v>261</v>
      </c>
      <c r="E97" s="199"/>
      <c r="F97" s="200"/>
      <c r="G97" s="43"/>
      <c r="H97" s="43"/>
      <c r="I97" s="43"/>
      <c r="J97" s="199"/>
      <c r="K97" s="167">
        <v>800000</v>
      </c>
      <c r="L97" s="167"/>
      <c r="M97" s="167">
        <v>0</v>
      </c>
      <c r="N97" s="167">
        <f>ROUND(M97,0)+ROUND(K97,0)</f>
        <v>800000</v>
      </c>
      <c r="O97" s="193"/>
      <c r="P97" s="194"/>
      <c r="Q97" s="31"/>
      <c r="S97" s="197"/>
      <c r="T97" s="197"/>
      <c r="U97" s="169"/>
      <c r="V97" s="197"/>
    </row>
    <row r="98" spans="1:22">
      <c r="B98" s="72"/>
      <c r="C98" s="53"/>
      <c r="D98" s="199" t="s">
        <v>306</v>
      </c>
      <c r="E98" s="199"/>
      <c r="F98" s="200"/>
      <c r="G98" s="43"/>
      <c r="H98" s="43"/>
      <c r="I98" s="43"/>
      <c r="J98" s="199"/>
      <c r="K98" s="167">
        <v>291242868</v>
      </c>
      <c r="L98" s="167"/>
      <c r="M98" s="167">
        <v>0</v>
      </c>
      <c r="N98" s="167">
        <f t="shared" ref="N98:N99" si="22">ROUND(M98,0)+ROUND(K98,0)</f>
        <v>291242868</v>
      </c>
      <c r="O98" s="193"/>
      <c r="P98" s="194"/>
      <c r="Q98" s="31"/>
      <c r="S98" s="197"/>
      <c r="T98" s="197"/>
      <c r="U98" s="169"/>
      <c r="V98" s="197"/>
    </row>
    <row r="99" spans="1:22">
      <c r="B99" s="72"/>
      <c r="C99" s="53"/>
      <c r="D99" s="199" t="s">
        <v>307</v>
      </c>
      <c r="E99" s="199"/>
      <c r="F99" s="200"/>
      <c r="G99" s="43"/>
      <c r="H99" s="43"/>
      <c r="I99" s="43"/>
      <c r="J99" s="199"/>
      <c r="K99" s="167">
        <v>3083959</v>
      </c>
      <c r="L99" s="167"/>
      <c r="M99" s="167">
        <v>0</v>
      </c>
      <c r="N99" s="167">
        <f t="shared" si="22"/>
        <v>3083959</v>
      </c>
      <c r="O99" s="193"/>
      <c r="P99" s="194"/>
      <c r="Q99" s="31"/>
      <c r="S99" s="197"/>
      <c r="T99" s="197"/>
      <c r="U99" s="169"/>
      <c r="V99" s="197"/>
    </row>
    <row r="100" spans="1:22">
      <c r="B100" s="72"/>
      <c r="C100" s="53"/>
      <c r="D100" s="199" t="s">
        <v>262</v>
      </c>
      <c r="E100" s="199"/>
      <c r="F100" s="200"/>
      <c r="G100" s="43"/>
      <c r="H100" s="43"/>
      <c r="I100" s="43"/>
      <c r="J100" s="199"/>
      <c r="K100" s="134">
        <v>0</v>
      </c>
      <c r="L100" s="167"/>
      <c r="M100" s="134">
        <v>0</v>
      </c>
      <c r="N100" s="134">
        <f>ROUND(M100,0)+ROUND(K100,0)</f>
        <v>0</v>
      </c>
      <c r="O100" s="193"/>
      <c r="P100" s="194"/>
      <c r="Q100" s="31"/>
      <c r="S100" s="197">
        <v>234000</v>
      </c>
      <c r="T100" s="197"/>
      <c r="U100" s="169"/>
      <c r="V100" s="197"/>
    </row>
    <row r="101" spans="1:22">
      <c r="B101" s="72"/>
      <c r="C101" s="53"/>
      <c r="D101" s="198"/>
      <c r="E101" s="199"/>
      <c r="F101" s="200"/>
      <c r="G101" s="43"/>
      <c r="H101" s="43"/>
      <c r="I101" s="43"/>
      <c r="J101" s="199"/>
      <c r="K101" s="201"/>
      <c r="L101" s="202"/>
      <c r="M101" s="201"/>
      <c r="N101" s="49"/>
      <c r="O101" s="193"/>
      <c r="P101" s="194"/>
      <c r="Q101" s="31"/>
      <c r="S101" s="197"/>
      <c r="T101" s="197"/>
      <c r="U101" s="169"/>
      <c r="V101" s="197"/>
    </row>
    <row r="102" spans="1:22" ht="13.5" thickBot="1">
      <c r="B102" s="72"/>
      <c r="C102" s="53"/>
      <c r="D102" s="198" t="s">
        <v>263</v>
      </c>
      <c r="E102" s="199"/>
      <c r="F102" s="200"/>
      <c r="G102" s="43"/>
      <c r="H102" s="43"/>
      <c r="I102" s="43"/>
      <c r="J102" s="199"/>
      <c r="K102" s="203">
        <f>SUM(K97:K100)</f>
        <v>295126827</v>
      </c>
      <c r="L102" s="202"/>
      <c r="M102" s="203">
        <f>SUM(M97:M100)</f>
        <v>0</v>
      </c>
      <c r="N102" s="204">
        <f>SUM(N97:N100,0)</f>
        <v>295126827</v>
      </c>
      <c r="O102" s="193"/>
      <c r="P102" s="194"/>
      <c r="Q102" s="31"/>
      <c r="S102" s="197">
        <v>234000</v>
      </c>
      <c r="T102" s="197"/>
      <c r="U102" s="169"/>
      <c r="V102" s="197"/>
    </row>
    <row r="103" spans="1:22" ht="14.25" thickTop="1" thickBot="1">
      <c r="B103" s="72"/>
      <c r="C103" s="53"/>
      <c r="D103" s="198" t="s">
        <v>308</v>
      </c>
      <c r="E103" s="199"/>
      <c r="F103" s="200"/>
      <c r="G103" s="43"/>
      <c r="H103" s="43"/>
      <c r="I103" s="43"/>
      <c r="J103" s="199"/>
      <c r="K103" s="203">
        <f>K94+K102</f>
        <v>1567207900</v>
      </c>
      <c r="L103" s="201">
        <f t="shared" ref="L103" si="23">L96+L104</f>
        <v>0</v>
      </c>
      <c r="M103" s="203">
        <f t="shared" ref="M103:N103" si="24">M94+M102</f>
        <v>84981959</v>
      </c>
      <c r="N103" s="203">
        <f t="shared" si="24"/>
        <v>1652189859</v>
      </c>
      <c r="O103" s="193"/>
      <c r="P103" s="194"/>
      <c r="Q103" s="31"/>
      <c r="S103" s="197"/>
      <c r="T103" s="197"/>
      <c r="U103" s="169"/>
      <c r="V103" s="197"/>
    </row>
    <row r="104" spans="1:22" s="64" customFormat="1" ht="9" customHeight="1" thickTop="1">
      <c r="A104" s="70"/>
      <c r="B104" s="71"/>
      <c r="C104" s="71"/>
      <c r="D104" s="36"/>
      <c r="E104" s="36"/>
      <c r="F104" s="36"/>
      <c r="G104" s="36"/>
      <c r="H104" s="36"/>
      <c r="I104" s="36"/>
      <c r="J104" s="59"/>
      <c r="K104" s="59"/>
      <c r="L104" s="59"/>
      <c r="M104" s="60"/>
      <c r="N104" s="60"/>
      <c r="O104" s="60"/>
      <c r="P104" s="61"/>
      <c r="Q104" s="173"/>
      <c r="R104" s="174"/>
      <c r="S104" s="165"/>
      <c r="T104" s="165"/>
      <c r="U104" s="169"/>
      <c r="V104" s="165"/>
    </row>
    <row r="105" spans="1:22">
      <c r="A105" s="52"/>
      <c r="B105" s="53"/>
      <c r="C105" s="53"/>
      <c r="D105" s="101" t="s">
        <v>264</v>
      </c>
      <c r="E105" s="36"/>
      <c r="F105" s="36"/>
      <c r="G105" s="36"/>
      <c r="H105" s="36"/>
      <c r="I105" s="36"/>
      <c r="J105" s="36"/>
      <c r="K105" s="59"/>
      <c r="L105" s="59"/>
      <c r="M105" s="59"/>
      <c r="N105" s="59"/>
      <c r="O105" s="59"/>
      <c r="P105" s="77"/>
      <c r="Q105" s="31"/>
      <c r="U105" s="169"/>
    </row>
    <row r="106" spans="1:22">
      <c r="A106" s="52" t="s">
        <v>265</v>
      </c>
      <c r="B106" s="53" t="s">
        <v>266</v>
      </c>
      <c r="C106" s="53"/>
      <c r="D106" s="36" t="s">
        <v>267</v>
      </c>
      <c r="E106" s="36"/>
      <c r="F106" s="36"/>
      <c r="G106" s="36"/>
      <c r="H106" s="36"/>
      <c r="I106" s="36"/>
      <c r="J106" s="36"/>
      <c r="K106" s="162">
        <v>3719221686.4199996</v>
      </c>
      <c r="L106" s="162"/>
      <c r="M106" s="162">
        <v>52680749</v>
      </c>
      <c r="N106" s="167">
        <f>ROUND(M106,0)+ROUND(K106,0)</f>
        <v>3771902435</v>
      </c>
      <c r="O106" s="163"/>
      <c r="P106" s="164"/>
      <c r="Q106" s="31"/>
      <c r="S106" s="165">
        <f t="shared" ref="S106:S116" si="25">K106</f>
        <v>3719221686.4199996</v>
      </c>
      <c r="T106" s="165">
        <f>ROUND(S106,0)-S106</f>
        <v>-0.41999959945678711</v>
      </c>
      <c r="U106" s="169">
        <f>M106</f>
        <v>52680749</v>
      </c>
      <c r="V106" s="165">
        <f>ROUND(U106,0)-U106</f>
        <v>0</v>
      </c>
    </row>
    <row r="107" spans="1:22">
      <c r="A107" s="52"/>
      <c r="B107" s="53"/>
      <c r="C107" s="53"/>
      <c r="D107" s="36" t="s">
        <v>268</v>
      </c>
      <c r="E107" s="36"/>
      <c r="F107" s="36"/>
      <c r="G107" s="36"/>
      <c r="H107" s="36"/>
      <c r="I107" s="36"/>
      <c r="J107" s="36"/>
      <c r="K107" s="167">
        <v>0</v>
      </c>
      <c r="L107" s="167"/>
      <c r="M107" s="167">
        <v>0</v>
      </c>
      <c r="N107" s="184"/>
      <c r="O107" s="184"/>
      <c r="P107" s="185"/>
      <c r="Q107" s="31"/>
      <c r="U107" s="169"/>
    </row>
    <row r="108" spans="1:22">
      <c r="A108" s="52"/>
      <c r="B108" s="53"/>
      <c r="C108" s="53"/>
      <c r="D108" s="36"/>
      <c r="E108" s="36" t="s">
        <v>269</v>
      </c>
      <c r="F108" s="36"/>
      <c r="G108" s="36"/>
      <c r="H108" s="36"/>
      <c r="I108" s="36"/>
      <c r="J108" s="36"/>
      <c r="K108" s="167">
        <v>0</v>
      </c>
      <c r="L108" s="167"/>
      <c r="M108" s="167">
        <v>0</v>
      </c>
      <c r="N108" s="184"/>
      <c r="O108" s="184"/>
      <c r="P108" s="185"/>
      <c r="Q108" s="31"/>
      <c r="U108" s="169"/>
    </row>
    <row r="109" spans="1:22">
      <c r="A109" s="52" t="s">
        <v>270</v>
      </c>
      <c r="B109" s="53" t="s">
        <v>271</v>
      </c>
      <c r="C109" s="53"/>
      <c r="D109" s="36"/>
      <c r="E109" s="36"/>
      <c r="F109" s="36" t="s">
        <v>272</v>
      </c>
      <c r="G109" s="36"/>
      <c r="H109" s="36"/>
      <c r="I109" s="36"/>
      <c r="J109" s="36"/>
      <c r="K109" s="167">
        <v>2404012</v>
      </c>
      <c r="L109" s="167"/>
      <c r="M109" s="167">
        <v>456427485</v>
      </c>
      <c r="N109" s="167">
        <f>ROUND(M109,0)+ROUND(K109,0)</f>
        <v>458831497</v>
      </c>
      <c r="O109" s="168"/>
      <c r="P109" s="81"/>
      <c r="Q109" s="31"/>
      <c r="S109" s="165">
        <f t="shared" si="25"/>
        <v>2404012</v>
      </c>
      <c r="T109" s="165">
        <f>ROUND(S109,0)-S109</f>
        <v>0</v>
      </c>
      <c r="U109" s="169">
        <f>M109</f>
        <v>456427485</v>
      </c>
      <c r="V109" s="165">
        <f>ROUND(U109,0)-U109</f>
        <v>0</v>
      </c>
    </row>
    <row r="110" spans="1:22">
      <c r="A110" s="52"/>
      <c r="B110" s="53"/>
      <c r="C110" s="53"/>
      <c r="D110" s="36"/>
      <c r="E110" s="36" t="s">
        <v>273</v>
      </c>
      <c r="F110" s="36"/>
      <c r="G110" s="36"/>
      <c r="H110" s="36"/>
      <c r="I110" s="36"/>
      <c r="J110" s="36"/>
      <c r="K110" s="167">
        <v>0</v>
      </c>
      <c r="L110" s="167"/>
      <c r="M110" s="167">
        <v>0</v>
      </c>
      <c r="N110" s="49"/>
      <c r="O110" s="49"/>
      <c r="P110" s="81"/>
      <c r="Q110" s="31"/>
      <c r="U110" s="169"/>
    </row>
    <row r="111" spans="1:22">
      <c r="A111" s="52" t="s">
        <v>274</v>
      </c>
      <c r="B111" s="53" t="s">
        <v>275</v>
      </c>
      <c r="C111" s="53"/>
      <c r="D111" s="36"/>
      <c r="E111" s="36"/>
      <c r="F111" s="36" t="s">
        <v>272</v>
      </c>
      <c r="G111" s="36"/>
      <c r="H111" s="36"/>
      <c r="I111" s="36"/>
      <c r="J111" s="36"/>
      <c r="K111" s="167">
        <v>118343240.56</v>
      </c>
      <c r="L111" s="167"/>
      <c r="M111" s="167">
        <v>106983774</v>
      </c>
      <c r="N111" s="167">
        <f t="shared" ref="N111:N117" si="26">ROUND(M111,0)+ROUND(K111,0)</f>
        <v>225327015</v>
      </c>
      <c r="O111" s="168"/>
      <c r="P111" s="81"/>
      <c r="Q111" s="31"/>
      <c r="S111" s="165">
        <f t="shared" si="25"/>
        <v>118343240.56</v>
      </c>
      <c r="T111" s="165">
        <f t="shared" ref="T111:T117" si="27">ROUND(S111,0)-S111</f>
        <v>0.43999999761581421</v>
      </c>
      <c r="U111" s="169">
        <f t="shared" ref="U111:U116" si="28">M111</f>
        <v>106983774</v>
      </c>
      <c r="V111" s="165">
        <f>ROUND(U111,0)-U111</f>
        <v>0</v>
      </c>
    </row>
    <row r="112" spans="1:22">
      <c r="A112" s="52" t="s">
        <v>276</v>
      </c>
      <c r="B112" s="53" t="s">
        <v>277</v>
      </c>
      <c r="C112" s="53"/>
      <c r="D112" s="36"/>
      <c r="E112" s="36"/>
      <c r="F112" s="36" t="s">
        <v>278</v>
      </c>
      <c r="G112" s="36"/>
      <c r="H112" s="36"/>
      <c r="I112" s="36"/>
      <c r="J112" s="36"/>
      <c r="K112" s="167">
        <v>109497344.00999999</v>
      </c>
      <c r="L112" s="167"/>
      <c r="M112" s="167">
        <v>107993705</v>
      </c>
      <c r="N112" s="167">
        <f t="shared" si="26"/>
        <v>217491049</v>
      </c>
      <c r="O112" s="168"/>
      <c r="P112" s="81"/>
      <c r="Q112" s="31"/>
      <c r="S112" s="165">
        <f t="shared" si="25"/>
        <v>109497344.00999999</v>
      </c>
      <c r="T112" s="165">
        <f t="shared" si="27"/>
        <v>-9.9999904632568359E-3</v>
      </c>
      <c r="U112" s="169">
        <f t="shared" si="28"/>
        <v>107993705</v>
      </c>
      <c r="V112" s="165">
        <f t="shared" ref="V112:V117" si="29">ROUND(U112,0)-U112</f>
        <v>0</v>
      </c>
    </row>
    <row r="113" spans="1:22">
      <c r="A113" s="52" t="s">
        <v>279</v>
      </c>
      <c r="B113" s="53" t="s">
        <v>277</v>
      </c>
      <c r="C113" s="53"/>
      <c r="D113" s="36"/>
      <c r="E113" s="36"/>
      <c r="F113" s="36" t="s">
        <v>280</v>
      </c>
      <c r="G113" s="36"/>
      <c r="H113" s="36"/>
      <c r="I113" s="36"/>
      <c r="J113" s="36"/>
      <c r="K113" s="167">
        <v>14383947.459999997</v>
      </c>
      <c r="L113" s="167"/>
      <c r="M113" s="167">
        <v>238601519</v>
      </c>
      <c r="N113" s="167">
        <f t="shared" si="26"/>
        <v>252985466</v>
      </c>
      <c r="O113" s="168"/>
      <c r="P113" s="81"/>
      <c r="Q113" s="31"/>
      <c r="S113" s="165">
        <f t="shared" si="25"/>
        <v>14383947.459999997</v>
      </c>
      <c r="T113" s="165">
        <f t="shared" si="27"/>
        <v>-0.45999999716877937</v>
      </c>
      <c r="U113" s="169">
        <f t="shared" si="28"/>
        <v>238601519</v>
      </c>
      <c r="V113" s="165">
        <f t="shared" si="29"/>
        <v>0</v>
      </c>
    </row>
    <row r="114" spans="1:22">
      <c r="A114" s="52" t="s">
        <v>281</v>
      </c>
      <c r="B114" s="53" t="s">
        <v>277</v>
      </c>
      <c r="C114" s="53"/>
      <c r="D114" s="36"/>
      <c r="E114" s="36"/>
      <c r="F114" s="36" t="s">
        <v>282</v>
      </c>
      <c r="G114" s="36"/>
      <c r="H114" s="36"/>
      <c r="I114" s="36"/>
      <c r="J114" s="36"/>
      <c r="K114" s="167">
        <v>999091334.33000004</v>
      </c>
      <c r="L114" s="167"/>
      <c r="M114" s="167">
        <v>1580453</v>
      </c>
      <c r="N114" s="167">
        <f t="shared" si="26"/>
        <v>1000671787</v>
      </c>
      <c r="O114" s="168"/>
      <c r="P114" s="81"/>
      <c r="Q114" s="31"/>
      <c r="S114" s="165">
        <f t="shared" si="25"/>
        <v>999091334.33000004</v>
      </c>
      <c r="T114" s="165">
        <f t="shared" si="27"/>
        <v>-0.33000004291534424</v>
      </c>
      <c r="U114" s="169">
        <f t="shared" si="28"/>
        <v>1580453</v>
      </c>
      <c r="V114" s="165">
        <f t="shared" si="29"/>
        <v>0</v>
      </c>
    </row>
    <row r="115" spans="1:22">
      <c r="A115" s="52" t="s">
        <v>283</v>
      </c>
      <c r="B115" s="53" t="s">
        <v>284</v>
      </c>
      <c r="C115" s="53"/>
      <c r="D115" s="36"/>
      <c r="E115" s="36"/>
      <c r="F115" s="36" t="s">
        <v>285</v>
      </c>
      <c r="G115" s="36"/>
      <c r="H115" s="36"/>
      <c r="I115" s="36"/>
      <c r="J115" s="36"/>
      <c r="K115" s="167">
        <v>3746181.3300000005</v>
      </c>
      <c r="L115" s="167"/>
      <c r="M115" s="167">
        <v>4053263</v>
      </c>
      <c r="N115" s="167">
        <f t="shared" si="26"/>
        <v>7799444</v>
      </c>
      <c r="O115" s="168"/>
      <c r="P115" s="81"/>
      <c r="Q115" s="31"/>
      <c r="S115" s="165">
        <f t="shared" si="25"/>
        <v>3746181.3300000005</v>
      </c>
      <c r="T115" s="165">
        <f t="shared" si="27"/>
        <v>-0.33000000054016709</v>
      </c>
      <c r="U115" s="169">
        <f t="shared" si="28"/>
        <v>4053263</v>
      </c>
      <c r="V115" s="165">
        <f t="shared" si="29"/>
        <v>0</v>
      </c>
    </row>
    <row r="116" spans="1:22">
      <c r="A116" s="52" t="s">
        <v>286</v>
      </c>
      <c r="B116" s="53" t="s">
        <v>277</v>
      </c>
      <c r="C116" s="53"/>
      <c r="D116" s="36"/>
      <c r="E116" s="36"/>
      <c r="F116" s="36" t="s">
        <v>287</v>
      </c>
      <c r="G116" s="36"/>
      <c r="H116" s="36"/>
      <c r="I116" s="36"/>
      <c r="J116" s="36"/>
      <c r="K116" s="167">
        <v>751377</v>
      </c>
      <c r="L116" s="167"/>
      <c r="M116" s="167">
        <v>20818580</v>
      </c>
      <c r="N116" s="167">
        <f t="shared" si="26"/>
        <v>21569957</v>
      </c>
      <c r="O116" s="168"/>
      <c r="P116" s="81"/>
      <c r="Q116" s="31"/>
      <c r="S116" s="165">
        <f t="shared" si="25"/>
        <v>751377</v>
      </c>
      <c r="T116" s="165">
        <f t="shared" si="27"/>
        <v>0</v>
      </c>
      <c r="U116" s="169">
        <f t="shared" si="28"/>
        <v>20818580</v>
      </c>
      <c r="V116" s="165">
        <f t="shared" si="29"/>
        <v>0</v>
      </c>
    </row>
    <row r="117" spans="1:22">
      <c r="A117" s="52" t="s">
        <v>288</v>
      </c>
      <c r="B117" s="53" t="s">
        <v>289</v>
      </c>
      <c r="C117" s="53"/>
      <c r="D117" s="36" t="s">
        <v>290</v>
      </c>
      <c r="E117" s="36"/>
      <c r="F117" s="36"/>
      <c r="G117" s="36"/>
      <c r="H117" s="36"/>
      <c r="I117" s="36"/>
      <c r="J117" s="36"/>
      <c r="K117" s="134">
        <v>-189038734.66000003</v>
      </c>
      <c r="L117" s="167"/>
      <c r="M117" s="134">
        <v>94494737</v>
      </c>
      <c r="N117" s="187">
        <f t="shared" si="26"/>
        <v>-94543998</v>
      </c>
      <c r="O117" s="168"/>
      <c r="P117" s="81"/>
      <c r="Q117" s="31"/>
      <c r="S117" s="218">
        <f>K117</f>
        <v>-189038734.66000003</v>
      </c>
      <c r="T117" s="219">
        <f t="shared" si="27"/>
        <v>-0.3399999737739563</v>
      </c>
      <c r="U117" s="218">
        <f>M117</f>
        <v>94494737</v>
      </c>
      <c r="V117" s="165">
        <f t="shared" si="29"/>
        <v>0</v>
      </c>
    </row>
    <row r="118" spans="1:22" s="64" customFormat="1" ht="9" customHeight="1">
      <c r="A118" s="12"/>
      <c r="B118" s="117"/>
      <c r="C118" s="71"/>
      <c r="D118" s="36"/>
      <c r="E118" s="36"/>
      <c r="F118" s="36"/>
      <c r="G118" s="36"/>
      <c r="H118" s="36"/>
      <c r="I118" s="59"/>
      <c r="J118" s="59"/>
      <c r="K118" s="92"/>
      <c r="L118" s="99"/>
      <c r="M118" s="99"/>
      <c r="N118" s="99"/>
      <c r="O118" s="99"/>
      <c r="P118" s="100"/>
      <c r="Q118" s="173"/>
      <c r="R118" s="174"/>
      <c r="S118" s="165"/>
      <c r="T118" s="165"/>
      <c r="U118" s="169"/>
      <c r="V118" s="165"/>
    </row>
    <row r="119" spans="1:22" ht="13.5" thickBot="1">
      <c r="A119" s="1" t="s">
        <v>291</v>
      </c>
      <c r="B119" s="72"/>
      <c r="C119" s="53"/>
      <c r="D119" s="101" t="s">
        <v>292</v>
      </c>
      <c r="E119" s="36"/>
      <c r="F119" s="36"/>
      <c r="G119" s="36"/>
      <c r="H119" s="36"/>
      <c r="I119" s="36"/>
      <c r="J119" s="36"/>
      <c r="K119" s="190">
        <f t="array" ref="K119">SUM(ROUND(K106:K117,0))</f>
        <v>4778400387</v>
      </c>
      <c r="L119" s="191"/>
      <c r="M119" s="192">
        <f t="array" ref="M119">SUM(ROUND(M106:M117,0))</f>
        <v>1083634265</v>
      </c>
      <c r="N119" s="217">
        <f t="array" ref="N119">SUM(ROUND(N106:N117,0))</f>
        <v>5862034652</v>
      </c>
      <c r="O119" s="49"/>
      <c r="P119" s="81"/>
      <c r="Q119" s="31"/>
      <c r="S119" s="178">
        <f>SUM(S106:S117)</f>
        <v>4778400388.4499998</v>
      </c>
      <c r="T119" s="178">
        <f>K119-S119</f>
        <v>-1.4499998092651367</v>
      </c>
      <c r="U119" s="179">
        <f>SUM(U106:U117)</f>
        <v>1083634265</v>
      </c>
      <c r="V119" s="178">
        <f>U119-M119</f>
        <v>0</v>
      </c>
    </row>
    <row r="120" spans="1:22" s="64" customFormat="1" ht="9" customHeight="1" thickTop="1">
      <c r="A120" s="12"/>
      <c r="B120" s="117"/>
      <c r="C120" s="71"/>
      <c r="D120" s="36"/>
      <c r="E120" s="36"/>
      <c r="F120" s="36"/>
      <c r="G120" s="36"/>
      <c r="H120" s="36"/>
      <c r="I120" s="59"/>
      <c r="J120" s="59"/>
      <c r="K120" s="59"/>
      <c r="L120" s="60"/>
      <c r="M120" s="60"/>
      <c r="N120" s="60"/>
      <c r="O120" s="60"/>
      <c r="P120" s="61"/>
      <c r="Q120" s="173"/>
      <c r="R120" s="174"/>
      <c r="S120" s="165"/>
      <c r="T120" s="165"/>
      <c r="U120" s="169"/>
      <c r="V120" s="165"/>
    </row>
    <row r="121" spans="1:22" ht="13.5" thickBot="1">
      <c r="B121" s="72"/>
      <c r="C121" s="53"/>
      <c r="D121" s="198" t="s">
        <v>293</v>
      </c>
      <c r="E121" s="199"/>
      <c r="F121" s="199"/>
      <c r="G121" s="199"/>
      <c r="H121" s="199"/>
      <c r="I121" s="199"/>
      <c r="J121" s="199"/>
      <c r="K121" s="203">
        <f>K103+K119</f>
        <v>6345608287</v>
      </c>
      <c r="L121" s="202"/>
      <c r="M121" s="203">
        <f t="shared" ref="M121:N121" si="30">M103+M119</f>
        <v>1168616224</v>
      </c>
      <c r="N121" s="203">
        <f t="shared" si="30"/>
        <v>7514224511</v>
      </c>
      <c r="O121" s="193"/>
      <c r="P121" s="194"/>
      <c r="Q121" s="31"/>
      <c r="S121" s="178">
        <f>S119+S94+S102</f>
        <v>5677519575.1199999</v>
      </c>
      <c r="T121" s="178">
        <f>K121-S121</f>
        <v>668088711.88000011</v>
      </c>
      <c r="U121" s="179">
        <f>U119+U94</f>
        <v>1168616224.9400001</v>
      </c>
      <c r="V121" s="178">
        <f>U121-M121</f>
        <v>0.94000005722045898</v>
      </c>
    </row>
    <row r="122" spans="1:22" s="64" customFormat="1" ht="9" customHeight="1" thickTop="1">
      <c r="A122" s="12"/>
      <c r="B122" s="117"/>
      <c r="C122" s="71"/>
      <c r="D122" s="36"/>
      <c r="E122" s="36"/>
      <c r="F122" s="36"/>
      <c r="G122" s="36"/>
      <c r="H122" s="36"/>
      <c r="I122" s="59"/>
      <c r="J122" s="59"/>
      <c r="K122" s="59"/>
      <c r="L122" s="60"/>
      <c r="M122" s="60"/>
      <c r="N122" s="60"/>
      <c r="O122" s="60"/>
      <c r="P122" s="61"/>
      <c r="Q122" s="31"/>
      <c r="R122" s="174"/>
      <c r="S122" s="175"/>
      <c r="T122" s="175"/>
      <c r="U122" s="175"/>
      <c r="V122" s="175"/>
    </row>
    <row r="123" spans="1:22">
      <c r="B123" s="72"/>
      <c r="C123" s="53"/>
      <c r="D123" s="244" t="s">
        <v>97</v>
      </c>
      <c r="E123" s="244"/>
      <c r="F123" s="244"/>
      <c r="G123" s="244"/>
      <c r="H123" s="244"/>
      <c r="I123" s="244"/>
      <c r="J123" s="244"/>
      <c r="K123" s="244"/>
      <c r="L123" s="244"/>
      <c r="M123" s="244"/>
      <c r="N123" s="244"/>
      <c r="O123" s="244"/>
      <c r="P123" s="220"/>
      <c r="Q123" s="31"/>
      <c r="S123" s="165">
        <f>S38+S44-S94-S119-S102</f>
        <v>506022532.68199921</v>
      </c>
      <c r="U123" s="165">
        <f>U38-U94-U119</f>
        <v>0.17999982833862305</v>
      </c>
    </row>
    <row r="124" spans="1:22" s="64" customFormat="1" ht="9" customHeight="1">
      <c r="A124" s="12"/>
      <c r="B124" s="13"/>
      <c r="C124" s="13"/>
      <c r="D124" s="221"/>
      <c r="E124" s="221"/>
      <c r="F124" s="221"/>
      <c r="G124" s="221"/>
      <c r="H124" s="221"/>
      <c r="I124" s="172"/>
      <c r="J124" s="172"/>
      <c r="K124" s="172"/>
      <c r="L124" s="60"/>
      <c r="P124" s="61"/>
      <c r="R124" s="174"/>
      <c r="S124" s="175"/>
      <c r="T124" s="175"/>
      <c r="U124" s="175"/>
      <c r="V124" s="175"/>
    </row>
    <row r="125" spans="1:22" ht="12.75" customHeight="1">
      <c r="C125" s="37" t="s">
        <v>294</v>
      </c>
      <c r="D125" s="257"/>
      <c r="E125" s="257"/>
      <c r="F125" s="257"/>
      <c r="G125" s="257"/>
      <c r="H125" s="257"/>
      <c r="I125" s="257"/>
      <c r="J125" s="257"/>
      <c r="K125" s="222" t="e">
        <f>K47-K121</f>
        <v>#REF!</v>
      </c>
      <c r="L125" s="35"/>
      <c r="M125" s="222">
        <f t="shared" ref="M125:N125" si="31">M47-M121</f>
        <v>1</v>
      </c>
      <c r="N125" s="222" t="e">
        <f t="shared" si="31"/>
        <v>#REF!</v>
      </c>
      <c r="O125" s="222"/>
      <c r="P125" s="223"/>
    </row>
    <row r="126" spans="1:22" ht="12.75" hidden="1" customHeight="1">
      <c r="K126" s="218"/>
      <c r="L126" s="218"/>
      <c r="M126" s="218"/>
      <c r="N126" s="218"/>
      <c r="O126" s="218"/>
      <c r="P126" s="218"/>
      <c r="Q126" s="218"/>
    </row>
    <row r="127" spans="1:22" ht="12.75" hidden="1" customHeight="1">
      <c r="J127" s="224" t="s">
        <v>98</v>
      </c>
      <c r="K127" s="218"/>
      <c r="L127" s="218"/>
      <c r="M127" s="218"/>
      <c r="N127" s="218"/>
      <c r="O127" s="218"/>
      <c r="P127" s="218"/>
      <c r="Q127" s="218"/>
    </row>
    <row r="128" spans="1:22" ht="12.75" hidden="1" customHeight="1">
      <c r="K128" s="218"/>
      <c r="L128" s="218"/>
      <c r="M128" s="218"/>
      <c r="N128" s="218"/>
      <c r="O128" s="218"/>
      <c r="P128" s="218"/>
      <c r="Q128" s="218"/>
    </row>
    <row r="129" spans="11:17" ht="12.75" hidden="1" customHeight="1">
      <c r="K129" s="218"/>
      <c r="L129" s="218"/>
      <c r="M129" s="218"/>
      <c r="N129" s="218"/>
      <c r="O129" s="218"/>
      <c r="P129" s="218"/>
      <c r="Q129" s="218"/>
    </row>
    <row r="130" spans="11:17" ht="12.75" hidden="1" customHeight="1">
      <c r="K130" s="218"/>
      <c r="L130" s="218"/>
      <c r="M130" s="218"/>
      <c r="N130" s="218"/>
      <c r="O130" s="218"/>
      <c r="P130" s="218"/>
      <c r="Q130" s="218"/>
    </row>
    <row r="131" spans="11:17" ht="12.75" hidden="1" customHeight="1">
      <c r="K131" s="218"/>
      <c r="L131" s="218"/>
      <c r="M131" s="218"/>
      <c r="N131" s="218"/>
      <c r="O131" s="218"/>
      <c r="P131" s="218"/>
      <c r="Q131" s="218"/>
    </row>
    <row r="132" spans="11:17" ht="12.75" hidden="1" customHeight="1">
      <c r="K132" s="218"/>
      <c r="L132" s="218"/>
      <c r="M132" s="218"/>
      <c r="N132" s="218"/>
      <c r="O132" s="218"/>
      <c r="P132" s="218"/>
      <c r="Q132" s="218"/>
    </row>
    <row r="133" spans="11:17" ht="12.75" hidden="1" customHeight="1">
      <c r="K133" s="218"/>
      <c r="L133" s="218"/>
      <c r="M133" s="218"/>
      <c r="N133" s="218"/>
      <c r="O133" s="218"/>
      <c r="P133" s="218"/>
      <c r="Q133" s="218"/>
    </row>
    <row r="134" spans="11:17" ht="12.75" hidden="1" customHeight="1">
      <c r="K134" s="218"/>
      <c r="L134" s="218"/>
      <c r="M134" s="218"/>
      <c r="N134" s="218"/>
      <c r="O134" s="218"/>
      <c r="P134" s="218"/>
      <c r="Q134" s="218"/>
    </row>
    <row r="135" spans="11:17" ht="12.75" hidden="1" customHeight="1">
      <c r="K135" s="218"/>
      <c r="L135" s="218"/>
      <c r="M135" s="218"/>
      <c r="N135" s="218"/>
      <c r="O135" s="218"/>
      <c r="P135" s="218"/>
      <c r="Q135" s="218"/>
    </row>
    <row r="136" spans="11:17" ht="12.75" hidden="1" customHeight="1">
      <c r="K136" s="218"/>
      <c r="L136" s="218"/>
      <c r="M136" s="218"/>
      <c r="N136" s="218"/>
      <c r="O136" s="218"/>
      <c r="P136" s="218"/>
      <c r="Q136" s="218"/>
    </row>
    <row r="137" spans="11:17" ht="12.75" hidden="1" customHeight="1">
      <c r="K137" s="218"/>
      <c r="L137" s="218"/>
      <c r="M137" s="218"/>
      <c r="N137" s="218"/>
      <c r="O137" s="218"/>
      <c r="P137" s="218"/>
      <c r="Q137" s="218"/>
    </row>
    <row r="138" spans="11:17" ht="12.75" hidden="1" customHeight="1">
      <c r="K138" s="218"/>
      <c r="L138" s="218"/>
      <c r="M138" s="218"/>
      <c r="N138" s="218"/>
      <c r="O138" s="218"/>
      <c r="P138" s="218"/>
      <c r="Q138" s="218"/>
    </row>
    <row r="139" spans="11:17" ht="12.75" hidden="1" customHeight="1">
      <c r="K139" s="218"/>
      <c r="L139" s="218"/>
      <c r="M139" s="218"/>
      <c r="N139" s="218"/>
      <c r="O139" s="218"/>
      <c r="P139" s="218"/>
      <c r="Q139" s="218"/>
    </row>
    <row r="140" spans="11:17" ht="12.75" hidden="1" customHeight="1">
      <c r="K140" s="218"/>
      <c r="L140" s="218"/>
      <c r="M140" s="218"/>
      <c r="N140" s="218"/>
      <c r="O140" s="218"/>
      <c r="P140" s="218"/>
      <c r="Q140" s="218"/>
    </row>
    <row r="141" spans="11:17" ht="12.75" hidden="1" customHeight="1">
      <c r="K141" s="218"/>
      <c r="L141" s="218"/>
      <c r="M141" s="218"/>
      <c r="N141" s="218"/>
      <c r="O141" s="218"/>
      <c r="P141" s="218"/>
      <c r="Q141" s="218"/>
    </row>
    <row r="142" spans="11:17" ht="12.75" hidden="1" customHeight="1">
      <c r="K142" s="218"/>
      <c r="L142" s="218"/>
      <c r="M142" s="218"/>
      <c r="N142" s="218"/>
      <c r="O142" s="218"/>
      <c r="P142" s="218"/>
      <c r="Q142" s="218"/>
    </row>
    <row r="143" spans="11:17" ht="12.75" hidden="1" customHeight="1">
      <c r="K143" s="218"/>
      <c r="L143" s="218"/>
      <c r="M143" s="218"/>
      <c r="N143" s="218"/>
      <c r="O143" s="218"/>
      <c r="P143" s="218"/>
      <c r="Q143" s="218"/>
    </row>
    <row r="144" spans="11:17" ht="12.75" hidden="1" customHeight="1">
      <c r="K144" s="218"/>
      <c r="L144" s="218"/>
      <c r="M144" s="218"/>
      <c r="N144" s="218"/>
      <c r="O144" s="218"/>
      <c r="P144" s="218"/>
      <c r="Q144" s="218"/>
    </row>
    <row r="145" spans="8:17" ht="12.75" hidden="1" customHeight="1">
      <c r="K145" s="218"/>
      <c r="L145" s="218"/>
      <c r="M145" s="218"/>
      <c r="N145" s="218"/>
      <c r="O145" s="218"/>
      <c r="P145" s="218"/>
      <c r="Q145" s="218"/>
    </row>
    <row r="146" spans="8:17" ht="12.75" hidden="1" customHeight="1">
      <c r="K146" s="218"/>
      <c r="L146" s="218"/>
      <c r="M146" s="218"/>
      <c r="N146" s="218"/>
      <c r="O146" s="218"/>
      <c r="P146" s="218"/>
      <c r="Q146" s="218"/>
    </row>
    <row r="147" spans="8:17" ht="12.75" hidden="1" customHeight="1">
      <c r="K147" s="218"/>
      <c r="L147" s="218"/>
      <c r="M147" s="218"/>
      <c r="N147" s="218"/>
      <c r="O147" s="218"/>
      <c r="P147" s="218"/>
      <c r="Q147" s="218"/>
    </row>
    <row r="158" spans="8:17">
      <c r="H158" s="43"/>
      <c r="M158" s="43"/>
      <c r="N158" s="43"/>
      <c r="O158" s="43"/>
      <c r="P158" s="43"/>
      <c r="Q158" s="43"/>
    </row>
    <row r="159" spans="8:17">
      <c r="H159" s="43"/>
      <c r="M159" s="43"/>
      <c r="N159" s="43"/>
      <c r="O159" s="43"/>
      <c r="P159" s="43"/>
      <c r="Q159" s="43"/>
    </row>
    <row r="160" spans="8:17">
      <c r="H160" s="43"/>
      <c r="M160" s="43"/>
      <c r="N160" s="43"/>
      <c r="O160" s="43"/>
      <c r="P160" s="43"/>
      <c r="Q160" s="43"/>
    </row>
    <row r="161" spans="8:17">
      <c r="H161" s="43"/>
      <c r="M161" s="43"/>
      <c r="N161" s="43"/>
      <c r="O161" s="43"/>
      <c r="P161" s="43"/>
      <c r="Q161" s="43"/>
    </row>
    <row r="162" spans="8:17">
      <c r="H162" s="43"/>
      <c r="M162" s="43"/>
      <c r="N162" s="43"/>
      <c r="O162" s="43"/>
      <c r="P162" s="43"/>
      <c r="Q162" s="43"/>
    </row>
    <row r="163" spans="8:17">
      <c r="H163" s="43"/>
      <c r="M163" s="43"/>
      <c r="N163" s="43"/>
      <c r="O163" s="43"/>
      <c r="P163" s="43"/>
      <c r="Q163" s="43"/>
    </row>
    <row r="164" spans="8:17">
      <c r="H164" s="43"/>
      <c r="M164" s="43"/>
      <c r="N164" s="43"/>
      <c r="O164" s="43"/>
      <c r="P164" s="43"/>
      <c r="Q164" s="43"/>
    </row>
    <row r="165" spans="8:17">
      <c r="H165" s="43"/>
      <c r="M165" s="43"/>
      <c r="N165" s="43"/>
      <c r="O165" s="43"/>
      <c r="P165" s="43"/>
      <c r="Q165" s="43"/>
    </row>
    <row r="166" spans="8:17">
      <c r="H166" s="43"/>
      <c r="M166" s="43"/>
      <c r="N166" s="43"/>
      <c r="O166" s="43"/>
      <c r="P166" s="43"/>
      <c r="Q166" s="43"/>
    </row>
    <row r="167" spans="8:17">
      <c r="H167" s="43"/>
      <c r="M167" s="43"/>
      <c r="N167" s="43"/>
      <c r="O167" s="43"/>
      <c r="P167" s="43"/>
      <c r="Q167" s="43"/>
    </row>
    <row r="168" spans="8:17">
      <c r="H168" s="43"/>
      <c r="M168" s="43"/>
      <c r="N168" s="43"/>
      <c r="O168" s="43"/>
      <c r="P168" s="43"/>
      <c r="Q168" s="43"/>
    </row>
    <row r="169" spans="8:17">
      <c r="H169" s="43"/>
      <c r="M169" s="43"/>
      <c r="N169" s="43"/>
      <c r="O169" s="43"/>
      <c r="P169" s="43"/>
      <c r="Q169" s="43"/>
    </row>
  </sheetData>
  <sheetProtection formatColumns="0" formatRows="0"/>
  <conditionalFormatting sqref="S123 U123">
    <cfRule type="cellIs" dxfId="514" priority="122" operator="notEqual">
      <formula>0</formula>
    </cfRule>
    <cfRule type="cellIs" dxfId="513" priority="123" operator="equal">
      <formula>0</formula>
    </cfRule>
  </conditionalFormatting>
  <conditionalFormatting sqref="S92 S71 S38:S40 S36 S25 S94:S97 S121 S119 S100:S102">
    <cfRule type="expression" dxfId="512" priority="119">
      <formula>ROUND($S25,0)&lt;&gt;$K25</formula>
    </cfRule>
  </conditionalFormatting>
  <conditionalFormatting sqref="V121 T121 T119 V119 T92 V92 V71 T71 T38:T40 T36 V36 V38:V40 V25 T25 T94:T97 V94:V97 V100:V102 T100:T102">
    <cfRule type="cellIs" dxfId="511" priority="120" operator="between">
      <formula>-0.5</formula>
      <formula>0.5</formula>
    </cfRule>
    <cfRule type="cellIs" dxfId="510" priority="121" operator="notBetween">
      <formula>-0.5</formula>
      <formula>0.5</formula>
    </cfRule>
  </conditionalFormatting>
  <conditionalFormatting sqref="S25 S36 S38:S40 S71 S92 S94:S97 S119 S121 S100:S102">
    <cfRule type="expression" dxfId="509" priority="118">
      <formula>ROUND($S25,0)=$K25</formula>
    </cfRule>
  </conditionalFormatting>
  <conditionalFormatting sqref="U25 U36 U38:U40 U71 U92 U119 U121 U94:U97 U100:U102">
    <cfRule type="expression" dxfId="508" priority="116">
      <formula>ROUND($U25,0)&lt;&gt;$M25</formula>
    </cfRule>
    <cfRule type="expression" dxfId="507" priority="117">
      <formula>ROUND($U25,0)=$M25</formula>
    </cfRule>
  </conditionalFormatting>
  <conditionalFormatting sqref="K125">
    <cfRule type="cellIs" dxfId="506" priority="114" operator="notEqual">
      <formula>0</formula>
    </cfRule>
    <cfRule type="cellIs" dxfId="505" priority="115" operator="equal">
      <formula>0</formula>
    </cfRule>
  </conditionalFormatting>
  <conditionalFormatting sqref="U71">
    <cfRule type="expression" dxfId="504" priority="113">
      <formula>ROUND($S71,0)&lt;&gt;$K71</formula>
    </cfRule>
  </conditionalFormatting>
  <conditionalFormatting sqref="U71">
    <cfRule type="expression" dxfId="503" priority="112">
      <formula>ROUND($S71,0)=$K71</formula>
    </cfRule>
  </conditionalFormatting>
  <conditionalFormatting sqref="U92">
    <cfRule type="expression" dxfId="502" priority="111">
      <formula>ROUND($S92,0)&lt;&gt;$K92</formula>
    </cfRule>
  </conditionalFormatting>
  <conditionalFormatting sqref="U92">
    <cfRule type="expression" dxfId="501" priority="110">
      <formula>ROUND($S92,0)=$K92</formula>
    </cfRule>
  </conditionalFormatting>
  <conditionalFormatting sqref="S98:S99">
    <cfRule type="expression" dxfId="500" priority="82">
      <formula>ROUND($S98,0)&lt;&gt;$K98</formula>
    </cfRule>
  </conditionalFormatting>
  <conditionalFormatting sqref="T98:T99 V98:V99">
    <cfRule type="cellIs" dxfId="499" priority="83" operator="between">
      <formula>-0.5</formula>
      <formula>0.5</formula>
    </cfRule>
    <cfRule type="cellIs" dxfId="498" priority="84" operator="notBetween">
      <formula>-0.5</formula>
      <formula>0.5</formula>
    </cfRule>
  </conditionalFormatting>
  <conditionalFormatting sqref="S98:S99">
    <cfRule type="expression" dxfId="497" priority="81">
      <formula>ROUND($S98,0)=$K98</formula>
    </cfRule>
  </conditionalFormatting>
  <conditionalFormatting sqref="U98:U99">
    <cfRule type="expression" dxfId="496" priority="79">
      <formula>ROUND($U98,0)&lt;&gt;$M98</formula>
    </cfRule>
    <cfRule type="expression" dxfId="495" priority="80">
      <formula>ROUND($U98,0)=$M98</formula>
    </cfRule>
  </conditionalFormatting>
  <conditionalFormatting sqref="S46">
    <cfRule type="expression" dxfId="494" priority="72">
      <formula>ROUND($S46,0)&lt;&gt;$K46</formula>
    </cfRule>
  </conditionalFormatting>
  <conditionalFormatting sqref="T46 V46">
    <cfRule type="cellIs" dxfId="493" priority="73" operator="between">
      <formula>-0.5</formula>
      <formula>0.5</formula>
    </cfRule>
    <cfRule type="cellIs" dxfId="492" priority="74" operator="notBetween">
      <formula>-0.5</formula>
      <formula>0.5</formula>
    </cfRule>
  </conditionalFormatting>
  <conditionalFormatting sqref="S46">
    <cfRule type="expression" dxfId="491" priority="71">
      <formula>ROUND($S46,0)=$K46</formula>
    </cfRule>
  </conditionalFormatting>
  <conditionalFormatting sqref="U46">
    <cfRule type="expression" dxfId="490" priority="69">
      <formula>ROUND($U46,0)&lt;&gt;$M46</formula>
    </cfRule>
    <cfRule type="expression" dxfId="489" priority="70">
      <formula>ROUND($U46,0)=$M46</formula>
    </cfRule>
  </conditionalFormatting>
  <conditionalFormatting sqref="S41:S44">
    <cfRule type="expression" dxfId="488" priority="66">
      <formula>ROUND($S41,0)&lt;&gt;$K41</formula>
    </cfRule>
  </conditionalFormatting>
  <conditionalFormatting sqref="T41:T44 V41:V44">
    <cfRule type="cellIs" dxfId="487" priority="67" operator="between">
      <formula>-0.5</formula>
      <formula>0.5</formula>
    </cfRule>
    <cfRule type="cellIs" dxfId="486" priority="68" operator="notBetween">
      <formula>-0.5</formula>
      <formula>0.5</formula>
    </cfRule>
  </conditionalFormatting>
  <conditionalFormatting sqref="S41:S44">
    <cfRule type="expression" dxfId="485" priority="65">
      <formula>ROUND($S41,0)=$K41</formula>
    </cfRule>
  </conditionalFormatting>
  <conditionalFormatting sqref="U41:U44">
    <cfRule type="expression" dxfId="484" priority="63">
      <formula>ROUND($U41,0)&lt;&gt;$M41</formula>
    </cfRule>
    <cfRule type="expression" dxfId="483" priority="64">
      <formula>ROUND($U41,0)=$M41</formula>
    </cfRule>
  </conditionalFormatting>
  <conditionalFormatting sqref="S103">
    <cfRule type="expression" dxfId="482" priority="50">
      <formula>ROUND($S103,0)&lt;&gt;$K103</formula>
    </cfRule>
  </conditionalFormatting>
  <conditionalFormatting sqref="T103 V103">
    <cfRule type="cellIs" dxfId="481" priority="51" operator="between">
      <formula>-0.5</formula>
      <formula>0.5</formula>
    </cfRule>
    <cfRule type="cellIs" dxfId="480" priority="52" operator="notBetween">
      <formula>-0.5</formula>
      <formula>0.5</formula>
    </cfRule>
  </conditionalFormatting>
  <conditionalFormatting sqref="S103">
    <cfRule type="expression" dxfId="479" priority="49">
      <formula>ROUND($S103,0)=$K103</formula>
    </cfRule>
  </conditionalFormatting>
  <conditionalFormatting sqref="U103">
    <cfRule type="expression" dxfId="478" priority="47">
      <formula>ROUND($U103,0)&lt;&gt;$M103</formula>
    </cfRule>
    <cfRule type="expression" dxfId="477" priority="48">
      <formula>ROUND($U103,0)=$M103</formula>
    </cfRule>
  </conditionalFormatting>
  <conditionalFormatting sqref="K12:M23">
    <cfRule type="cellIs" dxfId="476" priority="45" operator="notEqual">
      <formula>0</formula>
    </cfRule>
    <cfRule type="containsBlanks" dxfId="475" priority="46">
      <formula>LEN(TRIM(K12))=0</formula>
    </cfRule>
  </conditionalFormatting>
  <conditionalFormatting sqref="K12:M23">
    <cfRule type="cellIs" dxfId="474" priority="44" operator="notEqual">
      <formula>K25</formula>
    </cfRule>
  </conditionalFormatting>
  <conditionalFormatting sqref="N12:N23">
    <cfRule type="cellIs" dxfId="473" priority="42" operator="notEqual">
      <formula>0</formula>
    </cfRule>
    <cfRule type="containsBlanks" dxfId="472" priority="43">
      <formula>LEN(TRIM(N12))=0</formula>
    </cfRule>
  </conditionalFormatting>
  <conditionalFormatting sqref="N12">
    <cfRule type="cellIs" dxfId="471" priority="41" operator="notEqual">
      <formula>N25</formula>
    </cfRule>
  </conditionalFormatting>
  <conditionalFormatting sqref="K12:M23">
    <cfRule type="cellIs" dxfId="470" priority="40" operator="notEqual">
      <formula>K30</formula>
    </cfRule>
  </conditionalFormatting>
  <conditionalFormatting sqref="K28:M34">
    <cfRule type="cellIs" dxfId="469" priority="35" operator="notEqual">
      <formula>0</formula>
    </cfRule>
    <cfRule type="containsBlanks" dxfId="468" priority="36">
      <formula>LEN(TRIM(K28))=0</formula>
    </cfRule>
  </conditionalFormatting>
  <conditionalFormatting sqref="K28:M28">
    <cfRule type="cellIs" dxfId="467" priority="34" operator="notEqual">
      <formula>K41</formula>
    </cfRule>
  </conditionalFormatting>
  <conditionalFormatting sqref="N28:N34">
    <cfRule type="cellIs" dxfId="466" priority="32" operator="notEqual">
      <formula>0</formula>
    </cfRule>
    <cfRule type="containsBlanks" dxfId="465" priority="33">
      <formula>LEN(TRIM(N28))=0</formula>
    </cfRule>
  </conditionalFormatting>
  <conditionalFormatting sqref="K28:M34">
    <cfRule type="cellIs" dxfId="464" priority="31" operator="notEqual">
      <formula>K47</formula>
    </cfRule>
  </conditionalFormatting>
  <conditionalFormatting sqref="K29:M31">
    <cfRule type="cellIs" dxfId="463" priority="37" operator="notEqual">
      <formula>K44</formula>
    </cfRule>
  </conditionalFormatting>
  <conditionalFormatting sqref="K33:M34">
    <cfRule type="cellIs" dxfId="462" priority="38" operator="notEqual">
      <formula>K47</formula>
    </cfRule>
  </conditionalFormatting>
  <conditionalFormatting sqref="K32:M32">
    <cfRule type="cellIs" dxfId="461" priority="39" operator="notEqual">
      <formula>#REF!</formula>
    </cfRule>
  </conditionalFormatting>
  <conditionalFormatting sqref="K41:M44">
    <cfRule type="cellIs" dxfId="460" priority="29" operator="notEqual">
      <formula>0</formula>
    </cfRule>
    <cfRule type="containsBlanks" dxfId="459" priority="30">
      <formula>LEN(TRIM(K41))=0</formula>
    </cfRule>
  </conditionalFormatting>
  <conditionalFormatting sqref="N41:N44">
    <cfRule type="cellIs" dxfId="458" priority="27" operator="notEqual">
      <formula>0</formula>
    </cfRule>
    <cfRule type="containsBlanks" dxfId="457" priority="28">
      <formula>LEN(TRIM(N41))=0</formula>
    </cfRule>
  </conditionalFormatting>
  <conditionalFormatting sqref="K51:M69">
    <cfRule type="cellIs" dxfId="456" priority="24" operator="notEqual">
      <formula>0</formula>
    </cfRule>
    <cfRule type="containsBlanks" dxfId="455" priority="25">
      <formula>LEN(TRIM(K51))=0</formula>
    </cfRule>
  </conditionalFormatting>
  <conditionalFormatting sqref="K69:M69">
    <cfRule type="cellIs" dxfId="454" priority="23" operator="notEqual">
      <formula>K89</formula>
    </cfRule>
  </conditionalFormatting>
  <conditionalFormatting sqref="N51:N69">
    <cfRule type="cellIs" dxfId="453" priority="21" operator="notEqual">
      <formula>0</formula>
    </cfRule>
    <cfRule type="containsBlanks" dxfId="452" priority="22">
      <formula>LEN(TRIM(N51))=0</formula>
    </cfRule>
  </conditionalFormatting>
  <conditionalFormatting sqref="N51 K51:M66">
    <cfRule type="cellIs" dxfId="451" priority="20" operator="notEqual">
      <formula>K71</formula>
    </cfRule>
  </conditionalFormatting>
  <conditionalFormatting sqref="K67:M68">
    <cfRule type="cellIs" dxfId="450" priority="26" operator="notEqual">
      <formula>K89</formula>
    </cfRule>
  </conditionalFormatting>
  <conditionalFormatting sqref="K81:M90">
    <cfRule type="cellIs" dxfId="449" priority="16" operator="notEqual">
      <formula>0</formula>
    </cfRule>
    <cfRule type="containsBlanks" dxfId="448" priority="17">
      <formula>LEN(TRIM(K81))=0</formula>
    </cfRule>
  </conditionalFormatting>
  <conditionalFormatting sqref="N81:N90">
    <cfRule type="cellIs" dxfId="447" priority="14" operator="notEqual">
      <formula>0</formula>
    </cfRule>
    <cfRule type="containsBlanks" dxfId="446" priority="15">
      <formula>LEN(TRIM(N81))=0</formula>
    </cfRule>
  </conditionalFormatting>
  <conditionalFormatting sqref="N81">
    <cfRule type="cellIs" dxfId="445" priority="13" operator="notEqual">
      <formula>N94</formula>
    </cfRule>
  </conditionalFormatting>
  <conditionalFormatting sqref="K89:M89">
    <cfRule type="cellIs" dxfId="444" priority="12" operator="notEqual">
      <formula>K110</formula>
    </cfRule>
  </conditionalFormatting>
  <conditionalFormatting sqref="K81:M90">
    <cfRule type="cellIs" dxfId="443" priority="18" operator="notEqual">
      <formula>K92</formula>
    </cfRule>
  </conditionalFormatting>
  <conditionalFormatting sqref="K82:M88">
    <cfRule type="cellIs" dxfId="442" priority="19" operator="notEqual">
      <formula>K105</formula>
    </cfRule>
  </conditionalFormatting>
  <conditionalFormatting sqref="K97:M100">
    <cfRule type="cellIs" dxfId="441" priority="10" operator="notEqual">
      <formula>0</formula>
    </cfRule>
    <cfRule type="containsBlanks" dxfId="440" priority="11">
      <formula>LEN(TRIM(K97))=0</formula>
    </cfRule>
  </conditionalFormatting>
  <conditionalFormatting sqref="N97:N100">
    <cfRule type="cellIs" dxfId="439" priority="8" operator="notEqual">
      <formula>0</formula>
    </cfRule>
    <cfRule type="containsBlanks" dxfId="438" priority="9">
      <formula>LEN(TRIM(N97))=0</formula>
    </cfRule>
  </conditionalFormatting>
  <conditionalFormatting sqref="K106:M117">
    <cfRule type="cellIs" dxfId="437" priority="6" operator="notEqual">
      <formula>0</formula>
    </cfRule>
    <cfRule type="containsBlanks" dxfId="436" priority="7">
      <formula>LEN(TRIM(K106))=0</formula>
    </cfRule>
  </conditionalFormatting>
  <conditionalFormatting sqref="N109 N111:N116 N106">
    <cfRule type="cellIs" dxfId="435" priority="4" operator="notEqual">
      <formula>0</formula>
    </cfRule>
    <cfRule type="containsBlanks" dxfId="434" priority="5">
      <formula>LEN(TRIM(N106))=0</formula>
    </cfRule>
  </conditionalFormatting>
  <conditionalFormatting sqref="K106:M106">
    <cfRule type="cellIs" dxfId="433" priority="3" operator="notEqual">
      <formula>K115</formula>
    </cfRule>
  </conditionalFormatting>
  <conditionalFormatting sqref="M125:N125">
    <cfRule type="cellIs" dxfId="432" priority="1" operator="notEqual">
      <formula>0</formula>
    </cfRule>
    <cfRule type="cellIs" dxfId="431" priority="2" operator="equal">
      <formula>0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4" man="1"/>
  </rowBreaks>
  <colBreaks count="1" manualBreakCount="1">
    <brk id="15" max="114" man="1"/>
  </colBreaks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  <pageSetUpPr fitToPage="1"/>
  </sheetPr>
  <dimension ref="A1:R70"/>
  <sheetViews>
    <sheetView zoomScale="80" zoomScaleNormal="80" zoomScaleSheetLayoutView="70" workbookViewId="0"/>
  </sheetViews>
  <sheetFormatPr defaultColWidth="11.140625" defaultRowHeight="12.75"/>
  <cols>
    <col min="1" max="6" width="11.140625" style="6"/>
    <col min="7" max="7" width="11.140625" style="11"/>
    <col min="8" max="8" width="13.85546875" style="6" customWidth="1"/>
    <col min="9" max="9" width="11.140625" style="11"/>
    <col min="10" max="10" width="12.28515625" style="6" customWidth="1"/>
    <col min="11" max="11" width="14.140625" style="6" customWidth="1"/>
    <col min="12" max="12" width="31.5703125" style="6" customWidth="1"/>
    <col min="13" max="13" width="11.140625" style="10"/>
    <col min="14" max="18" width="11.140625" style="5"/>
    <col min="19" max="16384" width="11.140625" style="6"/>
  </cols>
  <sheetData>
    <row r="1" spans="1:12">
      <c r="A1" s="260" t="str">
        <f>'[12]Contact Information'!$C$5</f>
        <v>FLORIDA KEYS COMMUNITY COLLEGE</v>
      </c>
      <c r="B1" s="260"/>
      <c r="C1" s="260"/>
      <c r="D1" s="260"/>
      <c r="E1" s="260"/>
      <c r="F1" s="260"/>
      <c r="G1" s="260"/>
      <c r="H1" s="260"/>
      <c r="I1" s="260"/>
      <c r="J1" s="260"/>
      <c r="K1" s="247"/>
      <c r="L1" s="3"/>
    </row>
    <row r="2" spans="1:12">
      <c r="A2" s="256" t="s">
        <v>0</v>
      </c>
      <c r="B2" s="256"/>
      <c r="C2" s="256"/>
      <c r="D2" s="256"/>
      <c r="E2" s="256"/>
      <c r="F2" s="256"/>
      <c r="G2" s="256"/>
      <c r="H2" s="256"/>
      <c r="I2" s="256"/>
      <c r="J2" s="256"/>
      <c r="K2" s="245"/>
      <c r="L2" s="7"/>
    </row>
    <row r="3" spans="1:12">
      <c r="A3" s="86" t="s">
        <v>1</v>
      </c>
      <c r="B3" s="86"/>
      <c r="C3" s="86"/>
      <c r="D3" s="86"/>
      <c r="E3" s="86"/>
      <c r="F3" s="86"/>
      <c r="G3" s="86"/>
      <c r="H3" s="86"/>
      <c r="I3" s="86"/>
      <c r="J3" s="86"/>
      <c r="K3" s="248"/>
      <c r="L3" s="9" t="s">
        <v>2</v>
      </c>
    </row>
    <row r="4" spans="1:12">
      <c r="A4" s="261" t="s">
        <v>297</v>
      </c>
      <c r="B4" s="261"/>
      <c r="C4" s="261"/>
      <c r="D4" s="261"/>
      <c r="E4" s="261"/>
      <c r="F4" s="261"/>
      <c r="G4" s="261"/>
      <c r="H4" s="261"/>
      <c r="I4" s="261"/>
      <c r="J4" s="261"/>
      <c r="K4" s="249"/>
      <c r="L4" s="11" t="str">
        <f>'[12]Contact Information'!$C$3</f>
        <v>2015.v02</v>
      </c>
    </row>
    <row r="5" spans="1:12">
      <c r="A5" s="14"/>
      <c r="B5" s="14"/>
      <c r="C5" s="14"/>
      <c r="D5" s="14"/>
      <c r="E5" s="14"/>
      <c r="F5" s="14"/>
      <c r="G5" s="15"/>
      <c r="H5" s="16"/>
      <c r="I5" s="17"/>
      <c r="J5" s="16"/>
      <c r="K5" s="16"/>
      <c r="L5" s="18"/>
    </row>
    <row r="6" spans="1:12">
      <c r="A6" s="14"/>
      <c r="B6" s="14"/>
      <c r="C6" s="14"/>
      <c r="D6" s="14"/>
      <c r="E6" s="14"/>
      <c r="F6" s="14"/>
      <c r="G6" s="15"/>
      <c r="H6" s="249" t="s">
        <v>5</v>
      </c>
      <c r="I6" s="21"/>
      <c r="J6" s="22" t="s">
        <v>6</v>
      </c>
      <c r="K6" s="22" t="s">
        <v>7</v>
      </c>
      <c r="L6" s="23"/>
    </row>
    <row r="7" spans="1:12">
      <c r="A7" s="14"/>
      <c r="B7" s="14"/>
      <c r="C7" s="14"/>
      <c r="D7" s="14"/>
      <c r="E7" s="14"/>
      <c r="F7" s="14"/>
      <c r="G7" s="15"/>
      <c r="H7" s="24"/>
      <c r="I7" s="25"/>
      <c r="J7" s="26" t="str">
        <f>[12]SNP!$M$9</f>
        <v>Unit</v>
      </c>
      <c r="K7" s="26"/>
      <c r="L7" s="27"/>
    </row>
    <row r="8" spans="1:12">
      <c r="A8" s="29" t="s">
        <v>9</v>
      </c>
      <c r="B8" s="14"/>
      <c r="C8" s="14"/>
      <c r="D8" s="14"/>
      <c r="E8" s="14"/>
      <c r="F8" s="14"/>
      <c r="G8" s="15"/>
      <c r="H8" s="25"/>
      <c r="I8" s="25"/>
      <c r="J8" s="25"/>
      <c r="K8" s="25"/>
      <c r="L8" s="30"/>
    </row>
    <row r="9" spans="1:12">
      <c r="A9" s="14" t="s">
        <v>12</v>
      </c>
      <c r="B9" s="14"/>
      <c r="C9" s="14"/>
      <c r="D9" s="14"/>
      <c r="E9" s="14"/>
      <c r="F9" s="14"/>
      <c r="G9" s="15"/>
      <c r="H9" s="17"/>
      <c r="I9" s="17"/>
      <c r="J9" s="17"/>
      <c r="K9" s="17"/>
      <c r="L9" s="18"/>
    </row>
    <row r="10" spans="1:12">
      <c r="A10" s="35"/>
      <c r="B10" s="36" t="s">
        <v>14</v>
      </c>
      <c r="C10" s="14"/>
      <c r="D10" s="14"/>
      <c r="E10" s="14"/>
      <c r="F10" s="14"/>
      <c r="G10" s="35"/>
      <c r="H10" s="35"/>
      <c r="I10" s="17"/>
      <c r="J10" s="35"/>
      <c r="K10" s="35"/>
      <c r="L10" s="37"/>
    </row>
    <row r="11" spans="1:12">
      <c r="A11" s="35"/>
      <c r="B11" s="44" t="s">
        <v>19</v>
      </c>
      <c r="C11" s="35"/>
      <c r="D11" s="263">
        <v>0</v>
      </c>
      <c r="E11" s="263"/>
      <c r="F11" s="45"/>
      <c r="G11" s="36"/>
      <c r="H11" s="232">
        <v>2029444</v>
      </c>
      <c r="I11" s="229"/>
      <c r="J11" s="228">
        <v>0</v>
      </c>
      <c r="K11" s="228">
        <f>ROUND(J11,0)+ROUND(H11,0)</f>
        <v>2029444</v>
      </c>
      <c r="L11" s="46"/>
    </row>
    <row r="12" spans="1:12">
      <c r="A12" s="35"/>
      <c r="B12" s="36" t="s">
        <v>22</v>
      </c>
      <c r="C12" s="14"/>
      <c r="D12" s="48"/>
      <c r="E12" s="49"/>
      <c r="F12" s="15"/>
      <c r="G12" s="35"/>
      <c r="H12" s="50">
        <v>370051</v>
      </c>
      <c r="I12" s="230"/>
      <c r="J12" s="50">
        <v>0</v>
      </c>
      <c r="K12" s="50">
        <f>ROUND(J12,0)+ROUND(H12,0)</f>
        <v>370051</v>
      </c>
      <c r="L12" s="51"/>
    </row>
    <row r="13" spans="1:12">
      <c r="A13" s="35"/>
      <c r="B13" s="36" t="s">
        <v>24</v>
      </c>
      <c r="C13" s="14"/>
      <c r="D13" s="48"/>
      <c r="E13" s="48"/>
      <c r="F13" s="14"/>
      <c r="G13" s="35"/>
      <c r="H13" s="50">
        <v>15622</v>
      </c>
      <c r="I13" s="230"/>
      <c r="J13" s="50">
        <v>0</v>
      </c>
      <c r="K13" s="50">
        <f>ROUND(J13,0)+ROUND(H13,0)</f>
        <v>15622</v>
      </c>
      <c r="L13" s="51"/>
    </row>
    <row r="14" spans="1:12">
      <c r="A14" s="35"/>
      <c r="B14" s="36" t="s">
        <v>26</v>
      </c>
      <c r="C14" s="14"/>
      <c r="D14" s="48"/>
      <c r="E14" s="48"/>
      <c r="F14" s="14"/>
      <c r="G14" s="35"/>
      <c r="H14" s="50">
        <v>88611</v>
      </c>
      <c r="I14" s="230"/>
      <c r="J14" s="50">
        <v>0</v>
      </c>
      <c r="K14" s="50">
        <f>ROUND(J14,0)+ROUND(H14,0)</f>
        <v>88611</v>
      </c>
      <c r="L14" s="51"/>
    </row>
    <row r="15" spans="1:12">
      <c r="A15" s="35"/>
      <c r="B15" s="36" t="s">
        <v>28</v>
      </c>
      <c r="C15" s="14"/>
      <c r="D15" s="48"/>
      <c r="E15" s="48"/>
      <c r="F15" s="35"/>
      <c r="G15" s="35"/>
      <c r="H15" s="50">
        <v>0</v>
      </c>
      <c r="I15" s="230"/>
      <c r="J15" s="50">
        <v>0</v>
      </c>
      <c r="K15" s="50">
        <f>ROUND(J15,0)+ROUND(H15,0)</f>
        <v>0</v>
      </c>
      <c r="L15" s="51"/>
    </row>
    <row r="16" spans="1:12">
      <c r="A16" s="35"/>
      <c r="B16" s="36" t="s">
        <v>29</v>
      </c>
      <c r="C16" s="14"/>
      <c r="D16" s="54"/>
      <c r="E16" s="49"/>
      <c r="F16" s="55"/>
      <c r="G16" s="35"/>
      <c r="H16" s="35"/>
      <c r="I16" s="230"/>
      <c r="J16" s="35"/>
      <c r="K16" s="35"/>
      <c r="L16" s="37"/>
    </row>
    <row r="17" spans="1:12">
      <c r="A17" s="35"/>
      <c r="B17" s="44" t="s">
        <v>19</v>
      </c>
      <c r="C17" s="35"/>
      <c r="D17" s="263">
        <v>0</v>
      </c>
      <c r="E17" s="263"/>
      <c r="F17" s="55"/>
      <c r="G17" s="35"/>
      <c r="H17" s="50">
        <v>68595</v>
      </c>
      <c r="I17" s="230"/>
      <c r="J17" s="50">
        <v>0</v>
      </c>
      <c r="K17" s="50">
        <f>ROUND(J17,0)+ROUND(H17,0)</f>
        <v>68595</v>
      </c>
      <c r="L17" s="51"/>
    </row>
    <row r="18" spans="1:12">
      <c r="A18" s="35"/>
      <c r="B18" s="57" t="s">
        <v>33</v>
      </c>
      <c r="C18" s="14"/>
      <c r="D18" s="14"/>
      <c r="E18" s="14"/>
      <c r="F18" s="14"/>
      <c r="G18" s="36"/>
      <c r="H18" s="58">
        <v>398779</v>
      </c>
      <c r="I18" s="230"/>
      <c r="J18" s="58">
        <v>971644</v>
      </c>
      <c r="K18" s="58">
        <f>ROUND(J18,0)+ROUND(H18,0)</f>
        <v>1370423</v>
      </c>
      <c r="L18" s="51"/>
    </row>
    <row r="19" spans="1:12">
      <c r="A19" s="36"/>
      <c r="B19" s="36"/>
      <c r="C19" s="36"/>
      <c r="D19" s="36"/>
      <c r="E19" s="36"/>
      <c r="F19" s="59"/>
      <c r="G19" s="59"/>
      <c r="H19" s="59"/>
      <c r="I19" s="60"/>
      <c r="J19" s="60"/>
      <c r="K19" s="60"/>
      <c r="L19" s="61"/>
    </row>
    <row r="20" spans="1:12">
      <c r="A20" s="35"/>
      <c r="B20" s="65" t="s">
        <v>35</v>
      </c>
      <c r="C20" s="35"/>
      <c r="D20" s="14"/>
      <c r="E20" s="14"/>
      <c r="F20" s="14"/>
      <c r="G20" s="15"/>
      <c r="H20" s="66">
        <f t="array" ref="H20">SUM(ROUND(H11:H18,0))</f>
        <v>2971102</v>
      </c>
      <c r="I20" s="67"/>
      <c r="J20" s="66">
        <f t="array" ref="J20">SUM(ROUND(J11:J18,0))</f>
        <v>971644</v>
      </c>
      <c r="K20" s="66">
        <f t="array" ref="K20">SUM(ROUND(K11:K18,0))</f>
        <v>3942746</v>
      </c>
      <c r="L20" s="68"/>
    </row>
    <row r="21" spans="1:12">
      <c r="A21" s="14"/>
      <c r="B21" s="14"/>
      <c r="C21" s="14"/>
      <c r="D21" s="14"/>
      <c r="E21" s="14"/>
      <c r="F21" s="14"/>
      <c r="G21" s="15"/>
      <c r="H21" s="17"/>
      <c r="I21" s="17"/>
      <c r="J21" s="17"/>
      <c r="K21" s="17"/>
      <c r="L21" s="18"/>
    </row>
    <row r="22" spans="1:12">
      <c r="A22" s="29" t="s">
        <v>36</v>
      </c>
      <c r="B22" s="14"/>
      <c r="C22" s="14"/>
      <c r="D22" s="14"/>
      <c r="E22" s="14"/>
      <c r="F22" s="14"/>
      <c r="G22" s="15"/>
      <c r="H22" s="16"/>
      <c r="I22" s="17"/>
      <c r="J22" s="16"/>
      <c r="K22" s="16"/>
      <c r="L22" s="18"/>
    </row>
    <row r="23" spans="1:12">
      <c r="A23" s="14" t="s">
        <v>37</v>
      </c>
      <c r="B23" s="14"/>
      <c r="C23" s="14"/>
      <c r="D23" s="14"/>
      <c r="E23" s="35"/>
      <c r="F23" s="14"/>
      <c r="G23" s="15"/>
      <c r="H23" s="16"/>
      <c r="I23" s="17"/>
      <c r="J23" s="16"/>
      <c r="K23" s="16"/>
      <c r="L23" s="18"/>
    </row>
    <row r="24" spans="1:12">
      <c r="A24" s="44"/>
      <c r="B24" s="36" t="s">
        <v>40</v>
      </c>
      <c r="C24" s="14"/>
      <c r="D24" s="14"/>
      <c r="E24" s="35"/>
      <c r="F24" s="14"/>
      <c r="G24" s="15"/>
      <c r="H24" s="50">
        <v>6985350.0599999996</v>
      </c>
      <c r="I24" s="230"/>
      <c r="J24" s="50"/>
      <c r="K24" s="50">
        <f t="shared" ref="K24:K30" si="0">ROUND(J24,0)+ROUND(H24,0)</f>
        <v>6985350</v>
      </c>
      <c r="L24" s="51"/>
    </row>
    <row r="25" spans="1:12">
      <c r="A25" s="44"/>
      <c r="B25" s="36" t="s">
        <v>42</v>
      </c>
      <c r="C25" s="14"/>
      <c r="D25" s="14"/>
      <c r="E25" s="35"/>
      <c r="F25" s="14"/>
      <c r="G25" s="15"/>
      <c r="H25" s="50">
        <v>308154</v>
      </c>
      <c r="I25" s="230"/>
      <c r="J25" s="50">
        <v>96241</v>
      </c>
      <c r="K25" s="50">
        <f t="shared" si="0"/>
        <v>404395</v>
      </c>
      <c r="L25" s="51"/>
    </row>
    <row r="26" spans="1:12">
      <c r="A26" s="44"/>
      <c r="B26" s="36" t="s">
        <v>44</v>
      </c>
      <c r="C26" s="14"/>
      <c r="D26" s="14"/>
      <c r="E26" s="35"/>
      <c r="F26" s="14"/>
      <c r="G26" s="15"/>
      <c r="H26" s="50">
        <v>639993</v>
      </c>
      <c r="I26" s="230"/>
      <c r="J26" s="50"/>
      <c r="K26" s="50">
        <f t="shared" si="0"/>
        <v>639993</v>
      </c>
      <c r="L26" s="51"/>
    </row>
    <row r="27" spans="1:12">
      <c r="A27" s="44"/>
      <c r="B27" s="36" t="s">
        <v>46</v>
      </c>
      <c r="C27" s="14"/>
      <c r="D27" s="14"/>
      <c r="E27" s="35"/>
      <c r="F27" s="14"/>
      <c r="G27" s="15"/>
      <c r="H27" s="50">
        <v>980813.62999999989</v>
      </c>
      <c r="I27" s="230"/>
      <c r="J27" s="50"/>
      <c r="K27" s="50">
        <f t="shared" si="0"/>
        <v>980814</v>
      </c>
      <c r="L27" s="51"/>
    </row>
    <row r="28" spans="1:12">
      <c r="A28" s="44"/>
      <c r="B28" s="36" t="s">
        <v>48</v>
      </c>
      <c r="C28" s="14"/>
      <c r="D28" s="14"/>
      <c r="E28" s="35"/>
      <c r="F28" s="14"/>
      <c r="G28" s="15"/>
      <c r="H28" s="50">
        <v>1206422</v>
      </c>
      <c r="I28" s="230"/>
      <c r="J28" s="50">
        <v>248858</v>
      </c>
      <c r="K28" s="50">
        <f t="shared" si="0"/>
        <v>1455280</v>
      </c>
      <c r="L28" s="51"/>
    </row>
    <row r="29" spans="1:12">
      <c r="A29" s="44"/>
      <c r="B29" s="36" t="s">
        <v>50</v>
      </c>
      <c r="C29" s="14"/>
      <c r="D29" s="14"/>
      <c r="E29" s="35"/>
      <c r="F29" s="14"/>
      <c r="G29" s="15"/>
      <c r="H29" s="233">
        <v>568740</v>
      </c>
      <c r="I29" s="230"/>
      <c r="J29" s="50"/>
      <c r="K29" s="50">
        <f t="shared" si="0"/>
        <v>568740</v>
      </c>
      <c r="L29" s="51"/>
    </row>
    <row r="30" spans="1:12">
      <c r="A30" s="44"/>
      <c r="B30" s="36" t="s">
        <v>53</v>
      </c>
      <c r="C30" s="14"/>
      <c r="D30" s="14"/>
      <c r="E30" s="35"/>
      <c r="F30" s="14"/>
      <c r="G30" s="15"/>
      <c r="H30" s="231">
        <f>'[12]Accounts by GL'!O481</f>
        <v>1127353.3999999999</v>
      </c>
      <c r="I30" s="230"/>
      <c r="J30" s="58">
        <v>188886</v>
      </c>
      <c r="K30" s="58">
        <f t="shared" si="0"/>
        <v>1316239</v>
      </c>
      <c r="L30" s="51"/>
    </row>
    <row r="31" spans="1:12">
      <c r="A31" s="44"/>
      <c r="B31" s="36"/>
      <c r="C31" s="14"/>
      <c r="D31" s="14"/>
      <c r="E31" s="35"/>
      <c r="F31" s="14"/>
      <c r="G31" s="15"/>
      <c r="H31" s="73"/>
      <c r="I31" s="73"/>
      <c r="J31" s="73"/>
      <c r="K31" s="73"/>
      <c r="L31" s="74"/>
    </row>
    <row r="32" spans="1:12">
      <c r="A32" s="14"/>
      <c r="B32" s="65" t="s">
        <v>55</v>
      </c>
      <c r="C32" s="35"/>
      <c r="D32" s="14"/>
      <c r="E32" s="14"/>
      <c r="F32" s="14"/>
      <c r="G32" s="15"/>
      <c r="H32" s="66">
        <f t="array" ref="H32">SUM(ROUND(H24:H30,0))</f>
        <v>11816826</v>
      </c>
      <c r="I32" s="59"/>
      <c r="J32" s="66">
        <f t="array" ref="J32">SUM(ROUND(J24:J30,0))</f>
        <v>533985</v>
      </c>
      <c r="K32" s="66">
        <f t="array" ref="K32">SUM(ROUND(K24:K30,0))</f>
        <v>12350811</v>
      </c>
      <c r="L32" s="68"/>
    </row>
    <row r="33" spans="1:12">
      <c r="A33" s="44"/>
      <c r="B33" s="76"/>
      <c r="C33" s="14"/>
      <c r="D33" s="14"/>
      <c r="E33" s="35"/>
      <c r="F33" s="14"/>
      <c r="G33" s="15"/>
      <c r="H33" s="59"/>
      <c r="I33" s="59"/>
      <c r="J33" s="59"/>
      <c r="K33" s="59"/>
      <c r="L33" s="77"/>
    </row>
    <row r="34" spans="1:12">
      <c r="A34" s="14"/>
      <c r="B34" s="65" t="str">
        <f>IF(H34&lt;0,IF(J34&gt;0,"Operating Income (Loss)","Operating Loss"),IF(H34&gt;0,IF(J34&gt;=0,"Operating Income","Operating Income (Loss)"),IF(J34&lt;0,"Operating Loss",IF(J34&gt;0,"Operating Income","Operating Income (Loss)"))))</f>
        <v>Operating Income (Loss)</v>
      </c>
      <c r="C34" s="35"/>
      <c r="D34" s="14"/>
      <c r="E34" s="14"/>
      <c r="F34" s="14"/>
      <c r="G34" s="15"/>
      <c r="H34" s="66">
        <f>H20-H32</f>
        <v>-8845724</v>
      </c>
      <c r="I34" s="67"/>
      <c r="J34" s="66">
        <f>J20-J32</f>
        <v>437659</v>
      </c>
      <c r="K34" s="66">
        <f>K20-K32</f>
        <v>-8408065</v>
      </c>
      <c r="L34" s="68"/>
    </row>
    <row r="35" spans="1:12">
      <c r="A35" s="14"/>
      <c r="B35" s="14"/>
      <c r="C35" s="14"/>
      <c r="D35" s="14"/>
      <c r="E35" s="14"/>
      <c r="F35" s="14"/>
      <c r="G35" s="15"/>
      <c r="H35" s="78"/>
      <c r="I35" s="78"/>
      <c r="J35" s="78"/>
      <c r="K35" s="78"/>
      <c r="L35" s="79"/>
    </row>
    <row r="36" spans="1:12">
      <c r="A36" s="29" t="s">
        <v>56</v>
      </c>
      <c r="B36" s="35"/>
      <c r="C36" s="14"/>
      <c r="D36" s="14"/>
      <c r="E36" s="14"/>
      <c r="F36" s="14"/>
      <c r="G36" s="15"/>
      <c r="H36" s="16"/>
      <c r="I36" s="17"/>
      <c r="J36" s="16"/>
      <c r="K36" s="16"/>
      <c r="L36" s="18"/>
    </row>
    <row r="37" spans="1:12">
      <c r="A37" s="36" t="s">
        <v>59</v>
      </c>
      <c r="B37" s="35"/>
      <c r="C37" s="14"/>
      <c r="D37" s="14"/>
      <c r="E37" s="35"/>
      <c r="F37" s="14"/>
      <c r="G37" s="15"/>
      <c r="H37" s="80">
        <v>6604412</v>
      </c>
      <c r="I37" s="49"/>
      <c r="J37" s="80">
        <v>0</v>
      </c>
      <c r="K37" s="80">
        <f t="shared" ref="K37:K45" si="1">ROUND(J37,0)+ROUND(H37,0)</f>
        <v>6604412</v>
      </c>
      <c r="L37" s="81"/>
    </row>
    <row r="38" spans="1:12">
      <c r="A38" s="36" t="s">
        <v>61</v>
      </c>
      <c r="B38" s="35"/>
      <c r="C38" s="14"/>
      <c r="D38" s="14"/>
      <c r="E38" s="35"/>
      <c r="F38" s="14"/>
      <c r="G38" s="15"/>
      <c r="H38" s="80">
        <v>1385911</v>
      </c>
      <c r="I38" s="49"/>
      <c r="J38" s="80">
        <v>0</v>
      </c>
      <c r="K38" s="80">
        <f t="shared" si="1"/>
        <v>1385911</v>
      </c>
      <c r="L38" s="81"/>
    </row>
    <row r="39" spans="1:12">
      <c r="A39" s="36" t="s">
        <v>63</v>
      </c>
      <c r="B39" s="35"/>
      <c r="C39" s="14"/>
      <c r="D39" s="14"/>
      <c r="E39" s="35"/>
      <c r="F39" s="14"/>
      <c r="G39" s="15"/>
      <c r="H39" s="80">
        <v>17072</v>
      </c>
      <c r="I39" s="49"/>
      <c r="J39" s="80">
        <v>0</v>
      </c>
      <c r="K39" s="80">
        <f t="shared" si="1"/>
        <v>17072</v>
      </c>
      <c r="L39" s="81"/>
    </row>
    <row r="40" spans="1:12">
      <c r="A40" s="36" t="s">
        <v>66</v>
      </c>
      <c r="B40" s="35"/>
      <c r="C40" s="14"/>
      <c r="D40" s="14"/>
      <c r="E40" s="35"/>
      <c r="F40" s="14"/>
      <c r="G40" s="15"/>
      <c r="H40" s="80">
        <v>18699</v>
      </c>
      <c r="I40" s="49"/>
      <c r="J40" s="80">
        <v>175186</v>
      </c>
      <c r="K40" s="80">
        <f t="shared" si="1"/>
        <v>193885</v>
      </c>
      <c r="L40" s="81"/>
    </row>
    <row r="41" spans="1:12">
      <c r="A41" s="36" t="str">
        <f>IF(H41&lt;0,IF(J41&gt;0,"Net Gain (Loss) on Investments","Net Loss on Investments"),IF(H41&gt;0,IF(J41&gt;=0,"Net Gain on Investments","Net Gain (Loss) on Investments"),IF(J41&lt;0,"Net Loss on Investments",IF(J41&gt;0,"Net Gain on Investments","Net Gain (Loss) on Investments"))))</f>
        <v>Net Gain (Loss) on Investments</v>
      </c>
      <c r="B41" s="35"/>
      <c r="C41" s="14"/>
      <c r="D41" s="14"/>
      <c r="E41" s="35"/>
      <c r="F41" s="14"/>
      <c r="G41" s="15"/>
      <c r="H41" s="80"/>
      <c r="I41" s="49"/>
      <c r="J41" s="80">
        <v>0</v>
      </c>
      <c r="K41" s="80">
        <f t="shared" si="1"/>
        <v>0</v>
      </c>
      <c r="L41" s="81"/>
    </row>
    <row r="42" spans="1:12">
      <c r="A42" s="36" t="s">
        <v>69</v>
      </c>
      <c r="B42" s="35"/>
      <c r="C42" s="14"/>
      <c r="D42" s="14"/>
      <c r="E42" s="35"/>
      <c r="F42" s="14"/>
      <c r="G42" s="15"/>
      <c r="H42" s="234">
        <v>20610</v>
      </c>
      <c r="I42" s="49"/>
      <c r="J42" s="80">
        <v>211</v>
      </c>
      <c r="K42" s="80">
        <f t="shared" si="1"/>
        <v>20821</v>
      </c>
      <c r="L42" s="81"/>
    </row>
    <row r="43" spans="1:12">
      <c r="A43" s="36" t="str">
        <f>IF(H43&lt;0,IF(J43&gt;0,"Gain (Loss) on Disposal of Capital Assets","Loss on Disposal of Capital Assets"),IF(H43&gt;0,IF(J43&gt;=0,"Gain on Disposal of Capital Assets","Gain (Loss) on Disposal of Capital Assets"),IF(J43&lt;0,"Loss on Disposal of Capital Assets",IF(J43&gt;0,"Gain on Disposal of Capital Assets","Gain (Loss) on Disposal of Capital Assets"))))</f>
        <v>Gain on Disposal of Capital Assets</v>
      </c>
      <c r="B43" s="35"/>
      <c r="C43" s="14"/>
      <c r="D43" s="14"/>
      <c r="E43" s="35"/>
      <c r="F43" s="14"/>
      <c r="G43" s="15"/>
      <c r="H43" s="80">
        <v>118009</v>
      </c>
      <c r="I43" s="49"/>
      <c r="J43" s="80">
        <v>0</v>
      </c>
      <c r="K43" s="80">
        <f t="shared" si="1"/>
        <v>118009</v>
      </c>
      <c r="L43" s="81"/>
    </row>
    <row r="44" spans="1:12">
      <c r="A44" s="36" t="s">
        <v>73</v>
      </c>
      <c r="B44" s="35"/>
      <c r="C44" s="35"/>
      <c r="D44" s="35"/>
      <c r="E44" s="35"/>
      <c r="F44" s="35"/>
      <c r="G44" s="35"/>
      <c r="H44" s="80">
        <v>-2773</v>
      </c>
      <c r="I44" s="49"/>
      <c r="J44" s="80">
        <v>-581350</v>
      </c>
      <c r="K44" s="80">
        <f t="shared" si="1"/>
        <v>-584123</v>
      </c>
      <c r="L44" s="81"/>
    </row>
    <row r="45" spans="1:12">
      <c r="A45" s="36" t="s">
        <v>75</v>
      </c>
      <c r="B45" s="35"/>
      <c r="C45" s="14"/>
      <c r="D45" s="14"/>
      <c r="E45" s="35"/>
      <c r="F45" s="14"/>
      <c r="G45" s="15"/>
      <c r="H45" s="82">
        <v>-788</v>
      </c>
      <c r="I45" s="49"/>
      <c r="J45" s="82">
        <v>0</v>
      </c>
      <c r="K45" s="82">
        <f t="shared" si="1"/>
        <v>-788</v>
      </c>
      <c r="L45" s="81"/>
    </row>
    <row r="46" spans="1:12">
      <c r="A46" s="35"/>
      <c r="B46" s="35"/>
      <c r="C46" s="35"/>
      <c r="D46" s="35"/>
      <c r="E46" s="35"/>
      <c r="F46" s="35"/>
      <c r="G46" s="35"/>
      <c r="H46" s="83"/>
      <c r="I46" s="84"/>
      <c r="J46" s="83"/>
      <c r="K46" s="83"/>
      <c r="L46" s="85"/>
    </row>
    <row r="47" spans="1:12">
      <c r="A47" s="29" t="s">
        <v>77</v>
      </c>
      <c r="B47" s="35"/>
      <c r="C47" s="14"/>
      <c r="D47" s="14"/>
      <c r="E47" s="14"/>
      <c r="F47" s="14"/>
      <c r="G47" s="15"/>
      <c r="H47" s="66">
        <f t="array" ref="H47">SUM(ROUND(H37:H45,0))</f>
        <v>8161152</v>
      </c>
      <c r="I47" s="59"/>
      <c r="J47" s="66">
        <f t="array" ref="J47">SUM(ROUND(J37:J45,0))</f>
        <v>-405953</v>
      </c>
      <c r="K47" s="66">
        <f t="array" ref="K47">SUM(ROUND(K37:K45,0))</f>
        <v>7755199</v>
      </c>
      <c r="L47" s="68"/>
    </row>
    <row r="48" spans="1:12">
      <c r="A48" s="86"/>
      <c r="B48" s="87"/>
      <c r="C48" s="15"/>
      <c r="D48" s="15"/>
      <c r="E48" s="15"/>
      <c r="F48" s="15"/>
      <c r="G48" s="15"/>
      <c r="H48" s="59"/>
      <c r="I48" s="59"/>
      <c r="J48" s="59"/>
      <c r="K48" s="59"/>
      <c r="L48" s="77"/>
    </row>
    <row r="49" spans="1:12">
      <c r="A49" s="65" t="str">
        <f>IF(H50&lt;0,IF(J50&gt;0,"Income (Loss) Before Other Revenues,","Loss Before Other Revenues,"),IF(H50&gt;0,IF(J50&gt;=0,"Income Before Other Revenues,","Income (Loss) Before Other Revenues,"),IF(J59&lt;0,"Loss Before Other Revenues,",IF(J59&gt;0,"Income Before Other Revenues,","Income (Loss) Before Other Revenues,"))))</f>
        <v>Income (Loss) Before Other Revenues,</v>
      </c>
      <c r="B49" s="35"/>
      <c r="C49" s="35"/>
      <c r="D49" s="14"/>
      <c r="E49" s="14"/>
      <c r="F49" s="14"/>
      <c r="G49" s="15"/>
      <c r="H49" s="35"/>
      <c r="I49" s="35"/>
      <c r="J49" s="35"/>
      <c r="K49" s="35"/>
      <c r="L49" s="37"/>
    </row>
    <row r="50" spans="1:12">
      <c r="A50" s="14"/>
      <c r="B50" s="29" t="s">
        <v>78</v>
      </c>
      <c r="C50" s="14"/>
      <c r="D50" s="14"/>
      <c r="E50" s="14"/>
      <c r="F50" s="14"/>
      <c r="G50" s="15"/>
      <c r="H50" s="66">
        <f>H34+H47</f>
        <v>-684572</v>
      </c>
      <c r="I50" s="59"/>
      <c r="J50" s="66">
        <f>J34+J47</f>
        <v>31706</v>
      </c>
      <c r="K50" s="66">
        <f>K34+K47</f>
        <v>-652866</v>
      </c>
      <c r="L50" s="68"/>
    </row>
    <row r="51" spans="1:12">
      <c r="A51" s="14"/>
      <c r="B51" s="29"/>
      <c r="C51" s="14"/>
      <c r="D51" s="14"/>
      <c r="E51" s="14"/>
      <c r="F51" s="14"/>
      <c r="G51" s="15"/>
      <c r="H51" s="17"/>
      <c r="I51" s="17"/>
      <c r="J51" s="17"/>
      <c r="K51" s="17"/>
      <c r="L51" s="18"/>
    </row>
    <row r="52" spans="1:12">
      <c r="A52" s="36" t="s">
        <v>80</v>
      </c>
      <c r="B52" s="35"/>
      <c r="C52" s="14"/>
      <c r="D52" s="14"/>
      <c r="E52" s="14"/>
      <c r="F52" s="35"/>
      <c r="G52" s="15"/>
      <c r="H52" s="80">
        <v>92646</v>
      </c>
      <c r="I52" s="49"/>
      <c r="J52" s="80">
        <v>0</v>
      </c>
      <c r="K52" s="80">
        <f>ROUND(J52,0)+ROUND(H52,0)</f>
        <v>92646</v>
      </c>
      <c r="L52" s="81"/>
    </row>
    <row r="53" spans="1:12">
      <c r="A53" s="36" t="s">
        <v>83</v>
      </c>
      <c r="B53" s="35"/>
      <c r="C53" s="14"/>
      <c r="D53" s="14"/>
      <c r="E53" s="14"/>
      <c r="F53" s="35"/>
      <c r="G53" s="15"/>
      <c r="H53" s="50">
        <v>508253</v>
      </c>
      <c r="I53" s="230"/>
      <c r="J53" s="50">
        <v>0</v>
      </c>
      <c r="K53" s="50">
        <f>ROUND(J53,0)+ROUND(H53,0)</f>
        <v>508253</v>
      </c>
      <c r="L53" s="51"/>
    </row>
    <row r="54" spans="1:12">
      <c r="A54" s="14" t="s">
        <v>86</v>
      </c>
      <c r="B54" s="35"/>
      <c r="C54" s="14"/>
      <c r="D54" s="14"/>
      <c r="E54" s="14"/>
      <c r="F54" s="35"/>
      <c r="G54" s="15"/>
      <c r="H54" s="89">
        <v>0</v>
      </c>
      <c r="I54" s="230"/>
      <c r="J54" s="89">
        <v>0</v>
      </c>
      <c r="K54" s="89">
        <f>ROUND(J54,0)+ROUND(H54,0)</f>
        <v>0</v>
      </c>
      <c r="L54" s="51"/>
    </row>
    <row r="55" spans="1:12">
      <c r="A55" s="76" t="str">
        <f>IF(H55&lt;0,IF(J55&gt;0,"Other Revenues (Expenses)","Other Expenses"),IF(H55&gt;0,IF(J55&gt;=0,"Other Revenues","Other Revenues (Expenses)"),IF(J55&lt;0,"Other Expenses",IF(J55&gt;0,"Other Revenues","Other Revenues (Expenses)"))))</f>
        <v>Other Revenues</v>
      </c>
      <c r="B55" s="35"/>
      <c r="C55" s="14"/>
      <c r="D55" s="14"/>
      <c r="E55" s="14"/>
      <c r="F55" s="35"/>
      <c r="G55" s="15"/>
      <c r="H55" s="58">
        <v>19239</v>
      </c>
      <c r="I55" s="230"/>
      <c r="J55" s="58">
        <v>0</v>
      </c>
      <c r="K55" s="58">
        <f>ROUND(J55,0)+ROUND(H55,0)</f>
        <v>19239</v>
      </c>
      <c r="L55" s="51"/>
    </row>
    <row r="56" spans="1:12">
      <c r="A56" s="35"/>
      <c r="B56" s="35"/>
      <c r="C56" s="14"/>
      <c r="D56" s="14"/>
      <c r="E56" s="14"/>
      <c r="F56" s="14"/>
      <c r="G56" s="15"/>
      <c r="H56" s="83"/>
      <c r="I56" s="84"/>
      <c r="J56" s="83"/>
      <c r="K56" s="83"/>
      <c r="L56" s="85"/>
    </row>
    <row r="57" spans="1:12">
      <c r="A57" s="29" t="s">
        <v>89</v>
      </c>
      <c r="B57" s="35"/>
      <c r="C57" s="35"/>
      <c r="D57" s="14"/>
      <c r="E57" s="14"/>
      <c r="F57" s="14"/>
      <c r="G57" s="15"/>
      <c r="H57" s="90">
        <f t="array" ref="H57">SUM(ROUND(H52:H55,0))</f>
        <v>620138</v>
      </c>
      <c r="I57" s="59"/>
      <c r="J57" s="90">
        <f t="array" ref="J57">SUM(ROUND(J52:J55,0))</f>
        <v>0</v>
      </c>
      <c r="K57" s="90">
        <f t="array" ref="K57">SUM(ROUND(K52:K55,0))</f>
        <v>620138</v>
      </c>
      <c r="L57" s="91"/>
    </row>
    <row r="58" spans="1:12">
      <c r="A58" s="29"/>
      <c r="B58" s="35"/>
      <c r="C58" s="35"/>
      <c r="D58" s="14"/>
      <c r="E58" s="14"/>
      <c r="F58" s="14"/>
      <c r="G58" s="15"/>
      <c r="H58" s="59"/>
      <c r="I58" s="59"/>
      <c r="J58" s="59"/>
      <c r="K58" s="59"/>
      <c r="L58" s="77"/>
    </row>
    <row r="59" spans="1:12">
      <c r="A59" s="65" t="str">
        <f>IF(H59&lt;0,IF(J59&gt;0,"Increase (Decrease) in Net Position","Decrease in Net Position"),IF(H59&gt;0,IF(J59&gt;=0,"Increase in Net Position","Increase (Decrease) in Net Position"),IF(J59&lt;0,"Decrease in Net Position",IF(J59&gt;0,"Increase in Net Position","Increase (Decrease) in Net Position"))))</f>
        <v>Increase (Decrease) in Net Position</v>
      </c>
      <c r="B59" s="35"/>
      <c r="C59" s="35"/>
      <c r="D59" s="14"/>
      <c r="E59" s="14"/>
      <c r="F59" s="14"/>
      <c r="G59" s="15"/>
      <c r="H59" s="90">
        <f>H50+H57</f>
        <v>-64434</v>
      </c>
      <c r="I59" s="92"/>
      <c r="J59" s="90">
        <f>J50+J57</f>
        <v>31706</v>
      </c>
      <c r="K59" s="90">
        <f>K50+K57</f>
        <v>-32728</v>
      </c>
      <c r="L59" s="91"/>
    </row>
    <row r="60" spans="1:12">
      <c r="A60" s="93"/>
      <c r="B60" s="35"/>
      <c r="C60" s="35"/>
      <c r="D60" s="14"/>
      <c r="E60" s="14"/>
      <c r="F60" s="14"/>
      <c r="G60" s="15"/>
      <c r="H60" s="94"/>
      <c r="I60" s="94"/>
      <c r="J60" s="94"/>
      <c r="K60" s="94"/>
      <c r="L60" s="95"/>
    </row>
    <row r="61" spans="1:12">
      <c r="A61" s="14" t="s">
        <v>91</v>
      </c>
      <c r="B61" s="35"/>
      <c r="C61" s="14"/>
      <c r="D61" s="14"/>
      <c r="E61" s="14"/>
      <c r="F61" s="14"/>
      <c r="G61" s="15"/>
      <c r="H61" s="96">
        <f>VLOOKUP($A$1,[12]VLOOKUPS!A44:D71,2,FALSE)</f>
        <v>27300839</v>
      </c>
      <c r="I61" s="49"/>
      <c r="J61" s="96">
        <f>VLOOKUP($A$1,[12]VLOOKUPS!A44:D71,3,FALSE)</f>
        <v>3185648</v>
      </c>
      <c r="K61" s="89">
        <f>ROUND(J61,0)+ROUND(H61,0)</f>
        <v>30486487</v>
      </c>
      <c r="L61" s="97"/>
    </row>
    <row r="62" spans="1:12">
      <c r="A62" s="14" t="s">
        <v>94</v>
      </c>
      <c r="B62" s="35"/>
      <c r="C62" s="14"/>
      <c r="D62" s="14"/>
      <c r="E62" s="14"/>
      <c r="F62" s="14"/>
      <c r="G62" s="15"/>
      <c r="H62" s="82">
        <f>-14522-2978867</f>
        <v>-2993389</v>
      </c>
      <c r="I62" s="49"/>
      <c r="J62" s="82">
        <v>0</v>
      </c>
      <c r="K62" s="82">
        <f>ROUND(J62,0)+ROUND(H62,0)</f>
        <v>-2993389</v>
      </c>
      <c r="L62" s="81"/>
    </row>
    <row r="63" spans="1:12">
      <c r="A63" s="36"/>
      <c r="B63" s="36"/>
      <c r="C63" s="36"/>
      <c r="D63" s="36"/>
      <c r="E63" s="36"/>
      <c r="F63" s="98"/>
      <c r="G63" s="36"/>
      <c r="H63" s="92"/>
      <c r="I63" s="99"/>
      <c r="J63" s="99"/>
      <c r="K63" s="99"/>
      <c r="L63" s="100"/>
    </row>
    <row r="64" spans="1:12">
      <c r="A64" s="101" t="s">
        <v>95</v>
      </c>
      <c r="B64" s="36"/>
      <c r="C64" s="36"/>
      <c r="D64" s="36"/>
      <c r="E64" s="36"/>
      <c r="F64" s="60"/>
      <c r="G64" s="60"/>
      <c r="H64" s="90">
        <f t="array" ref="H64">SUM(ROUND(H61:H62,0))</f>
        <v>24307450</v>
      </c>
      <c r="I64" s="92"/>
      <c r="J64" s="90">
        <f t="array" ref="J64">SUM(ROUND(J61:J62,0))</f>
        <v>3185648</v>
      </c>
      <c r="K64" s="90">
        <f t="array" ref="K64">SUM(ROUND(K61:K62,0))</f>
        <v>27493098</v>
      </c>
      <c r="L64" s="91"/>
    </row>
    <row r="65" spans="1:12">
      <c r="A65" s="36"/>
      <c r="B65" s="36"/>
      <c r="C65" s="36"/>
      <c r="D65" s="36"/>
      <c r="E65" s="36"/>
      <c r="F65" s="102"/>
      <c r="G65" s="36"/>
      <c r="H65" s="102"/>
      <c r="I65" s="60"/>
      <c r="J65" s="60"/>
      <c r="K65" s="60"/>
      <c r="L65" s="61"/>
    </row>
    <row r="66" spans="1:12" ht="13.5" thickBot="1">
      <c r="A66" s="29" t="s">
        <v>96</v>
      </c>
      <c r="B66" s="35"/>
      <c r="C66" s="14"/>
      <c r="D66" s="14"/>
      <c r="E66" s="14"/>
      <c r="F66" s="14"/>
      <c r="G66" s="103"/>
      <c r="H66" s="104">
        <f>H59+H64</f>
        <v>24243016</v>
      </c>
      <c r="I66" s="105"/>
      <c r="J66" s="104">
        <f>J59+J64</f>
        <v>3217354</v>
      </c>
      <c r="K66" s="104">
        <f>K59+K64</f>
        <v>27460370</v>
      </c>
      <c r="L66" s="46"/>
    </row>
    <row r="67" spans="1:12" ht="13.5" thickTop="1">
      <c r="A67" s="14"/>
      <c r="B67" s="14"/>
      <c r="C67" s="14"/>
      <c r="D67" s="14"/>
      <c r="E67" s="14"/>
      <c r="F67" s="14"/>
      <c r="G67" s="15"/>
      <c r="H67" s="107"/>
      <c r="I67" s="15"/>
      <c r="J67" s="107"/>
      <c r="K67" s="107"/>
      <c r="L67" s="108"/>
    </row>
    <row r="68" spans="1:12">
      <c r="A68" s="35" t="s">
        <v>97</v>
      </c>
      <c r="B68" s="35"/>
      <c r="C68" s="35"/>
      <c r="D68" s="35"/>
      <c r="E68" s="35"/>
      <c r="F68" s="35"/>
      <c r="G68" s="87"/>
      <c r="H68" s="35"/>
      <c r="I68" s="87"/>
      <c r="J68" s="35"/>
      <c r="K68" s="35"/>
      <c r="L68" s="37"/>
    </row>
    <row r="69" spans="1:12">
      <c r="G69" s="6"/>
      <c r="H69" s="109">
        <f>H66-[12]SNP!K119</f>
        <v>0</v>
      </c>
      <c r="I69" s="110"/>
      <c r="J69" s="111">
        <f>J66-[12]SNP!M119</f>
        <v>0</v>
      </c>
      <c r="K69" s="111">
        <f>K66-[12]SNP!N119</f>
        <v>0</v>
      </c>
      <c r="L69" s="112"/>
    </row>
    <row r="70" spans="1:12">
      <c r="G70" s="113" t="s">
        <v>98</v>
      </c>
      <c r="H70" s="114" t="s">
        <v>298</v>
      </c>
      <c r="I70" s="115"/>
      <c r="J70" s="114"/>
      <c r="K70" s="114"/>
      <c r="L70" s="114"/>
    </row>
  </sheetData>
  <sheetProtection formatColumns="0" formatRows="0"/>
  <conditionalFormatting sqref="H69 J69">
    <cfRule type="cellIs" dxfId="303" priority="14" operator="notEqual">
      <formula>0</formula>
    </cfRule>
    <cfRule type="cellIs" dxfId="302" priority="15" operator="equal">
      <formula>0</formula>
    </cfRule>
  </conditionalFormatting>
  <conditionalFormatting sqref="H11:H15 D11:E11 J24:J30 J37:J45 H37:H45 J62 H62 J17:J18 H25:H29 H17:H18 D17:E17 J11:J15 J52:J55 H52:H55">
    <cfRule type="containsBlanks" dxfId="301" priority="12">
      <formula>LEN(TRIM(D11))=0</formula>
    </cfRule>
    <cfRule type="cellIs" dxfId="300" priority="13" operator="notEqual">
      <formula>0</formula>
    </cfRule>
  </conditionalFormatting>
  <conditionalFormatting sqref="H11">
    <cfRule type="cellIs" dxfId="299" priority="11" operator="notEqual">
      <formula>H20</formula>
    </cfRule>
  </conditionalFormatting>
  <conditionalFormatting sqref="J11">
    <cfRule type="cellIs" dxfId="298" priority="10" operator="notEqual">
      <formula>J20</formula>
    </cfRule>
  </conditionalFormatting>
  <conditionalFormatting sqref="K69">
    <cfRule type="cellIs" dxfId="297" priority="8" operator="notEqual">
      <formula>0</formula>
    </cfRule>
    <cfRule type="cellIs" dxfId="296" priority="9" operator="equal">
      <formula>0</formula>
    </cfRule>
  </conditionalFormatting>
  <conditionalFormatting sqref="K24:K30 K37:K45 K62 K17:K18 K11:K15 K52:K55">
    <cfRule type="containsBlanks" dxfId="295" priority="6">
      <formula>LEN(TRIM(K11))=0</formula>
    </cfRule>
    <cfRule type="cellIs" dxfId="294" priority="7" operator="notEqual">
      <formula>0</formula>
    </cfRule>
  </conditionalFormatting>
  <conditionalFormatting sqref="K11">
    <cfRule type="cellIs" dxfId="293" priority="5" operator="notEqual">
      <formula>K20</formula>
    </cfRule>
  </conditionalFormatting>
  <conditionalFormatting sqref="H24">
    <cfRule type="containsBlanks" dxfId="292" priority="3">
      <formula>LEN(TRIM(H24))=0</formula>
    </cfRule>
    <cfRule type="cellIs" dxfId="291" priority="4" operator="notEqual">
      <formula>0</formula>
    </cfRule>
  </conditionalFormatting>
  <conditionalFormatting sqref="K61">
    <cfRule type="containsBlanks" dxfId="290" priority="1">
      <formula>LEN(TRIM(K61))=0</formula>
    </cfRule>
    <cfRule type="cellIs" dxfId="289" priority="2" operator="notEqual">
      <formula>0</formula>
    </cfRule>
  </conditionalFormatting>
  <printOptions horizontalCentered="1"/>
  <pageMargins left="0.7" right="0.7" top="0.75" bottom="0.75" header="0.5" footer="0.5"/>
  <pageSetup scale="4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  <pageSetUpPr fitToPage="1"/>
  </sheetPr>
  <dimension ref="A1:R70"/>
  <sheetViews>
    <sheetView zoomScale="90" zoomScaleNormal="90" zoomScaleSheetLayoutView="70" workbookViewId="0"/>
  </sheetViews>
  <sheetFormatPr defaultColWidth="11.140625" defaultRowHeight="12.75"/>
  <cols>
    <col min="1" max="6" width="11.140625" style="6"/>
    <col min="7" max="7" width="11.140625" style="11"/>
    <col min="8" max="8" width="16.140625" style="6" customWidth="1"/>
    <col min="9" max="9" width="11.140625" style="11"/>
    <col min="10" max="10" width="13" style="6" customWidth="1"/>
    <col min="11" max="11" width="15.42578125" style="6" customWidth="1"/>
    <col min="12" max="12" width="11.140625" style="6"/>
    <col min="13" max="13" width="11.140625" style="10"/>
    <col min="14" max="18" width="11.140625" style="5"/>
    <col min="19" max="16384" width="11.140625" style="6"/>
  </cols>
  <sheetData>
    <row r="1" spans="1:12">
      <c r="A1" s="260" t="str">
        <f>'[13]Contact Information'!$C$5</f>
        <v>GULF COAST STATE COLLEGE</v>
      </c>
      <c r="B1" s="260"/>
      <c r="C1" s="260"/>
      <c r="D1" s="260"/>
      <c r="E1" s="260"/>
      <c r="F1" s="260"/>
      <c r="G1" s="260"/>
      <c r="H1" s="260"/>
      <c r="I1" s="260"/>
      <c r="J1" s="260"/>
      <c r="K1" s="247"/>
      <c r="L1" s="3"/>
    </row>
    <row r="2" spans="1:12">
      <c r="A2" s="256" t="s">
        <v>0</v>
      </c>
      <c r="B2" s="256"/>
      <c r="C2" s="256"/>
      <c r="D2" s="256"/>
      <c r="E2" s="256"/>
      <c r="F2" s="256"/>
      <c r="G2" s="256"/>
      <c r="H2" s="256"/>
      <c r="I2" s="256"/>
      <c r="J2" s="256"/>
      <c r="K2" s="245"/>
      <c r="L2" s="7"/>
    </row>
    <row r="3" spans="1:12">
      <c r="A3" s="86" t="s">
        <v>1</v>
      </c>
      <c r="B3" s="86"/>
      <c r="C3" s="86"/>
      <c r="D3" s="86"/>
      <c r="E3" s="86"/>
      <c r="F3" s="86"/>
      <c r="G3" s="86"/>
      <c r="H3" s="86"/>
      <c r="I3" s="86"/>
      <c r="J3" s="86"/>
      <c r="K3" s="248"/>
      <c r="L3" s="9" t="s">
        <v>2</v>
      </c>
    </row>
    <row r="4" spans="1:12">
      <c r="A4" s="261" t="s">
        <v>297</v>
      </c>
      <c r="B4" s="261"/>
      <c r="C4" s="261"/>
      <c r="D4" s="261"/>
      <c r="E4" s="261"/>
      <c r="F4" s="261"/>
      <c r="G4" s="261"/>
      <c r="H4" s="261"/>
      <c r="I4" s="261"/>
      <c r="J4" s="261"/>
      <c r="K4" s="249"/>
      <c r="L4" s="11" t="str">
        <f>'[13]Contact Information'!$C$3</f>
        <v>2015.v02</v>
      </c>
    </row>
    <row r="5" spans="1:12">
      <c r="A5" s="14"/>
      <c r="B5" s="14"/>
      <c r="C5" s="14"/>
      <c r="D5" s="14"/>
      <c r="E5" s="14"/>
      <c r="F5" s="14"/>
      <c r="G5" s="15"/>
      <c r="H5" s="16"/>
      <c r="I5" s="17"/>
      <c r="J5" s="16"/>
      <c r="K5" s="16"/>
      <c r="L5" s="18"/>
    </row>
    <row r="6" spans="1:12">
      <c r="A6" s="14"/>
      <c r="B6" s="14"/>
      <c r="C6" s="14"/>
      <c r="D6" s="14"/>
      <c r="E6" s="14"/>
      <c r="F6" s="14"/>
      <c r="G6" s="15"/>
      <c r="H6" s="249" t="s">
        <v>5</v>
      </c>
      <c r="I6" s="21"/>
      <c r="J6" s="22" t="s">
        <v>6</v>
      </c>
      <c r="K6" s="22" t="s">
        <v>7</v>
      </c>
      <c r="L6" s="23"/>
    </row>
    <row r="7" spans="1:12">
      <c r="A7" s="14"/>
      <c r="B7" s="14"/>
      <c r="C7" s="14"/>
      <c r="D7" s="14"/>
      <c r="E7" s="14"/>
      <c r="F7" s="14"/>
      <c r="G7" s="15"/>
      <c r="H7" s="24"/>
      <c r="I7" s="25"/>
      <c r="J7" s="26" t="str">
        <f>[13]SNP!$M$9</f>
        <v>Unit</v>
      </c>
      <c r="K7" s="26"/>
      <c r="L7" s="27"/>
    </row>
    <row r="8" spans="1:12">
      <c r="A8" s="29" t="s">
        <v>9</v>
      </c>
      <c r="B8" s="14"/>
      <c r="C8" s="14"/>
      <c r="D8" s="14"/>
      <c r="E8" s="14"/>
      <c r="F8" s="14"/>
      <c r="G8" s="15"/>
      <c r="H8" s="25"/>
      <c r="I8" s="25"/>
      <c r="J8" s="25"/>
      <c r="K8" s="25"/>
      <c r="L8" s="30"/>
    </row>
    <row r="9" spans="1:12">
      <c r="A9" s="14" t="s">
        <v>12</v>
      </c>
      <c r="B9" s="14"/>
      <c r="C9" s="14"/>
      <c r="D9" s="14"/>
      <c r="E9" s="14"/>
      <c r="F9" s="14"/>
      <c r="G9" s="15"/>
      <c r="H9" s="17"/>
      <c r="I9" s="17"/>
      <c r="J9" s="17"/>
      <c r="K9" s="17"/>
      <c r="L9" s="18"/>
    </row>
    <row r="10" spans="1:12">
      <c r="A10" s="35"/>
      <c r="B10" s="36" t="s">
        <v>14</v>
      </c>
      <c r="C10" s="14"/>
      <c r="D10" s="14"/>
      <c r="E10" s="14"/>
      <c r="F10" s="14"/>
      <c r="G10" s="35"/>
      <c r="H10" s="35"/>
      <c r="I10" s="17"/>
      <c r="J10" s="35"/>
      <c r="K10" s="35"/>
      <c r="L10" s="37"/>
    </row>
    <row r="11" spans="1:12">
      <c r="A11" s="35"/>
      <c r="B11" s="44" t="s">
        <v>19</v>
      </c>
      <c r="C11" s="35"/>
      <c r="D11" s="263">
        <v>6277641</v>
      </c>
      <c r="E11" s="263"/>
      <c r="F11" s="45"/>
      <c r="G11" s="36"/>
      <c r="H11" s="228">
        <v>4749343</v>
      </c>
      <c r="I11" s="229"/>
      <c r="J11" s="228">
        <v>0</v>
      </c>
      <c r="K11" s="228">
        <f>ROUND(J11,0)+ROUND(H11,0)</f>
        <v>4749343</v>
      </c>
      <c r="L11" s="46"/>
    </row>
    <row r="12" spans="1:12">
      <c r="A12" s="35"/>
      <c r="B12" s="36" t="s">
        <v>22</v>
      </c>
      <c r="C12" s="14"/>
      <c r="D12" s="48"/>
      <c r="E12" s="49"/>
      <c r="F12" s="15"/>
      <c r="G12" s="35"/>
      <c r="H12" s="50">
        <v>2198562</v>
      </c>
      <c r="I12" s="230"/>
      <c r="J12" s="50">
        <v>0</v>
      </c>
      <c r="K12" s="50">
        <f>ROUND(J12,0)+ROUND(H12,0)</f>
        <v>2198562</v>
      </c>
      <c r="L12" s="51"/>
    </row>
    <row r="13" spans="1:12">
      <c r="A13" s="35"/>
      <c r="B13" s="36" t="s">
        <v>24</v>
      </c>
      <c r="C13" s="14"/>
      <c r="D13" s="48"/>
      <c r="E13" s="48"/>
      <c r="F13" s="14"/>
      <c r="G13" s="35"/>
      <c r="H13" s="50">
        <v>729696</v>
      </c>
      <c r="I13" s="230"/>
      <c r="J13" s="50">
        <v>0</v>
      </c>
      <c r="K13" s="50">
        <f>ROUND(J13,0)+ROUND(H13,0)</f>
        <v>729696</v>
      </c>
      <c r="L13" s="51"/>
    </row>
    <row r="14" spans="1:12">
      <c r="A14" s="35"/>
      <c r="B14" s="36" t="s">
        <v>26</v>
      </c>
      <c r="C14" s="14"/>
      <c r="D14" s="48"/>
      <c r="E14" s="48"/>
      <c r="F14" s="14"/>
      <c r="G14" s="35"/>
      <c r="H14" s="50">
        <v>1241179</v>
      </c>
      <c r="I14" s="230"/>
      <c r="J14" s="50">
        <v>0</v>
      </c>
      <c r="K14" s="50">
        <f>ROUND(J14,0)+ROUND(H14,0)</f>
        <v>1241179</v>
      </c>
      <c r="L14" s="51"/>
    </row>
    <row r="15" spans="1:12">
      <c r="A15" s="35"/>
      <c r="B15" s="36" t="s">
        <v>28</v>
      </c>
      <c r="C15" s="14"/>
      <c r="D15" s="48"/>
      <c r="E15" s="48"/>
      <c r="F15" s="35"/>
      <c r="G15" s="35"/>
      <c r="H15" s="50">
        <v>831557</v>
      </c>
      <c r="I15" s="230"/>
      <c r="J15" s="50">
        <v>0</v>
      </c>
      <c r="K15" s="50">
        <f>ROUND(J15,0)+ROUND(H15,0)</f>
        <v>831557</v>
      </c>
      <c r="L15" s="51"/>
    </row>
    <row r="16" spans="1:12">
      <c r="A16" s="35"/>
      <c r="B16" s="36" t="s">
        <v>29</v>
      </c>
      <c r="C16" s="14"/>
      <c r="D16" s="54"/>
      <c r="E16" s="49"/>
      <c r="F16" s="55"/>
      <c r="G16" s="35"/>
      <c r="H16" s="35"/>
      <c r="I16" s="230"/>
      <c r="J16" s="35"/>
      <c r="K16" s="35"/>
      <c r="L16" s="37"/>
    </row>
    <row r="17" spans="1:12">
      <c r="A17" s="35"/>
      <c r="B17" s="44" t="s">
        <v>19</v>
      </c>
      <c r="C17" s="35"/>
      <c r="D17" s="263">
        <v>1261200</v>
      </c>
      <c r="E17" s="263"/>
      <c r="F17" s="55"/>
      <c r="G17" s="35"/>
      <c r="H17" s="50">
        <v>1474567</v>
      </c>
      <c r="I17" s="230"/>
      <c r="J17" s="50">
        <v>0</v>
      </c>
      <c r="K17" s="50">
        <f>ROUND(J17,0)+ROUND(H17,0)</f>
        <v>1474567</v>
      </c>
      <c r="L17" s="51"/>
    </row>
    <row r="18" spans="1:12">
      <c r="A18" s="35"/>
      <c r="B18" s="57" t="s">
        <v>33</v>
      </c>
      <c r="C18" s="14"/>
      <c r="D18" s="14"/>
      <c r="E18" s="14"/>
      <c r="F18" s="14"/>
      <c r="G18" s="36"/>
      <c r="H18" s="58">
        <v>237949</v>
      </c>
      <c r="I18" s="230"/>
      <c r="J18" s="58">
        <v>33334</v>
      </c>
      <c r="K18" s="58">
        <f>ROUND(J18,0)+ROUND(H18,0)</f>
        <v>271283</v>
      </c>
      <c r="L18" s="51"/>
    </row>
    <row r="19" spans="1:12">
      <c r="A19" s="36"/>
      <c r="B19" s="36"/>
      <c r="C19" s="36"/>
      <c r="D19" s="36"/>
      <c r="E19" s="36"/>
      <c r="F19" s="59"/>
      <c r="G19" s="59"/>
      <c r="H19" s="59"/>
      <c r="I19" s="60"/>
      <c r="J19" s="60"/>
      <c r="K19" s="60"/>
      <c r="L19" s="61"/>
    </row>
    <row r="20" spans="1:12">
      <c r="A20" s="35"/>
      <c r="B20" s="65" t="s">
        <v>35</v>
      </c>
      <c r="C20" s="35"/>
      <c r="D20" s="14"/>
      <c r="E20" s="14"/>
      <c r="F20" s="14"/>
      <c r="G20" s="15"/>
      <c r="H20" s="66">
        <f t="array" ref="H20">SUM(ROUND(H11:H18,0))</f>
        <v>11462853</v>
      </c>
      <c r="I20" s="67"/>
      <c r="J20" s="66">
        <f t="array" ref="J20">SUM(ROUND(J11:J18,0))</f>
        <v>33334</v>
      </c>
      <c r="K20" s="66">
        <f t="array" ref="K20">SUM(ROUND(K11:K18,0))</f>
        <v>11496187</v>
      </c>
      <c r="L20" s="68"/>
    </row>
    <row r="21" spans="1:12">
      <c r="A21" s="14"/>
      <c r="B21" s="14"/>
      <c r="C21" s="14"/>
      <c r="D21" s="14"/>
      <c r="E21" s="14"/>
      <c r="F21" s="14"/>
      <c r="G21" s="15"/>
      <c r="H21" s="17"/>
      <c r="I21" s="17"/>
      <c r="J21" s="17"/>
      <c r="K21" s="17"/>
      <c r="L21" s="18"/>
    </row>
    <row r="22" spans="1:12">
      <c r="A22" s="29" t="s">
        <v>36</v>
      </c>
      <c r="B22" s="14"/>
      <c r="C22" s="14"/>
      <c r="D22" s="14"/>
      <c r="E22" s="14"/>
      <c r="F22" s="14"/>
      <c r="G22" s="15"/>
      <c r="H22" s="16"/>
      <c r="I22" s="17"/>
      <c r="J22" s="16"/>
      <c r="K22" s="16"/>
      <c r="L22" s="18"/>
    </row>
    <row r="23" spans="1:12">
      <c r="A23" s="14" t="s">
        <v>37</v>
      </c>
      <c r="B23" s="14"/>
      <c r="C23" s="14"/>
      <c r="D23" s="14"/>
      <c r="E23" s="35"/>
      <c r="F23" s="14"/>
      <c r="G23" s="15"/>
      <c r="H23" s="16"/>
      <c r="I23" s="17"/>
      <c r="J23" s="16"/>
      <c r="K23" s="16"/>
      <c r="L23" s="18"/>
    </row>
    <row r="24" spans="1:12">
      <c r="A24" s="44"/>
      <c r="B24" s="36" t="s">
        <v>40</v>
      </c>
      <c r="C24" s="14"/>
      <c r="D24" s="14"/>
      <c r="E24" s="35"/>
      <c r="F24" s="14"/>
      <c r="G24" s="15"/>
      <c r="H24" s="50">
        <v>25249623</v>
      </c>
      <c r="I24" s="230"/>
      <c r="J24" s="50">
        <v>245934</v>
      </c>
      <c r="K24" s="50">
        <f t="shared" ref="K24:K30" si="0">ROUND(J24,0)+ROUND(H24,0)</f>
        <v>25495557</v>
      </c>
      <c r="L24" s="51"/>
    </row>
    <row r="25" spans="1:12">
      <c r="A25" s="44"/>
      <c r="B25" s="36" t="s">
        <v>42</v>
      </c>
      <c r="C25" s="14"/>
      <c r="D25" s="14"/>
      <c r="E25" s="35"/>
      <c r="F25" s="14"/>
      <c r="G25" s="15"/>
      <c r="H25" s="50">
        <v>5189336</v>
      </c>
      <c r="I25" s="230"/>
      <c r="J25" s="50">
        <v>0</v>
      </c>
      <c r="K25" s="50">
        <f t="shared" si="0"/>
        <v>5189336</v>
      </c>
      <c r="L25" s="51"/>
    </row>
    <row r="26" spans="1:12">
      <c r="A26" s="44"/>
      <c r="B26" s="36" t="s">
        <v>44</v>
      </c>
      <c r="C26" s="14"/>
      <c r="D26" s="14"/>
      <c r="E26" s="35"/>
      <c r="F26" s="14"/>
      <c r="G26" s="15"/>
      <c r="H26" s="50">
        <v>1985038</v>
      </c>
      <c r="I26" s="230"/>
      <c r="J26" s="50">
        <v>0</v>
      </c>
      <c r="K26" s="50">
        <f t="shared" si="0"/>
        <v>1985038</v>
      </c>
      <c r="L26" s="51"/>
    </row>
    <row r="27" spans="1:12">
      <c r="A27" s="44"/>
      <c r="B27" s="36" t="s">
        <v>46</v>
      </c>
      <c r="C27" s="14"/>
      <c r="D27" s="14"/>
      <c r="E27" s="35"/>
      <c r="F27" s="14"/>
      <c r="G27" s="15"/>
      <c r="H27" s="50">
        <v>3518014</v>
      </c>
      <c r="I27" s="230"/>
      <c r="J27" s="50">
        <v>0</v>
      </c>
      <c r="K27" s="50">
        <f t="shared" si="0"/>
        <v>3518014</v>
      </c>
      <c r="L27" s="51"/>
    </row>
    <row r="28" spans="1:12">
      <c r="A28" s="44"/>
      <c r="B28" s="36" t="s">
        <v>48</v>
      </c>
      <c r="C28" s="14"/>
      <c r="D28" s="14"/>
      <c r="E28" s="35"/>
      <c r="F28" s="14"/>
      <c r="G28" s="15"/>
      <c r="H28" s="50">
        <v>2355809</v>
      </c>
      <c r="I28" s="230"/>
      <c r="J28" s="50">
        <v>279382</v>
      </c>
      <c r="K28" s="50">
        <f t="shared" si="0"/>
        <v>2635191</v>
      </c>
      <c r="L28" s="51"/>
    </row>
    <row r="29" spans="1:12">
      <c r="A29" s="44"/>
      <c r="B29" s="36" t="s">
        <v>50</v>
      </c>
      <c r="C29" s="14"/>
      <c r="D29" s="14"/>
      <c r="E29" s="35"/>
      <c r="F29" s="14"/>
      <c r="G29" s="15"/>
      <c r="H29" s="50">
        <v>6108881</v>
      </c>
      <c r="I29" s="230"/>
      <c r="J29" s="50">
        <v>47466</v>
      </c>
      <c r="K29" s="50">
        <f t="shared" si="0"/>
        <v>6156347</v>
      </c>
      <c r="L29" s="51"/>
    </row>
    <row r="30" spans="1:12">
      <c r="A30" s="44"/>
      <c r="B30" s="36" t="s">
        <v>53</v>
      </c>
      <c r="C30" s="14"/>
      <c r="D30" s="14"/>
      <c r="E30" s="35"/>
      <c r="F30" s="14"/>
      <c r="G30" s="15"/>
      <c r="H30" s="231">
        <f>'[13]Accounts by GL'!O481</f>
        <v>4378855.1100000003</v>
      </c>
      <c r="I30" s="230"/>
      <c r="J30" s="58">
        <v>728</v>
      </c>
      <c r="K30" s="58">
        <f t="shared" si="0"/>
        <v>4379583</v>
      </c>
      <c r="L30" s="51"/>
    </row>
    <row r="31" spans="1:12">
      <c r="A31" s="44"/>
      <c r="B31" s="36"/>
      <c r="C31" s="14"/>
      <c r="D31" s="14"/>
      <c r="E31" s="35"/>
      <c r="F31" s="14"/>
      <c r="G31" s="15"/>
      <c r="H31" s="73"/>
      <c r="I31" s="73"/>
      <c r="J31" s="73"/>
      <c r="K31" s="73"/>
      <c r="L31" s="74"/>
    </row>
    <row r="32" spans="1:12">
      <c r="A32" s="14"/>
      <c r="B32" s="65" t="s">
        <v>55</v>
      </c>
      <c r="C32" s="35"/>
      <c r="D32" s="14"/>
      <c r="E32" s="14"/>
      <c r="F32" s="14"/>
      <c r="G32" s="15"/>
      <c r="H32" s="66">
        <f t="array" ref="H32">SUM(ROUND(H24:H30,0))</f>
        <v>48785556</v>
      </c>
      <c r="I32" s="59"/>
      <c r="J32" s="66">
        <f t="array" ref="J32">SUM(ROUND(J24:J30,0))</f>
        <v>573510</v>
      </c>
      <c r="K32" s="66">
        <f t="array" ref="K32">SUM(ROUND(K24:K30,0))</f>
        <v>49359066</v>
      </c>
      <c r="L32" s="68"/>
    </row>
    <row r="33" spans="1:12">
      <c r="A33" s="44"/>
      <c r="B33" s="76"/>
      <c r="C33" s="14"/>
      <c r="D33" s="14"/>
      <c r="E33" s="35"/>
      <c r="F33" s="14"/>
      <c r="G33" s="15"/>
      <c r="H33" s="59"/>
      <c r="I33" s="59"/>
      <c r="J33" s="59"/>
      <c r="K33" s="59"/>
      <c r="L33" s="77"/>
    </row>
    <row r="34" spans="1:12">
      <c r="A34" s="14"/>
      <c r="B34" s="65" t="str">
        <f>IF(H34&lt;0,IF(J34&gt;0,"Operating Income (Loss)","Operating Loss"),IF(H34&gt;0,IF(J34&gt;=0,"Operating Income","Operating Income (Loss)"),IF(J34&lt;0,"Operating Loss",IF(J34&gt;0,"Operating Income","Operating Income (Loss)"))))</f>
        <v>Operating Loss</v>
      </c>
      <c r="C34" s="35"/>
      <c r="D34" s="14"/>
      <c r="E34" s="14"/>
      <c r="F34" s="14"/>
      <c r="G34" s="15"/>
      <c r="H34" s="66">
        <f>H20-H32</f>
        <v>-37322703</v>
      </c>
      <c r="I34" s="67"/>
      <c r="J34" s="66">
        <f>J20-J32</f>
        <v>-540176</v>
      </c>
      <c r="K34" s="66">
        <f>K20-K32</f>
        <v>-37862879</v>
      </c>
      <c r="L34" s="68"/>
    </row>
    <row r="35" spans="1:12">
      <c r="A35" s="14"/>
      <c r="B35" s="14"/>
      <c r="C35" s="14"/>
      <c r="D35" s="14"/>
      <c r="E35" s="14"/>
      <c r="F35" s="14"/>
      <c r="G35" s="15"/>
      <c r="H35" s="78"/>
      <c r="I35" s="78"/>
      <c r="J35" s="78"/>
      <c r="K35" s="78"/>
      <c r="L35" s="79"/>
    </row>
    <row r="36" spans="1:12">
      <c r="A36" s="29" t="s">
        <v>56</v>
      </c>
      <c r="B36" s="35"/>
      <c r="C36" s="14"/>
      <c r="D36" s="14"/>
      <c r="E36" s="14"/>
      <c r="F36" s="14"/>
      <c r="G36" s="15"/>
      <c r="H36" s="16"/>
      <c r="I36" s="17"/>
      <c r="J36" s="16"/>
      <c r="K36" s="16"/>
      <c r="L36" s="18"/>
    </row>
    <row r="37" spans="1:12">
      <c r="A37" s="36" t="s">
        <v>59</v>
      </c>
      <c r="B37" s="35"/>
      <c r="C37" s="14"/>
      <c r="D37" s="14"/>
      <c r="E37" s="35"/>
      <c r="F37" s="14"/>
      <c r="G37" s="15"/>
      <c r="H37" s="80">
        <v>21630792</v>
      </c>
      <c r="I37" s="49"/>
      <c r="J37" s="80">
        <v>0</v>
      </c>
      <c r="K37" s="80">
        <f t="shared" ref="K37:K45" si="1">ROUND(J37,0)+ROUND(H37,0)</f>
        <v>21630792</v>
      </c>
      <c r="L37" s="81"/>
    </row>
    <row r="38" spans="1:12">
      <c r="A38" s="36" t="s">
        <v>61</v>
      </c>
      <c r="B38" s="35"/>
      <c r="C38" s="14"/>
      <c r="D38" s="14"/>
      <c r="E38" s="35"/>
      <c r="F38" s="14"/>
      <c r="G38" s="15"/>
      <c r="H38" s="80">
        <v>11390525</v>
      </c>
      <c r="I38" s="49"/>
      <c r="J38" s="80">
        <v>0</v>
      </c>
      <c r="K38" s="80">
        <f t="shared" si="1"/>
        <v>11390525</v>
      </c>
      <c r="L38" s="81"/>
    </row>
    <row r="39" spans="1:12">
      <c r="A39" s="36" t="s">
        <v>63</v>
      </c>
      <c r="B39" s="35"/>
      <c r="C39" s="14"/>
      <c r="D39" s="14"/>
      <c r="E39" s="35"/>
      <c r="F39" s="14"/>
      <c r="G39" s="15"/>
      <c r="H39" s="80">
        <v>0</v>
      </c>
      <c r="I39" s="49"/>
      <c r="J39" s="80">
        <v>1010237</v>
      </c>
      <c r="K39" s="80">
        <f t="shared" si="1"/>
        <v>1010237</v>
      </c>
      <c r="L39" s="81"/>
    </row>
    <row r="40" spans="1:12">
      <c r="A40" s="36" t="s">
        <v>66</v>
      </c>
      <c r="B40" s="35"/>
      <c r="C40" s="14"/>
      <c r="D40" s="14"/>
      <c r="E40" s="35"/>
      <c r="F40" s="14"/>
      <c r="G40" s="15"/>
      <c r="H40" s="80">
        <v>133879</v>
      </c>
      <c r="I40" s="49"/>
      <c r="J40" s="80">
        <v>1217212</v>
      </c>
      <c r="K40" s="80">
        <f t="shared" si="1"/>
        <v>1351091</v>
      </c>
      <c r="L40" s="81"/>
    </row>
    <row r="41" spans="1:12">
      <c r="A41" s="36" t="str">
        <f>IF(H41&lt;0,IF(J41&gt;0,"Net Gain (Loss) on Investments","Net Loss on Investments"),IF(H41&gt;0,IF(J41&gt;=0,"Net Gain on Investments","Net Gain (Loss) on Investments"),IF(J41&lt;0,"Net Loss on Investments",IF(J41&gt;0,"Net Gain on Investments","Net Gain (Loss) on Investments"))))</f>
        <v>Net Gain (Loss) on Investments</v>
      </c>
      <c r="B41" s="35"/>
      <c r="C41" s="14"/>
      <c r="D41" s="14"/>
      <c r="E41" s="35"/>
      <c r="F41" s="14"/>
      <c r="G41" s="15"/>
      <c r="H41" s="80">
        <v>0</v>
      </c>
      <c r="I41" s="49"/>
      <c r="J41" s="80">
        <v>0</v>
      </c>
      <c r="K41" s="80">
        <f t="shared" si="1"/>
        <v>0</v>
      </c>
      <c r="L41" s="81"/>
    </row>
    <row r="42" spans="1:12">
      <c r="A42" s="36" t="s">
        <v>69</v>
      </c>
      <c r="B42" s="35"/>
      <c r="C42" s="14"/>
      <c r="D42" s="14"/>
      <c r="E42" s="35"/>
      <c r="F42" s="14"/>
      <c r="G42" s="15"/>
      <c r="H42" s="80">
        <v>0</v>
      </c>
      <c r="I42" s="49"/>
      <c r="J42" s="80">
        <v>0</v>
      </c>
      <c r="K42" s="80">
        <f t="shared" si="1"/>
        <v>0</v>
      </c>
      <c r="L42" s="81"/>
    </row>
    <row r="43" spans="1:12">
      <c r="A43" s="36" t="str">
        <f>IF(H43&lt;0,IF(J43&gt;0,"Gain (Loss) on Disposal of Capital Assets","Loss on Disposal of Capital Assets"),IF(H43&gt;0,IF(J43&gt;=0,"Gain on Disposal of Capital Assets","Gain (Loss) on Disposal of Capital Assets"),IF(J43&lt;0,"Loss on Disposal of Capital Assets",IF(J43&gt;0,"Gain on Disposal of Capital Assets","Gain (Loss) on Disposal of Capital Assets"))))</f>
        <v>Gain on Disposal of Capital Assets</v>
      </c>
      <c r="B43" s="35"/>
      <c r="C43" s="14"/>
      <c r="D43" s="14"/>
      <c r="E43" s="35"/>
      <c r="F43" s="14"/>
      <c r="G43" s="15"/>
      <c r="H43" s="80">
        <v>8449514</v>
      </c>
      <c r="I43" s="49"/>
      <c r="J43" s="80">
        <v>0</v>
      </c>
      <c r="K43" s="80">
        <f t="shared" si="1"/>
        <v>8449514</v>
      </c>
      <c r="L43" s="81"/>
    </row>
    <row r="44" spans="1:12">
      <c r="A44" s="36" t="s">
        <v>73</v>
      </c>
      <c r="B44" s="35"/>
      <c r="C44" s="35"/>
      <c r="D44" s="35"/>
      <c r="E44" s="35"/>
      <c r="F44" s="35"/>
      <c r="G44" s="35"/>
      <c r="H44" s="80">
        <v>-249128</v>
      </c>
      <c r="I44" s="49"/>
      <c r="J44" s="80">
        <v>0</v>
      </c>
      <c r="K44" s="80">
        <f t="shared" si="1"/>
        <v>-249128</v>
      </c>
      <c r="L44" s="81"/>
    </row>
    <row r="45" spans="1:12">
      <c r="A45" s="36" t="s">
        <v>75</v>
      </c>
      <c r="B45" s="35"/>
      <c r="C45" s="14"/>
      <c r="D45" s="14"/>
      <c r="E45" s="35"/>
      <c r="F45" s="14"/>
      <c r="G45" s="15"/>
      <c r="H45" s="82">
        <v>0</v>
      </c>
      <c r="I45" s="49"/>
      <c r="J45" s="82">
        <v>-1304174</v>
      </c>
      <c r="K45" s="82">
        <f t="shared" si="1"/>
        <v>-1304174</v>
      </c>
      <c r="L45" s="81"/>
    </row>
    <row r="46" spans="1:12">
      <c r="A46" s="35"/>
      <c r="B46" s="35"/>
      <c r="C46" s="35"/>
      <c r="D46" s="35"/>
      <c r="E46" s="35"/>
      <c r="F46" s="35"/>
      <c r="G46" s="35"/>
      <c r="H46" s="83"/>
      <c r="I46" s="84"/>
      <c r="J46" s="83"/>
      <c r="K46" s="83"/>
      <c r="L46" s="85"/>
    </row>
    <row r="47" spans="1:12">
      <c r="A47" s="29" t="s">
        <v>77</v>
      </c>
      <c r="B47" s="35"/>
      <c r="C47" s="14"/>
      <c r="D47" s="14"/>
      <c r="E47" s="14"/>
      <c r="F47" s="14"/>
      <c r="G47" s="15"/>
      <c r="H47" s="66">
        <f t="array" ref="H47">SUM(ROUND(H37:H45,0))</f>
        <v>41355582</v>
      </c>
      <c r="I47" s="59"/>
      <c r="J47" s="66">
        <f t="array" ref="J47">SUM(ROUND(J37:J45,0))</f>
        <v>923275</v>
      </c>
      <c r="K47" s="66">
        <f t="array" ref="K47">SUM(ROUND(K37:K45,0))</f>
        <v>42278857</v>
      </c>
      <c r="L47" s="68"/>
    </row>
    <row r="48" spans="1:12">
      <c r="A48" s="86"/>
      <c r="B48" s="87"/>
      <c r="C48" s="15"/>
      <c r="D48" s="15"/>
      <c r="E48" s="15"/>
      <c r="F48" s="15"/>
      <c r="G48" s="15"/>
      <c r="H48" s="59"/>
      <c r="I48" s="59"/>
      <c r="J48" s="59"/>
      <c r="K48" s="59"/>
      <c r="L48" s="77"/>
    </row>
    <row r="49" spans="1:12">
      <c r="A49" s="65" t="str">
        <f>IF(H50&lt;0,IF(J50&gt;0,"Income (Loss) Before Other Revenues,","Loss Before Other Revenues,"),IF(H50&gt;0,IF(J50&gt;=0,"Income Before Other Revenues,","Income (Loss) Before Other Revenues,"),IF(J59&lt;0,"Loss Before Other Revenues,",IF(J59&gt;0,"Income Before Other Revenues,","Income (Loss) Before Other Revenues,"))))</f>
        <v>Income Before Other Revenues,</v>
      </c>
      <c r="B49" s="35"/>
      <c r="C49" s="35"/>
      <c r="D49" s="14"/>
      <c r="E49" s="14"/>
      <c r="F49" s="14"/>
      <c r="G49" s="15"/>
      <c r="H49" s="35"/>
      <c r="I49" s="35"/>
      <c r="J49" s="35"/>
      <c r="K49" s="35"/>
      <c r="L49" s="37"/>
    </row>
    <row r="50" spans="1:12">
      <c r="A50" s="14"/>
      <c r="B50" s="29" t="s">
        <v>78</v>
      </c>
      <c r="C50" s="14"/>
      <c r="D50" s="14"/>
      <c r="E50" s="14"/>
      <c r="F50" s="14"/>
      <c r="G50" s="15"/>
      <c r="H50" s="66">
        <f>H34+H47</f>
        <v>4032879</v>
      </c>
      <c r="I50" s="59"/>
      <c r="J50" s="66">
        <f>J34+J47</f>
        <v>383099</v>
      </c>
      <c r="K50" s="66">
        <f>K34+K47</f>
        <v>4415978</v>
      </c>
      <c r="L50" s="68"/>
    </row>
    <row r="51" spans="1:12">
      <c r="A51" s="14"/>
      <c r="B51" s="29"/>
      <c r="C51" s="14"/>
      <c r="D51" s="14"/>
      <c r="E51" s="14"/>
      <c r="F51" s="14"/>
      <c r="G51" s="15"/>
      <c r="H51" s="17"/>
      <c r="I51" s="17"/>
      <c r="J51" s="17"/>
      <c r="K51" s="17"/>
      <c r="L51" s="18"/>
    </row>
    <row r="52" spans="1:12">
      <c r="A52" s="36" t="s">
        <v>80</v>
      </c>
      <c r="B52" s="35"/>
      <c r="C52" s="14"/>
      <c r="D52" s="14"/>
      <c r="E52" s="14"/>
      <c r="F52" s="35"/>
      <c r="G52" s="15"/>
      <c r="H52" s="80">
        <v>5183140</v>
      </c>
      <c r="I52" s="49"/>
      <c r="J52" s="80">
        <v>0</v>
      </c>
      <c r="K52" s="80">
        <f>ROUND(J52,0)+ROUND(H52,0)</f>
        <v>5183140</v>
      </c>
      <c r="L52" s="81"/>
    </row>
    <row r="53" spans="1:12">
      <c r="A53" s="36" t="s">
        <v>83</v>
      </c>
      <c r="B53" s="35"/>
      <c r="C53" s="14"/>
      <c r="D53" s="14"/>
      <c r="E53" s="14"/>
      <c r="F53" s="35"/>
      <c r="G53" s="15"/>
      <c r="H53" s="50">
        <v>1200230</v>
      </c>
      <c r="I53" s="230"/>
      <c r="J53" s="50">
        <v>0</v>
      </c>
      <c r="K53" s="50">
        <f>ROUND(J53,0)+ROUND(H53,0)</f>
        <v>1200230</v>
      </c>
      <c r="L53" s="51"/>
    </row>
    <row r="54" spans="1:12">
      <c r="A54" s="14" t="s">
        <v>86</v>
      </c>
      <c r="B54" s="35"/>
      <c r="C54" s="14"/>
      <c r="D54" s="14"/>
      <c r="E54" s="14"/>
      <c r="F54" s="35"/>
      <c r="G54" s="15"/>
      <c r="H54" s="89">
        <v>0</v>
      </c>
      <c r="I54" s="230"/>
      <c r="J54" s="89">
        <v>0</v>
      </c>
      <c r="K54" s="89">
        <f>ROUND(J54,0)+ROUND(H54,0)</f>
        <v>0</v>
      </c>
      <c r="L54" s="51"/>
    </row>
    <row r="55" spans="1:12">
      <c r="A55" s="76" t="str">
        <f>IF(H55&lt;0,IF(J55&gt;0,"Other Revenues (Expenses)","Other Expenses"),IF(H55&gt;0,IF(J55&gt;=0,"Other Revenues","Other Revenues (Expenses)"),IF(J55&lt;0,"Other Expenses",IF(J55&gt;0,"Other Revenues","Other Revenues (Expenses)"))))</f>
        <v>Other Revenues (Expenses)</v>
      </c>
      <c r="B55" s="35"/>
      <c r="C55" s="14"/>
      <c r="D55" s="14"/>
      <c r="E55" s="14"/>
      <c r="F55" s="35"/>
      <c r="G55" s="15"/>
      <c r="H55" s="58">
        <v>0</v>
      </c>
      <c r="I55" s="230"/>
      <c r="J55" s="58">
        <v>0</v>
      </c>
      <c r="K55" s="58">
        <f>ROUND(J55,0)+ROUND(H55,0)</f>
        <v>0</v>
      </c>
      <c r="L55" s="51"/>
    </row>
    <row r="56" spans="1:12">
      <c r="A56" s="35"/>
      <c r="B56" s="35"/>
      <c r="C56" s="14"/>
      <c r="D56" s="14"/>
      <c r="E56" s="14"/>
      <c r="F56" s="14"/>
      <c r="G56" s="15"/>
      <c r="H56" s="83"/>
      <c r="I56" s="84"/>
      <c r="J56" s="83"/>
      <c r="K56" s="83"/>
      <c r="L56" s="85"/>
    </row>
    <row r="57" spans="1:12">
      <c r="A57" s="29" t="s">
        <v>89</v>
      </c>
      <c r="B57" s="35"/>
      <c r="C57" s="35"/>
      <c r="D57" s="14"/>
      <c r="E57" s="14"/>
      <c r="F57" s="14"/>
      <c r="G57" s="15"/>
      <c r="H57" s="90">
        <f t="array" ref="H57">SUM(ROUND(H52:H55,0))</f>
        <v>6383370</v>
      </c>
      <c r="I57" s="59"/>
      <c r="J57" s="90">
        <f t="array" ref="J57">SUM(ROUND(J52:J55,0))</f>
        <v>0</v>
      </c>
      <c r="K57" s="90">
        <f t="array" ref="K57">SUM(ROUND(K52:K55,0))</f>
        <v>6383370</v>
      </c>
      <c r="L57" s="91"/>
    </row>
    <row r="58" spans="1:12">
      <c r="A58" s="29"/>
      <c r="B58" s="35"/>
      <c r="C58" s="35"/>
      <c r="D58" s="14"/>
      <c r="E58" s="14"/>
      <c r="F58" s="14"/>
      <c r="G58" s="15"/>
      <c r="H58" s="59"/>
      <c r="I58" s="59"/>
      <c r="J58" s="59"/>
      <c r="K58" s="59"/>
      <c r="L58" s="77"/>
    </row>
    <row r="59" spans="1:12">
      <c r="A59" s="65" t="str">
        <f>IF(H59&lt;0,IF(J59&gt;0,"Increase (Decrease) in Net Position","Decrease in Net Position"),IF(H59&gt;0,IF(J59&gt;=0,"Increase in Net Position","Increase (Decrease) in Net Position"),IF(J59&lt;0,"Decrease in Net Position",IF(J59&gt;0,"Increase in Net Position","Increase (Decrease) in Net Position"))))</f>
        <v>Increase in Net Position</v>
      </c>
      <c r="B59" s="35"/>
      <c r="C59" s="35"/>
      <c r="D59" s="14"/>
      <c r="E59" s="14"/>
      <c r="F59" s="14"/>
      <c r="G59" s="15"/>
      <c r="H59" s="90">
        <f>H50+H57</f>
        <v>10416249</v>
      </c>
      <c r="I59" s="92"/>
      <c r="J59" s="90">
        <f>J50+J57</f>
        <v>383099</v>
      </c>
      <c r="K59" s="90">
        <f>K50+K57</f>
        <v>10799348</v>
      </c>
      <c r="L59" s="91"/>
    </row>
    <row r="60" spans="1:12">
      <c r="A60" s="93"/>
      <c r="B60" s="35"/>
      <c r="C60" s="35"/>
      <c r="D60" s="14"/>
      <c r="E60" s="14"/>
      <c r="F60" s="14"/>
      <c r="G60" s="15"/>
      <c r="H60" s="94"/>
      <c r="I60" s="94"/>
      <c r="J60" s="94"/>
      <c r="K60" s="94"/>
      <c r="L60" s="95"/>
    </row>
    <row r="61" spans="1:12">
      <c r="A61" s="14" t="s">
        <v>91</v>
      </c>
      <c r="B61" s="35"/>
      <c r="C61" s="14"/>
      <c r="D61" s="14"/>
      <c r="E61" s="14"/>
      <c r="F61" s="14"/>
      <c r="G61" s="15"/>
      <c r="H61" s="96">
        <f>VLOOKUP($A$1,[13]VLOOKUPS!A44:D71,2,FALSE)</f>
        <v>106192762</v>
      </c>
      <c r="I61" s="49"/>
      <c r="J61" s="96">
        <f>VLOOKUP($A$1,[13]VLOOKUPS!A44:D71,3,FALSE)</f>
        <v>30132408</v>
      </c>
      <c r="K61" s="89">
        <f>ROUND(J61,0)+ROUND(H61,0)</f>
        <v>136325170</v>
      </c>
      <c r="L61" s="97"/>
    </row>
    <row r="62" spans="1:12">
      <c r="A62" s="14" t="s">
        <v>94</v>
      </c>
      <c r="B62" s="35"/>
      <c r="C62" s="14"/>
      <c r="D62" s="14"/>
      <c r="E62" s="14"/>
      <c r="F62" s="14"/>
      <c r="G62" s="15"/>
      <c r="H62" s="82">
        <v>-10684333</v>
      </c>
      <c r="I62" s="49"/>
      <c r="J62" s="82">
        <v>0</v>
      </c>
      <c r="K62" s="82">
        <f>ROUND(J62,0)+ROUND(H62,0)</f>
        <v>-10684333</v>
      </c>
      <c r="L62" s="81"/>
    </row>
    <row r="63" spans="1:12">
      <c r="A63" s="36"/>
      <c r="B63" s="36"/>
      <c r="C63" s="36"/>
      <c r="D63" s="36"/>
      <c r="E63" s="36"/>
      <c r="F63" s="98"/>
      <c r="G63" s="36"/>
      <c r="H63" s="92"/>
      <c r="I63" s="99"/>
      <c r="J63" s="99"/>
      <c r="K63" s="99"/>
      <c r="L63" s="100"/>
    </row>
    <row r="64" spans="1:12">
      <c r="A64" s="101" t="s">
        <v>95</v>
      </c>
      <c r="B64" s="36"/>
      <c r="C64" s="36"/>
      <c r="D64" s="36"/>
      <c r="E64" s="36"/>
      <c r="F64" s="60"/>
      <c r="G64" s="60"/>
      <c r="H64" s="90">
        <f t="array" ref="H64">SUM(ROUND(H61:H62,0))</f>
        <v>95508429</v>
      </c>
      <c r="I64" s="92"/>
      <c r="J64" s="90">
        <f t="array" ref="J64">SUM(ROUND(J61:J62,0))</f>
        <v>30132408</v>
      </c>
      <c r="K64" s="90">
        <f t="array" ref="K64">SUM(ROUND(K61:K62,0))</f>
        <v>125640837</v>
      </c>
      <c r="L64" s="91"/>
    </row>
    <row r="65" spans="1:12">
      <c r="A65" s="36"/>
      <c r="B65" s="36"/>
      <c r="C65" s="36"/>
      <c r="D65" s="36"/>
      <c r="E65" s="36"/>
      <c r="F65" s="102"/>
      <c r="G65" s="36"/>
      <c r="H65" s="102"/>
      <c r="I65" s="60"/>
      <c r="J65" s="60"/>
      <c r="K65" s="60"/>
      <c r="L65" s="61"/>
    </row>
    <row r="66" spans="1:12" ht="13.5" thickBot="1">
      <c r="A66" s="29" t="s">
        <v>96</v>
      </c>
      <c r="B66" s="35"/>
      <c r="C66" s="14"/>
      <c r="D66" s="14"/>
      <c r="E66" s="14"/>
      <c r="F66" s="14"/>
      <c r="G66" s="103"/>
      <c r="H66" s="104">
        <f>H59+H64</f>
        <v>105924678</v>
      </c>
      <c r="I66" s="105"/>
      <c r="J66" s="104">
        <f>J59+J64</f>
        <v>30515507</v>
      </c>
      <c r="K66" s="104">
        <f>K59+K64</f>
        <v>136440185</v>
      </c>
      <c r="L66" s="46"/>
    </row>
    <row r="67" spans="1:12" ht="13.5" thickTop="1">
      <c r="A67" s="14"/>
      <c r="B67" s="14"/>
      <c r="C67" s="14"/>
      <c r="D67" s="14"/>
      <c r="E67" s="14"/>
      <c r="F67" s="14"/>
      <c r="G67" s="15"/>
      <c r="H67" s="107"/>
      <c r="I67" s="15"/>
      <c r="J67" s="107"/>
      <c r="K67" s="107"/>
      <c r="L67" s="108"/>
    </row>
    <row r="68" spans="1:12">
      <c r="A68" s="35" t="s">
        <v>97</v>
      </c>
      <c r="B68" s="35"/>
      <c r="C68" s="35"/>
      <c r="D68" s="35"/>
      <c r="E68" s="35"/>
      <c r="F68" s="35"/>
      <c r="G68" s="87"/>
      <c r="H68" s="35"/>
      <c r="I68" s="87"/>
      <c r="J68" s="35"/>
      <c r="K68" s="35"/>
      <c r="L68" s="37"/>
    </row>
    <row r="69" spans="1:12">
      <c r="G69" s="6"/>
      <c r="H69" s="109">
        <f>H66-[13]SNP!K119</f>
        <v>0</v>
      </c>
      <c r="I69" s="110"/>
      <c r="J69" s="111">
        <f>J66-[13]SNP!M119</f>
        <v>0</v>
      </c>
      <c r="K69" s="111">
        <f>K66-[13]SNP!N119</f>
        <v>0</v>
      </c>
      <c r="L69" s="112"/>
    </row>
    <row r="70" spans="1:12">
      <c r="G70" s="113" t="s">
        <v>98</v>
      </c>
      <c r="H70" s="114"/>
      <c r="I70" s="115"/>
      <c r="J70" s="114"/>
      <c r="K70" s="114"/>
      <c r="L70" s="114"/>
    </row>
  </sheetData>
  <sheetProtection formatColumns="0" formatRows="0"/>
  <conditionalFormatting sqref="H69 J69">
    <cfRule type="cellIs" dxfId="288" priority="3" operator="notEqual">
      <formula>0</formula>
    </cfRule>
    <cfRule type="cellIs" dxfId="287" priority="4" operator="equal">
      <formula>0</formula>
    </cfRule>
  </conditionalFormatting>
  <conditionalFormatting sqref="K69">
    <cfRule type="cellIs" dxfId="286" priority="1" operator="notEqual">
      <formula>0</formula>
    </cfRule>
    <cfRule type="cellIs" dxfId="285" priority="2" operator="equal">
      <formula>0</formula>
    </cfRule>
  </conditionalFormatting>
  <printOptions horizontalCentered="1"/>
  <pageMargins left="0.7" right="0.7" top="0.75" bottom="0.75" header="0.5" footer="0.5"/>
  <pageSetup scale="54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  <pageSetUpPr fitToPage="1"/>
  </sheetPr>
  <dimension ref="A1:R70"/>
  <sheetViews>
    <sheetView zoomScale="90" zoomScaleNormal="90" zoomScaleSheetLayoutView="70" workbookViewId="0"/>
  </sheetViews>
  <sheetFormatPr defaultColWidth="11.140625" defaultRowHeight="12.75"/>
  <cols>
    <col min="1" max="6" width="11.140625" style="6"/>
    <col min="7" max="7" width="11.140625" style="11"/>
    <col min="8" max="8" width="16.5703125" style="6" customWidth="1"/>
    <col min="9" max="9" width="12.5703125" style="11" customWidth="1"/>
    <col min="10" max="10" width="16" style="6" customWidth="1"/>
    <col min="11" max="11" width="14.85546875" style="6" customWidth="1"/>
    <col min="12" max="12" width="11.140625" style="6"/>
    <col min="13" max="13" width="11.140625" style="10"/>
    <col min="14" max="18" width="11.140625" style="5"/>
    <col min="19" max="16384" width="11.140625" style="6"/>
  </cols>
  <sheetData>
    <row r="1" spans="1:12">
      <c r="A1" s="260" t="str">
        <f>'[14]Contact Information'!$C$5</f>
        <v>HILLSBOROUGH COMMUNITY COLLEGE</v>
      </c>
      <c r="B1" s="260"/>
      <c r="C1" s="260"/>
      <c r="D1" s="260"/>
      <c r="E1" s="260"/>
      <c r="F1" s="260"/>
      <c r="G1" s="260"/>
      <c r="H1" s="260"/>
      <c r="I1" s="260"/>
      <c r="J1" s="260"/>
      <c r="K1" s="247"/>
      <c r="L1" s="3"/>
    </row>
    <row r="2" spans="1:12">
      <c r="A2" s="256" t="s">
        <v>0</v>
      </c>
      <c r="B2" s="256"/>
      <c r="C2" s="256"/>
      <c r="D2" s="256"/>
      <c r="E2" s="256"/>
      <c r="F2" s="256"/>
      <c r="G2" s="256"/>
      <c r="H2" s="256"/>
      <c r="I2" s="256"/>
      <c r="J2" s="256"/>
      <c r="K2" s="245"/>
      <c r="L2" s="7"/>
    </row>
    <row r="3" spans="1:12">
      <c r="A3" s="86" t="s">
        <v>1</v>
      </c>
      <c r="B3" s="86"/>
      <c r="C3" s="86"/>
      <c r="D3" s="86"/>
      <c r="E3" s="86"/>
      <c r="F3" s="86"/>
      <c r="G3" s="86"/>
      <c r="H3" s="86"/>
      <c r="I3" s="86"/>
      <c r="J3" s="86"/>
      <c r="K3" s="248"/>
      <c r="L3" s="9" t="s">
        <v>2</v>
      </c>
    </row>
    <row r="4" spans="1:12">
      <c r="A4" s="261" t="s">
        <v>297</v>
      </c>
      <c r="B4" s="261"/>
      <c r="C4" s="261"/>
      <c r="D4" s="261"/>
      <c r="E4" s="261"/>
      <c r="F4" s="261"/>
      <c r="G4" s="261"/>
      <c r="H4" s="261"/>
      <c r="I4" s="261"/>
      <c r="J4" s="261"/>
      <c r="K4" s="249"/>
      <c r="L4" s="11" t="str">
        <f>'[14]Contact Information'!$C$3</f>
        <v>2015.v02</v>
      </c>
    </row>
    <row r="5" spans="1:12">
      <c r="A5" s="14"/>
      <c r="B5" s="14"/>
      <c r="C5" s="14"/>
      <c r="D5" s="14"/>
      <c r="E5" s="14"/>
      <c r="F5" s="14"/>
      <c r="G5" s="15"/>
      <c r="H5" s="16"/>
      <c r="I5" s="17"/>
      <c r="J5" s="16"/>
      <c r="K5" s="16"/>
      <c r="L5" s="18"/>
    </row>
    <row r="6" spans="1:12">
      <c r="A6" s="14"/>
      <c r="B6" s="14"/>
      <c r="C6" s="14"/>
      <c r="D6" s="14"/>
      <c r="E6" s="14"/>
      <c r="F6" s="14"/>
      <c r="G6" s="15"/>
      <c r="H6" s="249" t="s">
        <v>5</v>
      </c>
      <c r="I6" s="21"/>
      <c r="J6" s="22" t="s">
        <v>6</v>
      </c>
      <c r="K6" s="22" t="s">
        <v>7</v>
      </c>
      <c r="L6" s="23"/>
    </row>
    <row r="7" spans="1:12">
      <c r="A7" s="14"/>
      <c r="B7" s="14"/>
      <c r="C7" s="14"/>
      <c r="D7" s="14"/>
      <c r="E7" s="14"/>
      <c r="F7" s="14"/>
      <c r="G7" s="15"/>
      <c r="H7" s="24"/>
      <c r="I7" s="25"/>
      <c r="J7" s="26" t="str">
        <f>[14]SNP!$M$9</f>
        <v>Unit</v>
      </c>
      <c r="K7" s="26"/>
      <c r="L7" s="27"/>
    </row>
    <row r="8" spans="1:12">
      <c r="A8" s="29" t="s">
        <v>9</v>
      </c>
      <c r="B8" s="14"/>
      <c r="C8" s="14"/>
      <c r="D8" s="14"/>
      <c r="E8" s="14"/>
      <c r="F8" s="14"/>
      <c r="G8" s="15"/>
      <c r="H8" s="25"/>
      <c r="I8" s="25"/>
      <c r="J8" s="25"/>
      <c r="K8" s="25"/>
      <c r="L8" s="30"/>
    </row>
    <row r="9" spans="1:12">
      <c r="A9" s="14" t="s">
        <v>12</v>
      </c>
      <c r="B9" s="14"/>
      <c r="C9" s="14"/>
      <c r="D9" s="14"/>
      <c r="E9" s="14"/>
      <c r="F9" s="14"/>
      <c r="G9" s="15"/>
      <c r="H9" s="17"/>
      <c r="I9" s="17"/>
      <c r="J9" s="17"/>
      <c r="K9" s="17"/>
      <c r="L9" s="18"/>
    </row>
    <row r="10" spans="1:12">
      <c r="A10" s="35"/>
      <c r="B10" s="36" t="s">
        <v>14</v>
      </c>
      <c r="C10" s="14"/>
      <c r="D10" s="14"/>
      <c r="E10" s="14"/>
      <c r="F10" s="14"/>
      <c r="G10" s="35"/>
      <c r="H10" s="35"/>
      <c r="I10" s="17"/>
      <c r="J10" s="35"/>
      <c r="K10" s="35"/>
      <c r="L10" s="37"/>
    </row>
    <row r="11" spans="1:12">
      <c r="A11" s="35"/>
      <c r="B11" s="44" t="s">
        <v>19</v>
      </c>
      <c r="C11" s="35"/>
      <c r="D11" s="263">
        <v>17580846.710000001</v>
      </c>
      <c r="E11" s="263"/>
      <c r="F11" s="45"/>
      <c r="G11" s="36"/>
      <c r="H11" s="228">
        <v>44061884.619999997</v>
      </c>
      <c r="I11" s="229"/>
      <c r="J11" s="228">
        <v>0</v>
      </c>
      <c r="K11" s="228">
        <f>ROUND(J11,0)+ROUND(H11,0)</f>
        <v>44061885</v>
      </c>
      <c r="L11" s="46"/>
    </row>
    <row r="12" spans="1:12">
      <c r="A12" s="35"/>
      <c r="B12" s="36" t="s">
        <v>22</v>
      </c>
      <c r="C12" s="14"/>
      <c r="D12" s="48"/>
      <c r="E12" s="49"/>
      <c r="F12" s="15"/>
      <c r="G12" s="35"/>
      <c r="H12" s="50">
        <v>4293447.59</v>
      </c>
      <c r="I12" s="230"/>
      <c r="J12" s="50">
        <v>0</v>
      </c>
      <c r="K12" s="50">
        <f>ROUND(J12,0)+ROUND(H12,0)</f>
        <v>4293448</v>
      </c>
      <c r="L12" s="51"/>
    </row>
    <row r="13" spans="1:12">
      <c r="A13" s="35"/>
      <c r="B13" s="36" t="s">
        <v>24</v>
      </c>
      <c r="C13" s="14"/>
      <c r="D13" s="48"/>
      <c r="E13" s="48"/>
      <c r="F13" s="14"/>
      <c r="G13" s="35"/>
      <c r="H13" s="50">
        <v>152808.1</v>
      </c>
      <c r="I13" s="230"/>
      <c r="J13" s="50">
        <v>0</v>
      </c>
      <c r="K13" s="50">
        <f>ROUND(J13,0)+ROUND(H13,0)</f>
        <v>152808</v>
      </c>
      <c r="L13" s="51"/>
    </row>
    <row r="14" spans="1:12">
      <c r="A14" s="35"/>
      <c r="B14" s="36" t="s">
        <v>26</v>
      </c>
      <c r="C14" s="14"/>
      <c r="D14" s="48"/>
      <c r="E14" s="48"/>
      <c r="F14" s="14"/>
      <c r="G14" s="35"/>
      <c r="H14" s="50">
        <v>1113166.54</v>
      </c>
      <c r="I14" s="230"/>
      <c r="J14" s="50">
        <v>1102059</v>
      </c>
      <c r="K14" s="50">
        <f>ROUND(J14,0)+ROUND(H14,0)</f>
        <v>2215226</v>
      </c>
      <c r="L14" s="51"/>
    </row>
    <row r="15" spans="1:12">
      <c r="A15" s="35"/>
      <c r="B15" s="36" t="s">
        <v>28</v>
      </c>
      <c r="C15" s="14"/>
      <c r="D15" s="48"/>
      <c r="E15" s="48"/>
      <c r="F15" s="35"/>
      <c r="G15" s="35"/>
      <c r="H15" s="50">
        <v>449122.08</v>
      </c>
      <c r="I15" s="230"/>
      <c r="J15" s="50">
        <v>0</v>
      </c>
      <c r="K15" s="50">
        <f>ROUND(J15,0)+ROUND(H15,0)</f>
        <v>449122</v>
      </c>
      <c r="L15" s="51"/>
    </row>
    <row r="16" spans="1:12">
      <c r="A16" s="35"/>
      <c r="B16" s="36" t="s">
        <v>29</v>
      </c>
      <c r="C16" s="14"/>
      <c r="D16" s="54"/>
      <c r="E16" s="49"/>
      <c r="F16" s="55"/>
      <c r="G16" s="35"/>
      <c r="H16" s="35"/>
      <c r="I16" s="230"/>
      <c r="J16" s="35"/>
      <c r="K16" s="35"/>
      <c r="L16" s="37"/>
    </row>
    <row r="17" spans="1:12">
      <c r="A17" s="35"/>
      <c r="B17" s="44" t="s">
        <v>19</v>
      </c>
      <c r="C17" s="35"/>
      <c r="D17" s="263">
        <v>1378106.3</v>
      </c>
      <c r="E17" s="263"/>
      <c r="F17" s="55"/>
      <c r="G17" s="35"/>
      <c r="H17" s="50">
        <v>7663495.1100000003</v>
      </c>
      <c r="I17" s="230"/>
      <c r="J17" s="50">
        <v>0</v>
      </c>
      <c r="K17" s="50">
        <f>ROUND(J17,0)+ROUND(H17,0)</f>
        <v>7663495</v>
      </c>
      <c r="L17" s="51"/>
    </row>
    <row r="18" spans="1:12">
      <c r="A18" s="35"/>
      <c r="B18" s="57" t="s">
        <v>33</v>
      </c>
      <c r="C18" s="14"/>
      <c r="D18" s="14"/>
      <c r="E18" s="14"/>
      <c r="F18" s="14"/>
      <c r="G18" s="36"/>
      <c r="H18" s="58">
        <v>1626428.29</v>
      </c>
      <c r="I18" s="230"/>
      <c r="J18" s="58">
        <v>3710571</v>
      </c>
      <c r="K18" s="58">
        <f>ROUND(J18,0)+ROUND(H18,0)</f>
        <v>5336999</v>
      </c>
      <c r="L18" s="51"/>
    </row>
    <row r="19" spans="1:12">
      <c r="A19" s="36"/>
      <c r="B19" s="36"/>
      <c r="C19" s="36"/>
      <c r="D19" s="36"/>
      <c r="E19" s="36"/>
      <c r="F19" s="59"/>
      <c r="G19" s="59"/>
      <c r="H19" s="59"/>
      <c r="I19" s="60"/>
      <c r="J19" s="60"/>
      <c r="K19" s="60"/>
      <c r="L19" s="61"/>
    </row>
    <row r="20" spans="1:12">
      <c r="A20" s="35"/>
      <c r="B20" s="65" t="s">
        <v>35</v>
      </c>
      <c r="C20" s="35"/>
      <c r="D20" s="14"/>
      <c r="E20" s="14"/>
      <c r="F20" s="14"/>
      <c r="G20" s="15"/>
      <c r="H20" s="66">
        <f t="array" ref="H20">SUM(ROUND(H11:H18,0))</f>
        <v>59360353</v>
      </c>
      <c r="I20" s="67"/>
      <c r="J20" s="66">
        <f t="array" ref="J20">SUM(ROUND(J11:J18,0))</f>
        <v>4812630</v>
      </c>
      <c r="K20" s="66">
        <f t="array" ref="K20">SUM(ROUND(K11:K18,0))</f>
        <v>64172983</v>
      </c>
      <c r="L20" s="68"/>
    </row>
    <row r="21" spans="1:12">
      <c r="A21" s="14"/>
      <c r="B21" s="14"/>
      <c r="C21" s="14"/>
      <c r="D21" s="14"/>
      <c r="E21" s="14"/>
      <c r="F21" s="14"/>
      <c r="G21" s="15"/>
      <c r="H21" s="17"/>
      <c r="I21" s="17"/>
      <c r="J21" s="17"/>
      <c r="K21" s="17"/>
      <c r="L21" s="18"/>
    </row>
    <row r="22" spans="1:12">
      <c r="A22" s="29" t="s">
        <v>36</v>
      </c>
      <c r="B22" s="14"/>
      <c r="C22" s="14"/>
      <c r="D22" s="14"/>
      <c r="E22" s="14"/>
      <c r="F22" s="14"/>
      <c r="G22" s="15"/>
      <c r="H22" s="16"/>
      <c r="I22" s="17"/>
      <c r="J22" s="16"/>
      <c r="K22" s="16"/>
      <c r="L22" s="18"/>
    </row>
    <row r="23" spans="1:12">
      <c r="A23" s="14" t="s">
        <v>37</v>
      </c>
      <c r="B23" s="14"/>
      <c r="C23" s="14"/>
      <c r="D23" s="14"/>
      <c r="E23" s="35"/>
      <c r="F23" s="14"/>
      <c r="G23" s="15"/>
      <c r="H23" s="16"/>
      <c r="I23" s="17"/>
      <c r="J23" s="16"/>
      <c r="K23" s="16"/>
      <c r="L23" s="18"/>
    </row>
    <row r="24" spans="1:12">
      <c r="A24" s="44"/>
      <c r="B24" s="36" t="s">
        <v>40</v>
      </c>
      <c r="C24" s="14"/>
      <c r="D24" s="14"/>
      <c r="E24" s="35"/>
      <c r="F24" s="14"/>
      <c r="G24" s="15"/>
      <c r="H24" s="50">
        <v>85097304.340000004</v>
      </c>
      <c r="I24" s="230"/>
      <c r="J24" s="50">
        <v>486214</v>
      </c>
      <c r="K24" s="50">
        <f t="shared" ref="K24:K30" si="0">ROUND(J24,0)+ROUND(H24,0)</f>
        <v>85583518</v>
      </c>
      <c r="L24" s="51"/>
    </row>
    <row r="25" spans="1:12">
      <c r="A25" s="44"/>
      <c r="B25" s="36" t="s">
        <v>42</v>
      </c>
      <c r="C25" s="14"/>
      <c r="D25" s="14"/>
      <c r="E25" s="35"/>
      <c r="F25" s="14"/>
      <c r="G25" s="15"/>
      <c r="H25" s="50">
        <f>40523921.83</f>
        <v>40523921.829999998</v>
      </c>
      <c r="I25" s="230"/>
      <c r="J25" s="50">
        <v>1526493</v>
      </c>
      <c r="K25" s="50">
        <f t="shared" si="0"/>
        <v>42050415</v>
      </c>
      <c r="L25" s="51"/>
    </row>
    <row r="26" spans="1:12">
      <c r="A26" s="44"/>
      <c r="B26" s="36" t="s">
        <v>44</v>
      </c>
      <c r="C26" s="14"/>
      <c r="D26" s="14"/>
      <c r="E26" s="35"/>
      <c r="F26" s="14"/>
      <c r="G26" s="15"/>
      <c r="H26" s="50">
        <v>4546771.28</v>
      </c>
      <c r="I26" s="230"/>
      <c r="J26" s="50">
        <v>0</v>
      </c>
      <c r="K26" s="50">
        <f t="shared" si="0"/>
        <v>4546771</v>
      </c>
      <c r="L26" s="51"/>
    </row>
    <row r="27" spans="1:12">
      <c r="A27" s="44"/>
      <c r="B27" s="36" t="s">
        <v>46</v>
      </c>
      <c r="C27" s="14"/>
      <c r="D27" s="14"/>
      <c r="E27" s="35"/>
      <c r="F27" s="14"/>
      <c r="G27" s="15"/>
      <c r="H27" s="50">
        <v>14459055.039999999</v>
      </c>
      <c r="I27" s="230"/>
      <c r="J27" s="50">
        <v>0</v>
      </c>
      <c r="K27" s="50">
        <f t="shared" si="0"/>
        <v>14459055</v>
      </c>
      <c r="L27" s="51"/>
    </row>
    <row r="28" spans="1:12">
      <c r="A28" s="44"/>
      <c r="B28" s="36" t="s">
        <v>48</v>
      </c>
      <c r="C28" s="14"/>
      <c r="D28" s="14"/>
      <c r="E28" s="35"/>
      <c r="F28" s="14"/>
      <c r="G28" s="15"/>
      <c r="H28" s="50">
        <v>12727512.029999999</v>
      </c>
      <c r="I28" s="230"/>
      <c r="J28" s="50">
        <v>2586557</v>
      </c>
      <c r="K28" s="50">
        <f t="shared" si="0"/>
        <v>15314069</v>
      </c>
      <c r="L28" s="51"/>
    </row>
    <row r="29" spans="1:12">
      <c r="A29" s="44"/>
      <c r="B29" s="36" t="s">
        <v>50</v>
      </c>
      <c r="C29" s="14"/>
      <c r="D29" s="14"/>
      <c r="E29" s="35"/>
      <c r="F29" s="14"/>
      <c r="G29" s="15"/>
      <c r="H29" s="50">
        <v>17670507.129999999</v>
      </c>
      <c r="I29" s="230"/>
      <c r="J29" s="50"/>
      <c r="K29" s="50">
        <f t="shared" si="0"/>
        <v>17670507</v>
      </c>
      <c r="L29" s="51"/>
    </row>
    <row r="30" spans="1:12">
      <c r="A30" s="44"/>
      <c r="B30" s="36" t="s">
        <v>53</v>
      </c>
      <c r="C30" s="14"/>
      <c r="D30" s="14"/>
      <c r="E30" s="35"/>
      <c r="F30" s="14"/>
      <c r="G30" s="15"/>
      <c r="H30" s="231">
        <f>'[14]Accounts by GL'!O484</f>
        <v>9656151.3300000001</v>
      </c>
      <c r="I30" s="230"/>
      <c r="J30" s="58">
        <v>749656</v>
      </c>
      <c r="K30" s="58">
        <f t="shared" si="0"/>
        <v>10405807</v>
      </c>
      <c r="L30" s="51"/>
    </row>
    <row r="31" spans="1:12">
      <c r="A31" s="44"/>
      <c r="B31" s="36"/>
      <c r="C31" s="14"/>
      <c r="D31" s="14"/>
      <c r="E31" s="35"/>
      <c r="F31" s="14"/>
      <c r="G31" s="15"/>
      <c r="H31" s="73"/>
      <c r="I31" s="73"/>
      <c r="J31" s="73"/>
      <c r="K31" s="73"/>
      <c r="L31" s="74"/>
    </row>
    <row r="32" spans="1:12">
      <c r="A32" s="14"/>
      <c r="B32" s="65" t="s">
        <v>55</v>
      </c>
      <c r="C32" s="35"/>
      <c r="D32" s="14"/>
      <c r="E32" s="14"/>
      <c r="F32" s="14"/>
      <c r="G32" s="15"/>
      <c r="H32" s="66">
        <f t="array" ref="H32">SUM(ROUND(H24:H30,0))</f>
        <v>184681222</v>
      </c>
      <c r="I32" s="59"/>
      <c r="J32" s="66">
        <f t="array" ref="J32">SUM(ROUND(J24:J30,0))</f>
        <v>5348920</v>
      </c>
      <c r="K32" s="66">
        <f t="array" ref="K32">SUM(ROUND(K24:K30,0))</f>
        <v>190030142</v>
      </c>
      <c r="L32" s="68"/>
    </row>
    <row r="33" spans="1:12">
      <c r="A33" s="44"/>
      <c r="B33" s="76"/>
      <c r="C33" s="14"/>
      <c r="D33" s="14"/>
      <c r="E33" s="35"/>
      <c r="F33" s="14"/>
      <c r="G33" s="15"/>
      <c r="H33" s="59"/>
      <c r="I33" s="59"/>
      <c r="J33" s="59"/>
      <c r="K33" s="59"/>
      <c r="L33" s="77"/>
    </row>
    <row r="34" spans="1:12">
      <c r="A34" s="14"/>
      <c r="B34" s="65" t="str">
        <f>IF(H34&lt;0,IF(J34&gt;0,"Operating Income (Loss)","Operating Loss"),IF(H34&gt;0,IF(J34&gt;=0,"Operating Income","Operating Income (Loss)"),IF(J34&lt;0,"Operating Loss",IF(J34&gt;0,"Operating Income","Operating Income (Loss)"))))</f>
        <v>Operating Loss</v>
      </c>
      <c r="C34" s="35"/>
      <c r="D34" s="14"/>
      <c r="E34" s="14"/>
      <c r="F34" s="14"/>
      <c r="G34" s="15"/>
      <c r="H34" s="66">
        <f>H20-H32</f>
        <v>-125320869</v>
      </c>
      <c r="I34" s="67"/>
      <c r="J34" s="66">
        <f>J20-J32</f>
        <v>-536290</v>
      </c>
      <c r="K34" s="66">
        <f>K20-K32</f>
        <v>-125857159</v>
      </c>
      <c r="L34" s="68"/>
    </row>
    <row r="35" spans="1:12">
      <c r="A35" s="14"/>
      <c r="B35" s="14"/>
      <c r="C35" s="14"/>
      <c r="D35" s="14"/>
      <c r="E35" s="14"/>
      <c r="F35" s="14"/>
      <c r="G35" s="15"/>
      <c r="H35" s="78"/>
      <c r="I35" s="78"/>
      <c r="J35" s="78"/>
      <c r="K35" s="78"/>
      <c r="L35" s="79"/>
    </row>
    <row r="36" spans="1:12">
      <c r="A36" s="29" t="s">
        <v>56</v>
      </c>
      <c r="B36" s="35"/>
      <c r="C36" s="14"/>
      <c r="D36" s="14"/>
      <c r="E36" s="14"/>
      <c r="F36" s="14"/>
      <c r="G36" s="15"/>
      <c r="H36" s="16"/>
      <c r="I36" s="17"/>
      <c r="J36" s="16"/>
      <c r="K36" s="16"/>
      <c r="L36" s="18"/>
    </row>
    <row r="37" spans="1:12">
      <c r="A37" s="36" t="s">
        <v>59</v>
      </c>
      <c r="B37" s="35"/>
      <c r="C37" s="14"/>
      <c r="D37" s="14"/>
      <c r="E37" s="35"/>
      <c r="F37" s="14"/>
      <c r="G37" s="15"/>
      <c r="H37" s="80">
        <v>59055645.170000002</v>
      </c>
      <c r="I37" s="49"/>
      <c r="J37" s="80">
        <v>85463</v>
      </c>
      <c r="K37" s="80">
        <f t="shared" ref="K37:K45" si="1">ROUND(J37,0)+ROUND(H37,0)</f>
        <v>59141108</v>
      </c>
      <c r="L37" s="81"/>
    </row>
    <row r="38" spans="1:12">
      <c r="A38" s="36" t="s">
        <v>61</v>
      </c>
      <c r="B38" s="35"/>
      <c r="C38" s="14"/>
      <c r="D38" s="14"/>
      <c r="E38" s="35"/>
      <c r="F38" s="14"/>
      <c r="G38" s="15"/>
      <c r="H38" s="80">
        <v>55022506.890000001</v>
      </c>
      <c r="I38" s="49"/>
      <c r="J38" s="80">
        <v>0</v>
      </c>
      <c r="K38" s="80">
        <f t="shared" si="1"/>
        <v>55022507</v>
      </c>
      <c r="L38" s="81"/>
    </row>
    <row r="39" spans="1:12">
      <c r="A39" s="36" t="s">
        <v>63</v>
      </c>
      <c r="B39" s="35"/>
      <c r="C39" s="14"/>
      <c r="D39" s="14"/>
      <c r="E39" s="35"/>
      <c r="F39" s="14"/>
      <c r="G39" s="15"/>
      <c r="H39" s="80">
        <v>616007.81999999995</v>
      </c>
      <c r="I39" s="49"/>
      <c r="J39" s="80">
        <v>723430</v>
      </c>
      <c r="K39" s="80">
        <f t="shared" si="1"/>
        <v>1339438</v>
      </c>
      <c r="L39" s="81"/>
    </row>
    <row r="40" spans="1:12">
      <c r="A40" s="36" t="s">
        <v>66</v>
      </c>
      <c r="B40" s="35"/>
      <c r="C40" s="14"/>
      <c r="D40" s="14"/>
      <c r="E40" s="35"/>
      <c r="F40" s="14"/>
      <c r="G40" s="15"/>
      <c r="H40" s="80">
        <v>80339.69</v>
      </c>
      <c r="I40" s="49"/>
      <c r="J40" s="80">
        <v>243239</v>
      </c>
      <c r="K40" s="80">
        <f t="shared" si="1"/>
        <v>323579</v>
      </c>
      <c r="L40" s="81"/>
    </row>
    <row r="41" spans="1:12">
      <c r="A41" s="36" t="str">
        <f>IF(H41&lt;0,IF(J41&gt;0,"Net Gain (Loss) on Investments","Net Loss on Investments"),IF(H41&gt;0,IF(J41&gt;=0,"Net Gain on Investments","Net Gain (Loss) on Investments"),IF(J41&lt;0,"Net Loss on Investments",IF(J41&gt;0,"Net Gain on Investments","Net Gain (Loss) on Investments"))))</f>
        <v>Net Gain (Loss) on Investments</v>
      </c>
      <c r="B41" s="35"/>
      <c r="C41" s="14"/>
      <c r="D41" s="14"/>
      <c r="E41" s="35"/>
      <c r="F41" s="14"/>
      <c r="G41" s="15"/>
      <c r="H41" s="80">
        <v>-21470.560000000001</v>
      </c>
      <c r="I41" s="49"/>
      <c r="J41" s="80">
        <v>283071</v>
      </c>
      <c r="K41" s="80">
        <f t="shared" si="1"/>
        <v>261600</v>
      </c>
      <c r="L41" s="81"/>
    </row>
    <row r="42" spans="1:12">
      <c r="A42" s="36" t="s">
        <v>69</v>
      </c>
      <c r="B42" s="35"/>
      <c r="C42" s="14"/>
      <c r="D42" s="14"/>
      <c r="E42" s="35"/>
      <c r="F42" s="14"/>
      <c r="G42" s="15"/>
      <c r="H42" s="80">
        <v>0</v>
      </c>
      <c r="I42" s="49"/>
      <c r="J42" s="80">
        <v>60099</v>
      </c>
      <c r="K42" s="80">
        <f t="shared" si="1"/>
        <v>60099</v>
      </c>
      <c r="L42" s="81"/>
    </row>
    <row r="43" spans="1:12">
      <c r="A43" s="36" t="str">
        <f>IF(H43&lt;0,IF(J43&gt;0,"Gain (Loss) on Disposal of Capital Assets","Loss on Disposal of Capital Assets"),IF(H43&gt;0,IF(J43&gt;=0,"Gain on Disposal of Capital Assets","Gain (Loss) on Disposal of Capital Assets"),IF(J43&lt;0,"Loss on Disposal of Capital Assets",IF(J43&gt;0,"Gain on Disposal of Capital Assets","Gain (Loss) on Disposal of Capital Assets"))))</f>
        <v>Gain (Loss) on Disposal of Capital Assets</v>
      </c>
      <c r="B43" s="35"/>
      <c r="C43" s="14"/>
      <c r="D43" s="14"/>
      <c r="E43" s="35"/>
      <c r="F43" s="14"/>
      <c r="G43" s="15"/>
      <c r="H43" s="80">
        <v>0</v>
      </c>
      <c r="I43" s="49"/>
      <c r="J43" s="80">
        <v>0</v>
      </c>
      <c r="K43" s="80">
        <f t="shared" si="1"/>
        <v>0</v>
      </c>
      <c r="L43" s="81"/>
    </row>
    <row r="44" spans="1:12">
      <c r="A44" s="36" t="s">
        <v>73</v>
      </c>
      <c r="B44" s="35"/>
      <c r="C44" s="35"/>
      <c r="D44" s="35"/>
      <c r="E44" s="35"/>
      <c r="F44" s="35"/>
      <c r="G44" s="35"/>
      <c r="H44" s="80">
        <v>-304220</v>
      </c>
      <c r="I44" s="49"/>
      <c r="J44" s="80">
        <v>0</v>
      </c>
      <c r="K44" s="80">
        <f t="shared" si="1"/>
        <v>-304220</v>
      </c>
      <c r="L44" s="81"/>
    </row>
    <row r="45" spans="1:12">
      <c r="A45" s="36" t="s">
        <v>75</v>
      </c>
      <c r="B45" s="35"/>
      <c r="C45" s="14"/>
      <c r="D45" s="14"/>
      <c r="E45" s="35"/>
      <c r="F45" s="14"/>
      <c r="G45" s="15"/>
      <c r="H45" s="82">
        <v>-6519</v>
      </c>
      <c r="I45" s="49"/>
      <c r="J45" s="82">
        <v>0</v>
      </c>
      <c r="K45" s="82">
        <f t="shared" si="1"/>
        <v>-6519</v>
      </c>
      <c r="L45" s="81"/>
    </row>
    <row r="46" spans="1:12">
      <c r="A46" s="35"/>
      <c r="B46" s="35"/>
      <c r="C46" s="35"/>
      <c r="D46" s="35"/>
      <c r="E46" s="35"/>
      <c r="F46" s="35"/>
      <c r="G46" s="35"/>
      <c r="H46" s="83"/>
      <c r="I46" s="84"/>
      <c r="J46" s="83"/>
      <c r="K46" s="83"/>
      <c r="L46" s="85"/>
    </row>
    <row r="47" spans="1:12">
      <c r="A47" s="29" t="s">
        <v>77</v>
      </c>
      <c r="B47" s="35"/>
      <c r="C47" s="14"/>
      <c r="D47" s="14"/>
      <c r="E47" s="14"/>
      <c r="F47" s="14"/>
      <c r="G47" s="15"/>
      <c r="H47" s="66">
        <f t="array" ref="H47">SUM(ROUND(H37:H45,0))</f>
        <v>114442290</v>
      </c>
      <c r="I47" s="59"/>
      <c r="J47" s="66">
        <f t="array" ref="J47">SUM(ROUND(J37:J45,0))</f>
        <v>1395302</v>
      </c>
      <c r="K47" s="66">
        <f t="array" ref="K47">SUM(ROUND(K37:K45,0))</f>
        <v>115837592</v>
      </c>
      <c r="L47" s="68"/>
    </row>
    <row r="48" spans="1:12">
      <c r="A48" s="86"/>
      <c r="B48" s="87"/>
      <c r="C48" s="15"/>
      <c r="D48" s="15"/>
      <c r="E48" s="15"/>
      <c r="F48" s="15"/>
      <c r="G48" s="15"/>
      <c r="H48" s="59"/>
      <c r="I48" s="59"/>
      <c r="J48" s="59"/>
      <c r="K48" s="59"/>
      <c r="L48" s="77"/>
    </row>
    <row r="49" spans="1:12">
      <c r="A49" s="65" t="str">
        <f>IF(H50&lt;0,IF(J50&gt;0,"Income (Loss) Before Other Revenues,","Loss Before Other Revenues,"),IF(H50&gt;0,IF(J50&gt;=0,"Income Before Other Revenues,","Income (Loss) Before Other Revenues,"),IF(J59&lt;0,"Loss Before Other Revenues,",IF(J59&gt;0,"Income Before Other Revenues,","Income (Loss) Before Other Revenues,"))))</f>
        <v>Income (Loss) Before Other Revenues,</v>
      </c>
      <c r="B49" s="35"/>
      <c r="C49" s="35"/>
      <c r="D49" s="14"/>
      <c r="E49" s="14"/>
      <c r="F49" s="14"/>
      <c r="G49" s="15"/>
      <c r="H49" s="35"/>
      <c r="I49" s="35"/>
      <c r="J49" s="35"/>
      <c r="K49" s="35"/>
      <c r="L49" s="37"/>
    </row>
    <row r="50" spans="1:12">
      <c r="A50" s="14"/>
      <c r="B50" s="29" t="s">
        <v>78</v>
      </c>
      <c r="C50" s="14"/>
      <c r="D50" s="14"/>
      <c r="E50" s="14"/>
      <c r="F50" s="14"/>
      <c r="G50" s="15"/>
      <c r="H50" s="66">
        <f>H34+H47</f>
        <v>-10878579</v>
      </c>
      <c r="I50" s="59"/>
      <c r="J50" s="66">
        <f>J34+J47</f>
        <v>859012</v>
      </c>
      <c r="K50" s="66">
        <f>K34+K47</f>
        <v>-10019567</v>
      </c>
      <c r="L50" s="68"/>
    </row>
    <row r="51" spans="1:12">
      <c r="A51" s="14"/>
      <c r="B51" s="29"/>
      <c r="C51" s="14"/>
      <c r="D51" s="14"/>
      <c r="E51" s="14"/>
      <c r="F51" s="14"/>
      <c r="G51" s="15"/>
      <c r="H51" s="17"/>
      <c r="I51" s="17"/>
      <c r="J51" s="17"/>
      <c r="K51" s="17"/>
      <c r="L51" s="18"/>
    </row>
    <row r="52" spans="1:12">
      <c r="A52" s="36" t="s">
        <v>80</v>
      </c>
      <c r="B52" s="35"/>
      <c r="C52" s="14"/>
      <c r="D52" s="14"/>
      <c r="E52" s="14"/>
      <c r="F52" s="35"/>
      <c r="G52" s="15"/>
      <c r="H52" s="80">
        <v>1520871.21</v>
      </c>
      <c r="I52" s="49"/>
      <c r="J52" s="80">
        <v>0</v>
      </c>
      <c r="K52" s="80">
        <f>ROUND(J52,0)+ROUND(H52,0)</f>
        <v>1520871</v>
      </c>
      <c r="L52" s="81"/>
    </row>
    <row r="53" spans="1:12">
      <c r="A53" s="36" t="s">
        <v>83</v>
      </c>
      <c r="B53" s="35"/>
      <c r="C53" s="14"/>
      <c r="D53" s="14"/>
      <c r="E53" s="14"/>
      <c r="F53" s="35"/>
      <c r="G53" s="15"/>
      <c r="H53" s="50">
        <v>4941077.12</v>
      </c>
      <c r="I53" s="230"/>
      <c r="J53" s="50">
        <v>0</v>
      </c>
      <c r="K53" s="50">
        <f>ROUND(J53,0)+ROUND(H53,0)</f>
        <v>4941077</v>
      </c>
      <c r="L53" s="51"/>
    </row>
    <row r="54" spans="1:12">
      <c r="A54" s="14" t="s">
        <v>86</v>
      </c>
      <c r="B54" s="35"/>
      <c r="C54" s="14"/>
      <c r="D54" s="14"/>
      <c r="E54" s="14"/>
      <c r="F54" s="35"/>
      <c r="G54" s="15"/>
      <c r="H54" s="89">
        <v>0</v>
      </c>
      <c r="I54" s="230"/>
      <c r="J54" s="89">
        <v>0</v>
      </c>
      <c r="K54" s="89">
        <f>ROUND(J54,0)+ROUND(H54,0)</f>
        <v>0</v>
      </c>
      <c r="L54" s="51"/>
    </row>
    <row r="55" spans="1:12">
      <c r="A55" s="76" t="str">
        <f>IF(H55&lt;0,IF(J55&gt;0,"Other Revenues (Expenses)","Other Expenses"),IF(H55&gt;0,IF(J55&gt;=0,"Other Revenues","Other Revenues (Expenses)"),IF(J55&lt;0,"Other Expenses",IF(J55&gt;0,"Other Revenues","Other Revenues (Expenses)"))))</f>
        <v>Other Expenses</v>
      </c>
      <c r="B55" s="35"/>
      <c r="C55" s="14"/>
      <c r="D55" s="14"/>
      <c r="E55" s="14"/>
      <c r="F55" s="35"/>
      <c r="G55" s="15"/>
      <c r="H55" s="58">
        <v>-45995.18</v>
      </c>
      <c r="I55" s="230"/>
      <c r="J55" s="58">
        <v>0</v>
      </c>
      <c r="K55" s="58">
        <f>ROUND(J55,0)+ROUND(H55,0)</f>
        <v>-45995</v>
      </c>
      <c r="L55" s="51"/>
    </row>
    <row r="56" spans="1:12">
      <c r="A56" s="35"/>
      <c r="B56" s="35"/>
      <c r="C56" s="14"/>
      <c r="D56" s="14"/>
      <c r="E56" s="14"/>
      <c r="F56" s="14"/>
      <c r="G56" s="15"/>
      <c r="H56" s="83"/>
      <c r="I56" s="84"/>
      <c r="J56" s="83"/>
      <c r="K56" s="83"/>
      <c r="L56" s="85"/>
    </row>
    <row r="57" spans="1:12">
      <c r="A57" s="29" t="s">
        <v>89</v>
      </c>
      <c r="B57" s="35"/>
      <c r="C57" s="35"/>
      <c r="D57" s="14"/>
      <c r="E57" s="14"/>
      <c r="F57" s="14"/>
      <c r="G57" s="15"/>
      <c r="H57" s="90">
        <f t="array" ref="H57">SUM(ROUND(H52:H55,0))</f>
        <v>6415953</v>
      </c>
      <c r="I57" s="59"/>
      <c r="J57" s="90">
        <f t="array" ref="J57">SUM(ROUND(J52:J55,0))</f>
        <v>0</v>
      </c>
      <c r="K57" s="90">
        <f t="array" ref="K57">SUM(ROUND(K52:K55,0))</f>
        <v>6415953</v>
      </c>
      <c r="L57" s="91"/>
    </row>
    <row r="58" spans="1:12">
      <c r="A58" s="29"/>
      <c r="B58" s="35"/>
      <c r="C58" s="35"/>
      <c r="D58" s="14"/>
      <c r="E58" s="14"/>
      <c r="F58" s="14"/>
      <c r="G58" s="15"/>
      <c r="H58" s="59"/>
      <c r="I58" s="59"/>
      <c r="J58" s="59"/>
      <c r="K58" s="59"/>
      <c r="L58" s="77"/>
    </row>
    <row r="59" spans="1:12">
      <c r="A59" s="65" t="str">
        <f>IF(H59&lt;0,IF(J59&gt;0,"Increase (Decrease) in Net Position","Decrease in Net Position"),IF(H59&gt;0,IF(J59&gt;=0,"Increase in Net Position","Increase (Decrease) in Net Position"),IF(J59&lt;0,"Decrease in Net Position",IF(J59&gt;0,"Increase in Net Position","Increase (Decrease) in Net Position"))))</f>
        <v>Increase (Decrease) in Net Position</v>
      </c>
      <c r="B59" s="35"/>
      <c r="C59" s="35"/>
      <c r="D59" s="14"/>
      <c r="E59" s="14"/>
      <c r="F59" s="14"/>
      <c r="G59" s="15"/>
      <c r="H59" s="90">
        <f>H50+H57</f>
        <v>-4462626</v>
      </c>
      <c r="I59" s="92"/>
      <c r="J59" s="90">
        <f>J50+J57</f>
        <v>859012</v>
      </c>
      <c r="K59" s="90">
        <f>K50+K57</f>
        <v>-3603614</v>
      </c>
      <c r="L59" s="91"/>
    </row>
    <row r="60" spans="1:12">
      <c r="A60" s="93"/>
      <c r="B60" s="35"/>
      <c r="C60" s="35"/>
      <c r="D60" s="14"/>
      <c r="E60" s="14"/>
      <c r="F60" s="14"/>
      <c r="G60" s="15"/>
      <c r="H60" s="94"/>
      <c r="I60" s="94"/>
      <c r="J60" s="94"/>
      <c r="K60" s="94"/>
      <c r="L60" s="95"/>
    </row>
    <row r="61" spans="1:12">
      <c r="A61" s="14" t="s">
        <v>91</v>
      </c>
      <c r="B61" s="35"/>
      <c r="C61" s="14"/>
      <c r="D61" s="14"/>
      <c r="E61" s="14"/>
      <c r="F61" s="14"/>
      <c r="G61" s="15"/>
      <c r="H61" s="96">
        <f>VLOOKUP($A$1,[14]VLOOKUPS!A44:D71,2,FALSE)</f>
        <v>224905527</v>
      </c>
      <c r="I61" s="49"/>
      <c r="J61" s="96">
        <f>VLOOKUP($A$1,[14]VLOOKUPS!A44:D71,3,FALSE)</f>
        <v>6045935</v>
      </c>
      <c r="K61" s="89">
        <f>ROUND(J61,0)+ROUND(H61,0)</f>
        <v>230951462</v>
      </c>
      <c r="L61" s="97"/>
    </row>
    <row r="62" spans="1:12">
      <c r="A62" s="14" t="s">
        <v>94</v>
      </c>
      <c r="B62" s="35"/>
      <c r="C62" s="14"/>
      <c r="D62" s="14"/>
      <c r="E62" s="14"/>
      <c r="F62" s="14"/>
      <c r="G62" s="15"/>
      <c r="H62" s="82">
        <v>-31059059</v>
      </c>
      <c r="I62" s="49"/>
      <c r="J62" s="82">
        <v>0</v>
      </c>
      <c r="K62" s="82">
        <f>ROUND(J62,0)+ROUND(H62,0)</f>
        <v>-31059059</v>
      </c>
      <c r="L62" s="81"/>
    </row>
    <row r="63" spans="1:12">
      <c r="A63" s="36"/>
      <c r="B63" s="36"/>
      <c r="C63" s="36"/>
      <c r="D63" s="36"/>
      <c r="E63" s="36"/>
      <c r="F63" s="98"/>
      <c r="G63" s="36"/>
      <c r="H63" s="92"/>
      <c r="I63" s="99"/>
      <c r="J63" s="99"/>
      <c r="K63" s="99"/>
      <c r="L63" s="100"/>
    </row>
    <row r="64" spans="1:12">
      <c r="A64" s="101" t="s">
        <v>95</v>
      </c>
      <c r="B64" s="36"/>
      <c r="C64" s="36"/>
      <c r="D64" s="36"/>
      <c r="E64" s="36"/>
      <c r="F64" s="60"/>
      <c r="G64" s="60"/>
      <c r="H64" s="90">
        <f t="array" ref="H64">SUM(ROUND(H61:H62,0))</f>
        <v>193846468</v>
      </c>
      <c r="I64" s="92"/>
      <c r="J64" s="90">
        <f t="array" ref="J64">SUM(ROUND(J61:J62,0))</f>
        <v>6045935</v>
      </c>
      <c r="K64" s="90">
        <f t="array" ref="K64">SUM(ROUND(K61:K62,0))</f>
        <v>199892403</v>
      </c>
      <c r="L64" s="91"/>
    </row>
    <row r="65" spans="1:12">
      <c r="A65" s="36"/>
      <c r="B65" s="36"/>
      <c r="C65" s="36"/>
      <c r="D65" s="36"/>
      <c r="E65" s="36"/>
      <c r="F65" s="102"/>
      <c r="G65" s="36"/>
      <c r="H65" s="102"/>
      <c r="I65" s="60"/>
      <c r="J65" s="60"/>
      <c r="K65" s="60"/>
      <c r="L65" s="61"/>
    </row>
    <row r="66" spans="1:12" ht="13.5" thickBot="1">
      <c r="A66" s="29" t="s">
        <v>96</v>
      </c>
      <c r="B66" s="35"/>
      <c r="C66" s="14"/>
      <c r="D66" s="14"/>
      <c r="E66" s="14"/>
      <c r="F66" s="14"/>
      <c r="G66" s="103"/>
      <c r="H66" s="104">
        <f>H59+H64</f>
        <v>189383842</v>
      </c>
      <c r="I66" s="105"/>
      <c r="J66" s="104">
        <f>J59+J64</f>
        <v>6904947</v>
      </c>
      <c r="K66" s="104">
        <f>K59+K64</f>
        <v>196288789</v>
      </c>
      <c r="L66" s="46"/>
    </row>
    <row r="67" spans="1:12" ht="13.5" thickTop="1">
      <c r="A67" s="14"/>
      <c r="B67" s="14"/>
      <c r="C67" s="14"/>
      <c r="D67" s="14"/>
      <c r="E67" s="14"/>
      <c r="F67" s="14"/>
      <c r="G67" s="15"/>
      <c r="H67" s="107"/>
      <c r="I67" s="15"/>
      <c r="J67" s="107"/>
      <c r="K67" s="107"/>
      <c r="L67" s="108"/>
    </row>
    <row r="68" spans="1:12">
      <c r="A68" s="35" t="s">
        <v>97</v>
      </c>
      <c r="B68" s="35"/>
      <c r="C68" s="35"/>
      <c r="D68" s="35"/>
      <c r="E68" s="35"/>
      <c r="F68" s="35"/>
      <c r="G68" s="87"/>
      <c r="H68" s="35"/>
      <c r="I68" s="87"/>
      <c r="J68" s="35"/>
      <c r="K68" s="35"/>
      <c r="L68" s="37"/>
    </row>
    <row r="69" spans="1:12">
      <c r="G69" s="6"/>
      <c r="H69" s="109">
        <f>H66-[14]SNP!K119</f>
        <v>1</v>
      </c>
      <c r="I69" s="110"/>
      <c r="J69" s="111">
        <f>J66-[14]SNP!M119</f>
        <v>0</v>
      </c>
      <c r="K69" s="111">
        <f>K66-[14]SNP!N119</f>
        <v>1</v>
      </c>
      <c r="L69" s="112"/>
    </row>
    <row r="70" spans="1:12">
      <c r="G70" s="113" t="s">
        <v>98</v>
      </c>
      <c r="H70" s="114"/>
      <c r="I70" s="115"/>
      <c r="J70" s="114"/>
      <c r="K70" s="114"/>
      <c r="L70" s="114"/>
    </row>
  </sheetData>
  <sheetProtection formatColumns="0" formatRows="0"/>
  <conditionalFormatting sqref="H69 J69">
    <cfRule type="cellIs" dxfId="284" priority="14" operator="notEqual">
      <formula>0</formula>
    </cfRule>
    <cfRule type="cellIs" dxfId="283" priority="15" operator="equal">
      <formula>0</formula>
    </cfRule>
  </conditionalFormatting>
  <conditionalFormatting sqref="H11:H15 D11:E11 J24:J30 J37:J45 H37:H45 J62 H62 J17:J18 H25:H29 H17:H18 D17:E17 J11:J15 J52:J55 H52:H55">
    <cfRule type="containsBlanks" dxfId="282" priority="12">
      <formula>LEN(TRIM(D11))=0</formula>
    </cfRule>
    <cfRule type="cellIs" dxfId="281" priority="13" operator="notEqual">
      <formula>0</formula>
    </cfRule>
  </conditionalFormatting>
  <conditionalFormatting sqref="H11">
    <cfRule type="cellIs" dxfId="280" priority="11" operator="notEqual">
      <formula>H20</formula>
    </cfRule>
  </conditionalFormatting>
  <conditionalFormatting sqref="J11">
    <cfRule type="cellIs" dxfId="279" priority="10" operator="notEqual">
      <formula>J20</formula>
    </cfRule>
  </conditionalFormatting>
  <conditionalFormatting sqref="K69">
    <cfRule type="cellIs" dxfId="278" priority="8" operator="notEqual">
      <formula>0</formula>
    </cfRule>
    <cfRule type="cellIs" dxfId="277" priority="9" operator="equal">
      <formula>0</formula>
    </cfRule>
  </conditionalFormatting>
  <conditionalFormatting sqref="K24:K30 K37:K45 K62 K17:K18 K11:K15 K52:K55">
    <cfRule type="containsBlanks" dxfId="276" priority="6">
      <formula>LEN(TRIM(K11))=0</formula>
    </cfRule>
    <cfRule type="cellIs" dxfId="275" priority="7" operator="notEqual">
      <formula>0</formula>
    </cfRule>
  </conditionalFormatting>
  <conditionalFormatting sqref="K11">
    <cfRule type="cellIs" dxfId="274" priority="5" operator="notEqual">
      <formula>K20</formula>
    </cfRule>
  </conditionalFormatting>
  <conditionalFormatting sqref="H24">
    <cfRule type="containsBlanks" dxfId="273" priority="3">
      <formula>LEN(TRIM(H24))=0</formula>
    </cfRule>
    <cfRule type="cellIs" dxfId="272" priority="4" operator="notEqual">
      <formula>0</formula>
    </cfRule>
  </conditionalFormatting>
  <conditionalFormatting sqref="K61">
    <cfRule type="containsBlanks" dxfId="271" priority="1">
      <formula>LEN(TRIM(K61))=0</formula>
    </cfRule>
    <cfRule type="cellIs" dxfId="270" priority="2" operator="notEqual">
      <formula>0</formula>
    </cfRule>
  </conditionalFormatting>
  <printOptions horizontalCentered="1"/>
  <pageMargins left="0.7" right="0.7" top="0.75" bottom="0.75" header="0.5" footer="0.5"/>
  <pageSetup scale="52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  <pageSetUpPr fitToPage="1"/>
  </sheetPr>
  <dimension ref="A1:R70"/>
  <sheetViews>
    <sheetView zoomScale="90" zoomScaleNormal="90" zoomScaleSheetLayoutView="70" workbookViewId="0"/>
  </sheetViews>
  <sheetFormatPr defaultColWidth="11.140625" defaultRowHeight="12.75"/>
  <cols>
    <col min="1" max="6" width="11.140625" style="6"/>
    <col min="7" max="7" width="11.140625" style="11"/>
    <col min="8" max="8" width="15.42578125" style="6" customWidth="1"/>
    <col min="9" max="9" width="11.140625" style="11"/>
    <col min="10" max="10" width="13.5703125" style="6" customWidth="1"/>
    <col min="11" max="11" width="15" style="6" customWidth="1"/>
    <col min="12" max="12" width="11.140625" style="6"/>
    <col min="13" max="13" width="11.140625" style="10"/>
    <col min="14" max="18" width="11.140625" style="5"/>
    <col min="19" max="16384" width="11.140625" style="6"/>
  </cols>
  <sheetData>
    <row r="1" spans="1:12">
      <c r="A1" s="260" t="str">
        <f>'[15]Contact Information'!$C$5</f>
        <v>INDIAN RIVER STATE COLLEGE</v>
      </c>
      <c r="B1" s="260"/>
      <c r="C1" s="260"/>
      <c r="D1" s="260"/>
      <c r="E1" s="260"/>
      <c r="F1" s="260"/>
      <c r="G1" s="260"/>
      <c r="H1" s="260"/>
      <c r="I1" s="260"/>
      <c r="J1" s="260"/>
      <c r="K1" s="247"/>
      <c r="L1" s="3"/>
    </row>
    <row r="2" spans="1:12">
      <c r="A2" s="256" t="s">
        <v>0</v>
      </c>
      <c r="B2" s="256"/>
      <c r="C2" s="256"/>
      <c r="D2" s="256"/>
      <c r="E2" s="256"/>
      <c r="F2" s="256"/>
      <c r="G2" s="256"/>
      <c r="H2" s="256"/>
      <c r="I2" s="256"/>
      <c r="J2" s="256"/>
      <c r="K2" s="245"/>
      <c r="L2" s="7"/>
    </row>
    <row r="3" spans="1:12">
      <c r="A3" s="86" t="s">
        <v>1</v>
      </c>
      <c r="B3" s="86"/>
      <c r="C3" s="86"/>
      <c r="D3" s="86"/>
      <c r="E3" s="86"/>
      <c r="F3" s="86"/>
      <c r="G3" s="86"/>
      <c r="H3" s="86"/>
      <c r="I3" s="86"/>
      <c r="J3" s="86"/>
      <c r="K3" s="248"/>
      <c r="L3" s="9" t="s">
        <v>2</v>
      </c>
    </row>
    <row r="4" spans="1:12">
      <c r="A4" s="261" t="s">
        <v>297</v>
      </c>
      <c r="B4" s="261"/>
      <c r="C4" s="261"/>
      <c r="D4" s="261"/>
      <c r="E4" s="261"/>
      <c r="F4" s="261"/>
      <c r="G4" s="261"/>
      <c r="H4" s="261"/>
      <c r="I4" s="261"/>
      <c r="J4" s="261"/>
      <c r="K4" s="249"/>
      <c r="L4" s="11" t="str">
        <f>'[15]Contact Information'!$C$3</f>
        <v>2015.v03</v>
      </c>
    </row>
    <row r="5" spans="1:12">
      <c r="A5" s="14"/>
      <c r="B5" s="14"/>
      <c r="C5" s="14"/>
      <c r="D5" s="14"/>
      <c r="E5" s="14"/>
      <c r="F5" s="14"/>
      <c r="G5" s="15"/>
      <c r="H5" s="16"/>
      <c r="I5" s="17"/>
      <c r="J5" s="16"/>
      <c r="K5" s="16"/>
      <c r="L5" s="18"/>
    </row>
    <row r="6" spans="1:12">
      <c r="A6" s="14"/>
      <c r="B6" s="14"/>
      <c r="C6" s="14"/>
      <c r="D6" s="14"/>
      <c r="E6" s="14"/>
      <c r="F6" s="14"/>
      <c r="G6" s="15"/>
      <c r="H6" s="249" t="s">
        <v>5</v>
      </c>
      <c r="I6" s="21"/>
      <c r="J6" s="22" t="s">
        <v>6</v>
      </c>
      <c r="K6" s="22" t="s">
        <v>7</v>
      </c>
      <c r="L6" s="23"/>
    </row>
    <row r="7" spans="1:12">
      <c r="A7" s="14"/>
      <c r="B7" s="14"/>
      <c r="C7" s="14"/>
      <c r="D7" s="14"/>
      <c r="E7" s="14"/>
      <c r="F7" s="14"/>
      <c r="G7" s="15"/>
      <c r="H7" s="24"/>
      <c r="I7" s="25"/>
      <c r="J7" s="26" t="str">
        <f>[15]SNP!$M$9</f>
        <v>Unit</v>
      </c>
      <c r="K7" s="26"/>
      <c r="L7" s="27"/>
    </row>
    <row r="8" spans="1:12">
      <c r="A8" s="29" t="s">
        <v>9</v>
      </c>
      <c r="B8" s="14"/>
      <c r="C8" s="14"/>
      <c r="D8" s="14"/>
      <c r="E8" s="14"/>
      <c r="F8" s="14"/>
      <c r="G8" s="15"/>
      <c r="H8" s="25"/>
      <c r="I8" s="25"/>
      <c r="J8" s="25"/>
      <c r="K8" s="25"/>
      <c r="L8" s="30"/>
    </row>
    <row r="9" spans="1:12">
      <c r="A9" s="14" t="s">
        <v>12</v>
      </c>
      <c r="B9" s="14"/>
      <c r="C9" s="14"/>
      <c r="D9" s="14"/>
      <c r="E9" s="14"/>
      <c r="F9" s="14"/>
      <c r="G9" s="15"/>
      <c r="H9" s="17"/>
      <c r="I9" s="17"/>
      <c r="J9" s="17"/>
      <c r="K9" s="17"/>
      <c r="L9" s="18"/>
    </row>
    <row r="10" spans="1:12">
      <c r="A10" s="35"/>
      <c r="B10" s="36" t="s">
        <v>14</v>
      </c>
      <c r="C10" s="14"/>
      <c r="D10" s="14"/>
      <c r="E10" s="14"/>
      <c r="F10" s="14"/>
      <c r="G10" s="35"/>
      <c r="H10" s="35"/>
      <c r="I10" s="17"/>
      <c r="J10" s="35"/>
      <c r="K10" s="35"/>
      <c r="L10" s="37"/>
    </row>
    <row r="11" spans="1:12">
      <c r="A11" s="35"/>
      <c r="B11" s="44" t="s">
        <v>19</v>
      </c>
      <c r="C11" s="35"/>
      <c r="D11" s="263">
        <v>15326873</v>
      </c>
      <c r="E11" s="263"/>
      <c r="F11" s="45"/>
      <c r="G11" s="36"/>
      <c r="H11" s="228">
        <v>16117685.02</v>
      </c>
      <c r="I11" s="229"/>
      <c r="J11" s="228">
        <v>0</v>
      </c>
      <c r="K11" s="228">
        <f>ROUND(J11,0)+ROUND(H11,0)</f>
        <v>16117685</v>
      </c>
      <c r="L11" s="46"/>
    </row>
    <row r="12" spans="1:12">
      <c r="A12" s="35"/>
      <c r="B12" s="36" t="s">
        <v>22</v>
      </c>
      <c r="C12" s="14"/>
      <c r="D12" s="48"/>
      <c r="E12" s="49"/>
      <c r="F12" s="15"/>
      <c r="G12" s="35"/>
      <c r="H12" s="50">
        <v>7902680.0099999998</v>
      </c>
      <c r="I12" s="230"/>
      <c r="J12" s="50">
        <v>0</v>
      </c>
      <c r="K12" s="50">
        <f>ROUND(J12,0)+ROUND(H12,0)</f>
        <v>7902680</v>
      </c>
      <c r="L12" s="51"/>
    </row>
    <row r="13" spans="1:12">
      <c r="A13" s="35"/>
      <c r="B13" s="36" t="s">
        <v>24</v>
      </c>
      <c r="C13" s="14"/>
      <c r="D13" s="48"/>
      <c r="E13" s="48"/>
      <c r="F13" s="14"/>
      <c r="G13" s="35"/>
      <c r="H13" s="50">
        <v>331127.31</v>
      </c>
      <c r="I13" s="230"/>
      <c r="J13" s="50">
        <v>196617.08</v>
      </c>
      <c r="K13" s="50">
        <f>ROUND(J13,0)+ROUND(H13,0)</f>
        <v>527744</v>
      </c>
      <c r="L13" s="51"/>
    </row>
    <row r="14" spans="1:12">
      <c r="A14" s="35"/>
      <c r="B14" s="36" t="s">
        <v>26</v>
      </c>
      <c r="C14" s="14"/>
      <c r="D14" s="48"/>
      <c r="E14" s="48"/>
      <c r="F14" s="14"/>
      <c r="G14" s="35"/>
      <c r="H14" s="50">
        <v>235634.21</v>
      </c>
      <c r="I14" s="230"/>
      <c r="J14" s="50">
        <v>3259760.03</v>
      </c>
      <c r="K14" s="50">
        <f>ROUND(J14,0)+ROUND(H14,0)</f>
        <v>3495394</v>
      </c>
      <c r="L14" s="51"/>
    </row>
    <row r="15" spans="1:12">
      <c r="A15" s="35"/>
      <c r="B15" s="36" t="s">
        <v>28</v>
      </c>
      <c r="C15" s="14"/>
      <c r="D15" s="48"/>
      <c r="E15" s="48"/>
      <c r="F15" s="35"/>
      <c r="G15" s="35"/>
      <c r="H15" s="50">
        <v>239809.7</v>
      </c>
      <c r="I15" s="230"/>
      <c r="J15" s="50">
        <v>0</v>
      </c>
      <c r="K15" s="50">
        <f>ROUND(J15,0)+ROUND(H15,0)</f>
        <v>239810</v>
      </c>
      <c r="L15" s="51"/>
    </row>
    <row r="16" spans="1:12">
      <c r="A16" s="35"/>
      <c r="B16" s="36" t="s">
        <v>29</v>
      </c>
      <c r="C16" s="14"/>
      <c r="D16" s="54"/>
      <c r="E16" s="49"/>
      <c r="F16" s="55"/>
      <c r="G16" s="35"/>
      <c r="H16" s="35"/>
      <c r="I16" s="230"/>
      <c r="J16" s="35"/>
      <c r="K16" s="35"/>
      <c r="L16" s="37"/>
    </row>
    <row r="17" spans="1:12">
      <c r="A17" s="35"/>
      <c r="B17" s="44" t="s">
        <v>19</v>
      </c>
      <c r="C17" s="35"/>
      <c r="D17" s="263">
        <v>3272203</v>
      </c>
      <c r="E17" s="263"/>
      <c r="F17" s="55"/>
      <c r="G17" s="35"/>
      <c r="H17" s="50">
        <v>6395931.0599999996</v>
      </c>
      <c r="I17" s="230"/>
      <c r="J17" s="50">
        <v>0</v>
      </c>
      <c r="K17" s="50">
        <f>ROUND(J17,0)+ROUND(H17,0)</f>
        <v>6395931</v>
      </c>
      <c r="L17" s="51"/>
    </row>
    <row r="18" spans="1:12">
      <c r="A18" s="35"/>
      <c r="B18" s="57" t="s">
        <v>33</v>
      </c>
      <c r="C18" s="14"/>
      <c r="D18" s="14"/>
      <c r="E18" s="14"/>
      <c r="F18" s="14"/>
      <c r="G18" s="36"/>
      <c r="H18" s="58">
        <v>628038</v>
      </c>
      <c r="I18" s="230"/>
      <c r="J18" s="58">
        <v>0</v>
      </c>
      <c r="K18" s="58">
        <f>ROUND(J18,0)+ROUND(H18,0)</f>
        <v>628038</v>
      </c>
      <c r="L18" s="51"/>
    </row>
    <row r="19" spans="1:12">
      <c r="A19" s="36"/>
      <c r="B19" s="36"/>
      <c r="C19" s="36"/>
      <c r="D19" s="36"/>
      <c r="E19" s="36"/>
      <c r="F19" s="59"/>
      <c r="G19" s="59"/>
      <c r="H19" s="59"/>
      <c r="I19" s="60"/>
      <c r="J19" s="60"/>
      <c r="K19" s="60"/>
      <c r="L19" s="61"/>
    </row>
    <row r="20" spans="1:12">
      <c r="A20" s="35"/>
      <c r="B20" s="65" t="s">
        <v>35</v>
      </c>
      <c r="C20" s="35"/>
      <c r="D20" s="14"/>
      <c r="E20" s="14"/>
      <c r="F20" s="14"/>
      <c r="G20" s="15"/>
      <c r="H20" s="66">
        <f t="array" ref="H20">SUM(ROUND(H11:H18,0))</f>
        <v>31850905</v>
      </c>
      <c r="I20" s="67"/>
      <c r="J20" s="66">
        <f t="array" ref="J20">SUM(ROUND(J11:J18,0))</f>
        <v>3456377</v>
      </c>
      <c r="K20" s="66">
        <f t="array" ref="K20">SUM(ROUND(K11:K18,0))</f>
        <v>35307282</v>
      </c>
      <c r="L20" s="68"/>
    </row>
    <row r="21" spans="1:12">
      <c r="A21" s="14"/>
      <c r="B21" s="14"/>
      <c r="C21" s="14"/>
      <c r="D21" s="14"/>
      <c r="E21" s="14"/>
      <c r="F21" s="14"/>
      <c r="G21" s="15"/>
      <c r="H21" s="17"/>
      <c r="I21" s="17"/>
      <c r="J21" s="17"/>
      <c r="K21" s="17"/>
      <c r="L21" s="18"/>
    </row>
    <row r="22" spans="1:12">
      <c r="A22" s="29" t="s">
        <v>36</v>
      </c>
      <c r="B22" s="14"/>
      <c r="C22" s="14"/>
      <c r="D22" s="14"/>
      <c r="E22" s="14"/>
      <c r="F22" s="14"/>
      <c r="G22" s="15"/>
      <c r="H22" s="16"/>
      <c r="I22" s="17"/>
      <c r="J22" s="16"/>
      <c r="K22" s="16"/>
      <c r="L22" s="18"/>
    </row>
    <row r="23" spans="1:12">
      <c r="A23" s="14" t="s">
        <v>37</v>
      </c>
      <c r="B23" s="14"/>
      <c r="C23" s="14"/>
      <c r="D23" s="14"/>
      <c r="E23" s="35"/>
      <c r="F23" s="14"/>
      <c r="G23" s="15"/>
      <c r="H23" s="16"/>
      <c r="I23" s="17"/>
      <c r="J23" s="16"/>
      <c r="K23" s="16"/>
      <c r="L23" s="18"/>
    </row>
    <row r="24" spans="1:12">
      <c r="A24" s="44"/>
      <c r="B24" s="36" t="s">
        <v>40</v>
      </c>
      <c r="C24" s="14"/>
      <c r="D24" s="14"/>
      <c r="E24" s="35"/>
      <c r="F24" s="14"/>
      <c r="G24" s="15"/>
      <c r="H24" s="50">
        <f>61733205.57+15285888-1627187</f>
        <v>75391906.569999993</v>
      </c>
      <c r="I24" s="230"/>
      <c r="J24" s="50">
        <v>291997.05</v>
      </c>
      <c r="K24" s="50">
        <f t="shared" ref="K24:K30" si="0">ROUND(J24,0)+ROUND(H24,0)</f>
        <v>75683904</v>
      </c>
      <c r="L24" s="51"/>
    </row>
    <row r="25" spans="1:12">
      <c r="A25" s="44"/>
      <c r="B25" s="36" t="s">
        <v>42</v>
      </c>
      <c r="C25" s="14"/>
      <c r="D25" s="14"/>
      <c r="E25" s="35"/>
      <c r="F25" s="14"/>
      <c r="G25" s="15"/>
      <c r="H25" s="50">
        <v>16270496</v>
      </c>
      <c r="I25" s="230"/>
      <c r="J25" s="50">
        <v>2680304</v>
      </c>
      <c r="K25" s="50">
        <f t="shared" si="0"/>
        <v>18950800</v>
      </c>
      <c r="L25" s="51"/>
    </row>
    <row r="26" spans="1:12">
      <c r="A26" s="44"/>
      <c r="B26" s="36" t="s">
        <v>44</v>
      </c>
      <c r="C26" s="14"/>
      <c r="D26" s="14"/>
      <c r="E26" s="35"/>
      <c r="F26" s="14"/>
      <c r="G26" s="15"/>
      <c r="H26" s="50">
        <v>4630664.8099999996</v>
      </c>
      <c r="I26" s="230"/>
      <c r="J26" s="50">
        <v>0</v>
      </c>
      <c r="K26" s="50">
        <f t="shared" si="0"/>
        <v>4630665</v>
      </c>
      <c r="L26" s="51"/>
    </row>
    <row r="27" spans="1:12">
      <c r="A27" s="44"/>
      <c r="B27" s="36" t="s">
        <v>46</v>
      </c>
      <c r="C27" s="14"/>
      <c r="D27" s="14"/>
      <c r="E27" s="35"/>
      <c r="F27" s="14"/>
      <c r="G27" s="15"/>
      <c r="H27" s="50">
        <v>11650682.810000001</v>
      </c>
      <c r="I27" s="230"/>
      <c r="J27" s="50">
        <v>0</v>
      </c>
      <c r="K27" s="50">
        <f t="shared" si="0"/>
        <v>11650683</v>
      </c>
      <c r="L27" s="51"/>
    </row>
    <row r="28" spans="1:12">
      <c r="A28" s="44"/>
      <c r="B28" s="36" t="s">
        <v>48</v>
      </c>
      <c r="C28" s="14"/>
      <c r="D28" s="14"/>
      <c r="E28" s="35"/>
      <c r="F28" s="14"/>
      <c r="G28" s="15"/>
      <c r="H28" s="50">
        <v>6069369</v>
      </c>
      <c r="I28" s="230"/>
      <c r="J28" s="50">
        <v>1640311.43</v>
      </c>
      <c r="K28" s="50">
        <f t="shared" si="0"/>
        <v>7709680</v>
      </c>
      <c r="L28" s="51"/>
    </row>
    <row r="29" spans="1:12">
      <c r="A29" s="44"/>
      <c r="B29" s="36" t="s">
        <v>50</v>
      </c>
      <c r="C29" s="14"/>
      <c r="D29" s="14"/>
      <c r="E29" s="35"/>
      <c r="F29" s="14"/>
      <c r="G29" s="15"/>
      <c r="H29" s="50">
        <v>12665311</v>
      </c>
      <c r="I29" s="230"/>
      <c r="J29" s="50">
        <v>0</v>
      </c>
      <c r="K29" s="50">
        <f t="shared" si="0"/>
        <v>12665311</v>
      </c>
      <c r="L29" s="51"/>
    </row>
    <row r="30" spans="1:12">
      <c r="A30" s="44"/>
      <c r="B30" s="36" t="s">
        <v>53</v>
      </c>
      <c r="C30" s="14"/>
      <c r="D30" s="14"/>
      <c r="E30" s="35"/>
      <c r="F30" s="14"/>
      <c r="G30" s="15"/>
      <c r="H30" s="231">
        <f>'[15]Accounts by GL'!O481</f>
        <v>8251121.8600000003</v>
      </c>
      <c r="I30" s="230"/>
      <c r="J30" s="58">
        <v>229291</v>
      </c>
      <c r="K30" s="58">
        <f t="shared" si="0"/>
        <v>8480413</v>
      </c>
      <c r="L30" s="51"/>
    </row>
    <row r="31" spans="1:12">
      <c r="A31" s="44"/>
      <c r="B31" s="36"/>
      <c r="C31" s="14"/>
      <c r="D31" s="14"/>
      <c r="E31" s="35"/>
      <c r="F31" s="14"/>
      <c r="G31" s="15"/>
      <c r="H31" s="73"/>
      <c r="I31" s="73"/>
      <c r="J31" s="73"/>
      <c r="K31" s="73"/>
      <c r="L31" s="74"/>
    </row>
    <row r="32" spans="1:12">
      <c r="A32" s="14"/>
      <c r="B32" s="65" t="s">
        <v>55</v>
      </c>
      <c r="C32" s="35"/>
      <c r="D32" s="14"/>
      <c r="E32" s="14"/>
      <c r="F32" s="14"/>
      <c r="G32" s="15"/>
      <c r="H32" s="66">
        <f t="array" ref="H32">SUM(ROUND(H24:H30,0))</f>
        <v>134929553</v>
      </c>
      <c r="I32" s="59"/>
      <c r="J32" s="66">
        <f t="array" ref="J32">SUM(ROUND(J24:J30,0))</f>
        <v>4841903</v>
      </c>
      <c r="K32" s="66">
        <f t="array" ref="K32">SUM(ROUND(K24:K30,0))</f>
        <v>139771456</v>
      </c>
      <c r="L32" s="68"/>
    </row>
    <row r="33" spans="1:12">
      <c r="A33" s="44"/>
      <c r="B33" s="76"/>
      <c r="C33" s="14"/>
      <c r="D33" s="14"/>
      <c r="E33" s="35"/>
      <c r="F33" s="14"/>
      <c r="G33" s="15"/>
      <c r="H33" s="59"/>
      <c r="I33" s="59"/>
      <c r="J33" s="59"/>
      <c r="K33" s="59"/>
      <c r="L33" s="77"/>
    </row>
    <row r="34" spans="1:12">
      <c r="A34" s="14"/>
      <c r="B34" s="65" t="str">
        <f>IF(H34&lt;0,IF(J34&gt;0,"Operating Income (Loss)","Operating Loss"),IF(H34&gt;0,IF(J34&gt;=0,"Operating Income","Operating Income (Loss)"),IF(J34&lt;0,"Operating Loss",IF(J34&gt;0,"Operating Income","Operating Income (Loss)"))))</f>
        <v>Operating Loss</v>
      </c>
      <c r="C34" s="35"/>
      <c r="D34" s="14"/>
      <c r="E34" s="14"/>
      <c r="F34" s="14"/>
      <c r="G34" s="15"/>
      <c r="H34" s="66">
        <f>H20-H32</f>
        <v>-103078648</v>
      </c>
      <c r="I34" s="67"/>
      <c r="J34" s="66">
        <f>J20-J32</f>
        <v>-1385526</v>
      </c>
      <c r="K34" s="66">
        <f>K20-K32</f>
        <v>-104464174</v>
      </c>
      <c r="L34" s="68"/>
    </row>
    <row r="35" spans="1:12">
      <c r="A35" s="14"/>
      <c r="B35" s="14"/>
      <c r="C35" s="14"/>
      <c r="D35" s="14"/>
      <c r="E35" s="14"/>
      <c r="F35" s="14"/>
      <c r="G35" s="15"/>
      <c r="H35" s="78"/>
      <c r="I35" s="78"/>
      <c r="J35" s="78"/>
      <c r="K35" s="78"/>
      <c r="L35" s="79"/>
    </row>
    <row r="36" spans="1:12">
      <c r="A36" s="29" t="s">
        <v>56</v>
      </c>
      <c r="B36" s="35"/>
      <c r="C36" s="14"/>
      <c r="D36" s="14"/>
      <c r="E36" s="14"/>
      <c r="F36" s="14"/>
      <c r="G36" s="15"/>
      <c r="H36" s="16"/>
      <c r="I36" s="17"/>
      <c r="J36" s="16"/>
      <c r="K36" s="16"/>
      <c r="L36" s="18"/>
    </row>
    <row r="37" spans="1:12">
      <c r="A37" s="36" t="s">
        <v>59</v>
      </c>
      <c r="B37" s="35"/>
      <c r="C37" s="14"/>
      <c r="D37" s="14"/>
      <c r="E37" s="35"/>
      <c r="F37" s="14"/>
      <c r="G37" s="15"/>
      <c r="H37" s="80">
        <v>47945293.789999999</v>
      </c>
      <c r="I37" s="49"/>
      <c r="J37" s="80">
        <v>0</v>
      </c>
      <c r="K37" s="80">
        <f t="shared" ref="K37:K45" si="1">ROUND(J37,0)+ROUND(H37,0)</f>
        <v>47945294</v>
      </c>
      <c r="L37" s="81"/>
    </row>
    <row r="38" spans="1:12">
      <c r="A38" s="36" t="s">
        <v>61</v>
      </c>
      <c r="B38" s="35"/>
      <c r="C38" s="14"/>
      <c r="D38" s="14"/>
      <c r="E38" s="35"/>
      <c r="F38" s="14"/>
      <c r="G38" s="15"/>
      <c r="H38" s="80">
        <v>32016267</v>
      </c>
      <c r="I38" s="49"/>
      <c r="J38" s="80">
        <v>0</v>
      </c>
      <c r="K38" s="80">
        <f t="shared" si="1"/>
        <v>32016267</v>
      </c>
      <c r="L38" s="81"/>
    </row>
    <row r="39" spans="1:12">
      <c r="A39" s="36" t="s">
        <v>63</v>
      </c>
      <c r="B39" s="35"/>
      <c r="C39" s="14"/>
      <c r="D39" s="14"/>
      <c r="E39" s="35"/>
      <c r="F39" s="14"/>
      <c r="G39" s="15"/>
      <c r="H39" s="80">
        <v>11666653.1</v>
      </c>
      <c r="I39" s="49"/>
      <c r="J39" s="80">
        <v>0</v>
      </c>
      <c r="K39" s="80">
        <f t="shared" si="1"/>
        <v>11666653</v>
      </c>
      <c r="L39" s="81"/>
    </row>
    <row r="40" spans="1:12">
      <c r="A40" s="36" t="s">
        <v>66</v>
      </c>
      <c r="B40" s="35"/>
      <c r="C40" s="14"/>
      <c r="D40" s="14"/>
      <c r="E40" s="35"/>
      <c r="F40" s="14"/>
      <c r="G40" s="15"/>
      <c r="H40" s="80">
        <v>306231.95</v>
      </c>
      <c r="I40" s="49"/>
      <c r="J40" s="80">
        <v>687313</v>
      </c>
      <c r="K40" s="80">
        <f t="shared" si="1"/>
        <v>993545</v>
      </c>
      <c r="L40" s="81"/>
    </row>
    <row r="41" spans="1:12">
      <c r="A41" s="36" t="str">
        <f>IF(H41&lt;0,IF(J41&gt;0,"Net Gain (Loss) on Investments","Net Loss on Investments"),IF(H41&gt;0,IF(J41&gt;=0,"Net Gain on Investments","Net Gain (Loss) on Investments"),IF(J41&lt;0,"Net Loss on Investments",IF(J41&gt;0,"Net Gain on Investments","Net Gain (Loss) on Investments"))))</f>
        <v>Net Gain (Loss) on Investments</v>
      </c>
      <c r="B41" s="35"/>
      <c r="C41" s="14"/>
      <c r="D41" s="14"/>
      <c r="E41" s="35"/>
      <c r="F41" s="14"/>
      <c r="G41" s="15"/>
      <c r="H41" s="80">
        <v>-95900</v>
      </c>
      <c r="I41" s="49"/>
      <c r="J41" s="80">
        <v>3684803</v>
      </c>
      <c r="K41" s="80">
        <f t="shared" si="1"/>
        <v>3588903</v>
      </c>
      <c r="L41" s="81"/>
    </row>
    <row r="42" spans="1:12">
      <c r="A42" s="36" t="s">
        <v>69</v>
      </c>
      <c r="B42" s="35"/>
      <c r="C42" s="14"/>
      <c r="D42" s="14"/>
      <c r="E42" s="35"/>
      <c r="F42" s="14"/>
      <c r="G42" s="15"/>
      <c r="H42" s="80">
        <v>18284</v>
      </c>
      <c r="I42" s="49"/>
      <c r="J42" s="80">
        <v>2110752</v>
      </c>
      <c r="K42" s="80">
        <f t="shared" si="1"/>
        <v>2129036</v>
      </c>
      <c r="L42" s="81"/>
    </row>
    <row r="43" spans="1:12">
      <c r="A43" s="36" t="str">
        <f>IF(H43&lt;0,IF(J43&gt;0,"Gain (Loss) on Disposal of Capital Assets","Loss on Disposal of Capital Assets"),IF(H43&gt;0,IF(J43&gt;=0,"Gain on Disposal of Capital Assets","Gain (Loss) on Disposal of Capital Assets"),IF(J43&lt;0,"Loss on Disposal of Capital Assets",IF(J43&gt;0,"Gain on Disposal of Capital Assets","Gain (Loss) on Disposal of Capital Assets"))))</f>
        <v>Gain (Loss) on Disposal of Capital Assets</v>
      </c>
      <c r="B43" s="35"/>
      <c r="C43" s="14"/>
      <c r="D43" s="14"/>
      <c r="E43" s="35"/>
      <c r="F43" s="14"/>
      <c r="G43" s="15"/>
      <c r="H43" s="80">
        <v>0</v>
      </c>
      <c r="I43" s="49"/>
      <c r="J43" s="80">
        <v>0</v>
      </c>
      <c r="K43" s="80">
        <f t="shared" si="1"/>
        <v>0</v>
      </c>
      <c r="L43" s="81"/>
    </row>
    <row r="44" spans="1:12">
      <c r="A44" s="36" t="s">
        <v>73</v>
      </c>
      <c r="B44" s="35"/>
      <c r="C44" s="35"/>
      <c r="D44" s="35"/>
      <c r="E44" s="35"/>
      <c r="F44" s="35"/>
      <c r="G44" s="35"/>
      <c r="H44" s="80">
        <v>-83871</v>
      </c>
      <c r="I44" s="49"/>
      <c r="J44" s="80">
        <v>-50950.52</v>
      </c>
      <c r="K44" s="80">
        <f t="shared" si="1"/>
        <v>-134822</v>
      </c>
      <c r="L44" s="81"/>
    </row>
    <row r="45" spans="1:12">
      <c r="A45" s="36" t="s">
        <v>75</v>
      </c>
      <c r="B45" s="35"/>
      <c r="C45" s="14"/>
      <c r="D45" s="14"/>
      <c r="E45" s="35"/>
      <c r="F45" s="14"/>
      <c r="G45" s="15"/>
      <c r="H45" s="82">
        <v>0</v>
      </c>
      <c r="I45" s="49"/>
      <c r="J45" s="82">
        <v>0</v>
      </c>
      <c r="K45" s="82">
        <f t="shared" si="1"/>
        <v>0</v>
      </c>
      <c r="L45" s="81"/>
    </row>
    <row r="46" spans="1:12">
      <c r="A46" s="35"/>
      <c r="B46" s="35"/>
      <c r="C46" s="35"/>
      <c r="D46" s="35"/>
      <c r="E46" s="35"/>
      <c r="F46" s="35"/>
      <c r="G46" s="35"/>
      <c r="H46" s="83"/>
      <c r="I46" s="84"/>
      <c r="J46" s="83"/>
      <c r="K46" s="83"/>
      <c r="L46" s="85"/>
    </row>
    <row r="47" spans="1:12">
      <c r="A47" s="29" t="s">
        <v>77</v>
      </c>
      <c r="B47" s="35"/>
      <c r="C47" s="14"/>
      <c r="D47" s="14"/>
      <c r="E47" s="14"/>
      <c r="F47" s="14"/>
      <c r="G47" s="15"/>
      <c r="H47" s="66">
        <f t="array" ref="H47">SUM(ROUND(H37:H45,0))</f>
        <v>91772959</v>
      </c>
      <c r="I47" s="59"/>
      <c r="J47" s="66">
        <f t="array" ref="J47">SUM(ROUND(J37:J45,0))</f>
        <v>6431917</v>
      </c>
      <c r="K47" s="66">
        <f t="array" ref="K47">SUM(ROUND(K37:K45,0))</f>
        <v>98204876</v>
      </c>
      <c r="L47" s="68"/>
    </row>
    <row r="48" spans="1:12">
      <c r="A48" s="86"/>
      <c r="B48" s="87"/>
      <c r="C48" s="15"/>
      <c r="D48" s="15"/>
      <c r="E48" s="15"/>
      <c r="F48" s="15"/>
      <c r="G48" s="15"/>
      <c r="H48" s="59"/>
      <c r="I48" s="59"/>
      <c r="J48" s="59"/>
      <c r="K48" s="59"/>
      <c r="L48" s="77"/>
    </row>
    <row r="49" spans="1:12">
      <c r="A49" s="65" t="str">
        <f>IF(H50&lt;0,IF(J50&gt;0,"Income (Loss) Before Other Revenues,","Loss Before Other Revenues,"),IF(H50&gt;0,IF(J50&gt;=0,"Income Before Other Revenues,","Income (Loss) Before Other Revenues,"),IF(J59&lt;0,"Loss Before Other Revenues,",IF(J59&gt;0,"Income Before Other Revenues,","Income (Loss) Before Other Revenues,"))))</f>
        <v>Income (Loss) Before Other Revenues,</v>
      </c>
      <c r="B49" s="35"/>
      <c r="C49" s="35"/>
      <c r="D49" s="14"/>
      <c r="E49" s="14"/>
      <c r="F49" s="14"/>
      <c r="G49" s="15"/>
      <c r="H49" s="35"/>
      <c r="I49" s="35"/>
      <c r="J49" s="35"/>
      <c r="K49" s="35"/>
      <c r="L49" s="37"/>
    </row>
    <row r="50" spans="1:12">
      <c r="A50" s="14"/>
      <c r="B50" s="29" t="s">
        <v>78</v>
      </c>
      <c r="C50" s="14"/>
      <c r="D50" s="14"/>
      <c r="E50" s="14"/>
      <c r="F50" s="14"/>
      <c r="G50" s="15"/>
      <c r="H50" s="66">
        <f>H34+H47</f>
        <v>-11305689</v>
      </c>
      <c r="I50" s="59"/>
      <c r="J50" s="66">
        <f>J34+J47</f>
        <v>5046391</v>
      </c>
      <c r="K50" s="66">
        <f>K34+K47</f>
        <v>-6259298</v>
      </c>
      <c r="L50" s="68"/>
    </row>
    <row r="51" spans="1:12">
      <c r="A51" s="14"/>
      <c r="B51" s="29"/>
      <c r="C51" s="14"/>
      <c r="D51" s="14"/>
      <c r="E51" s="14"/>
      <c r="F51" s="14"/>
      <c r="G51" s="15"/>
      <c r="H51" s="17"/>
      <c r="I51" s="17"/>
      <c r="J51" s="17"/>
      <c r="K51" s="17"/>
      <c r="L51" s="18"/>
    </row>
    <row r="52" spans="1:12">
      <c r="A52" s="36" t="s">
        <v>80</v>
      </c>
      <c r="B52" s="35"/>
      <c r="C52" s="14"/>
      <c r="D52" s="14"/>
      <c r="E52" s="14"/>
      <c r="F52" s="35"/>
      <c r="G52" s="15"/>
      <c r="H52" s="80">
        <v>3052440.37</v>
      </c>
      <c r="I52" s="49"/>
      <c r="J52" s="80">
        <v>75529.89</v>
      </c>
      <c r="K52" s="80">
        <f>ROUND(J52,0)+ROUND(H52,0)</f>
        <v>3127970</v>
      </c>
      <c r="L52" s="81"/>
    </row>
    <row r="53" spans="1:12">
      <c r="A53" s="36" t="s">
        <v>83</v>
      </c>
      <c r="B53" s="35"/>
      <c r="C53" s="14"/>
      <c r="D53" s="14"/>
      <c r="E53" s="14"/>
      <c r="F53" s="35"/>
      <c r="G53" s="15"/>
      <c r="H53" s="50">
        <v>4214249.82</v>
      </c>
      <c r="I53" s="230"/>
      <c r="J53" s="50">
        <v>0</v>
      </c>
      <c r="K53" s="50">
        <f>ROUND(J53,0)+ROUND(H53,0)</f>
        <v>4214250</v>
      </c>
      <c r="L53" s="51"/>
    </row>
    <row r="54" spans="1:12">
      <c r="A54" s="14" t="s">
        <v>86</v>
      </c>
      <c r="B54" s="35"/>
      <c r="C54" s="14"/>
      <c r="D54" s="14"/>
      <c r="E54" s="14"/>
      <c r="F54" s="35"/>
      <c r="G54" s="15"/>
      <c r="H54" s="89">
        <v>0</v>
      </c>
      <c r="I54" s="230"/>
      <c r="J54" s="89">
        <v>537274</v>
      </c>
      <c r="K54" s="89">
        <f>ROUND(J54,0)+ROUND(H54,0)</f>
        <v>537274</v>
      </c>
      <c r="L54" s="51"/>
    </row>
    <row r="55" spans="1:12">
      <c r="A55" s="76" t="str">
        <f>IF(H55&lt;0,IF(J55&gt;0,"Other Revenues (Expenses)","Other Expenses"),IF(H55&gt;0,IF(J55&gt;=0,"Other Revenues","Other Revenues (Expenses)"),IF(J55&lt;0,"Other Expenses",IF(J55&gt;0,"Other Revenues","Other Revenues (Expenses)"))))</f>
        <v>Other Revenues (Expenses)</v>
      </c>
      <c r="B55" s="35"/>
      <c r="C55" s="14"/>
      <c r="D55" s="14"/>
      <c r="E55" s="14"/>
      <c r="F55" s="35"/>
      <c r="G55" s="15"/>
      <c r="H55" s="58">
        <v>0</v>
      </c>
      <c r="I55" s="230"/>
      <c r="J55" s="58">
        <v>0</v>
      </c>
      <c r="K55" s="58">
        <f>ROUND(J55,0)+ROUND(H55,0)</f>
        <v>0</v>
      </c>
      <c r="L55" s="51"/>
    </row>
    <row r="56" spans="1:12">
      <c r="A56" s="35"/>
      <c r="B56" s="35"/>
      <c r="C56" s="14"/>
      <c r="D56" s="14"/>
      <c r="E56" s="14"/>
      <c r="F56" s="14"/>
      <c r="G56" s="15"/>
      <c r="H56" s="83"/>
      <c r="I56" s="84"/>
      <c r="J56" s="83"/>
      <c r="K56" s="83"/>
      <c r="L56" s="85"/>
    </row>
    <row r="57" spans="1:12">
      <c r="A57" s="29" t="s">
        <v>89</v>
      </c>
      <c r="B57" s="35"/>
      <c r="C57" s="35"/>
      <c r="D57" s="14"/>
      <c r="E57" s="14"/>
      <c r="F57" s="14"/>
      <c r="G57" s="15"/>
      <c r="H57" s="90">
        <f t="array" ref="H57">SUM(ROUND(H52:H55,0))</f>
        <v>7266690</v>
      </c>
      <c r="I57" s="59"/>
      <c r="J57" s="90">
        <f t="array" ref="J57">SUM(ROUND(J52:J55,0))</f>
        <v>612804</v>
      </c>
      <c r="K57" s="90">
        <f t="array" ref="K57">SUM(ROUND(K52:K55,0))</f>
        <v>7879494</v>
      </c>
      <c r="L57" s="91"/>
    </row>
    <row r="58" spans="1:12">
      <c r="A58" s="29"/>
      <c r="B58" s="35"/>
      <c r="C58" s="35"/>
      <c r="D58" s="14"/>
      <c r="E58" s="14"/>
      <c r="F58" s="14"/>
      <c r="G58" s="15"/>
      <c r="H58" s="59"/>
      <c r="I58" s="59"/>
      <c r="J58" s="59"/>
      <c r="K58" s="59"/>
      <c r="L58" s="77"/>
    </row>
    <row r="59" spans="1:12">
      <c r="A59" s="65" t="str">
        <f>IF(H59&lt;0,IF(J59&gt;0,"Increase (Decrease) in Net Position","Decrease in Net Position"),IF(H59&gt;0,IF(J59&gt;=0,"Increase in Net Position","Increase (Decrease) in Net Position"),IF(J59&lt;0,"Decrease in Net Position",IF(J59&gt;0,"Increase in Net Position","Increase (Decrease) in Net Position"))))</f>
        <v>Increase (Decrease) in Net Position</v>
      </c>
      <c r="B59" s="35"/>
      <c r="C59" s="35"/>
      <c r="D59" s="14"/>
      <c r="E59" s="14"/>
      <c r="F59" s="14"/>
      <c r="G59" s="15"/>
      <c r="H59" s="90">
        <f>H50+H57</f>
        <v>-4038999</v>
      </c>
      <c r="I59" s="92"/>
      <c r="J59" s="90">
        <f>J50+J57</f>
        <v>5659195</v>
      </c>
      <c r="K59" s="90">
        <f>K50+K57</f>
        <v>1620196</v>
      </c>
      <c r="L59" s="91"/>
    </row>
    <row r="60" spans="1:12">
      <c r="A60" s="93"/>
      <c r="B60" s="35"/>
      <c r="C60" s="35"/>
      <c r="D60" s="14"/>
      <c r="E60" s="14"/>
      <c r="F60" s="14"/>
      <c r="G60" s="15"/>
      <c r="H60" s="94"/>
      <c r="I60" s="94"/>
      <c r="J60" s="94"/>
      <c r="K60" s="94"/>
      <c r="L60" s="95"/>
    </row>
    <row r="61" spans="1:12">
      <c r="A61" s="14" t="s">
        <v>91</v>
      </c>
      <c r="B61" s="35"/>
      <c r="C61" s="14"/>
      <c r="D61" s="14"/>
      <c r="E61" s="14"/>
      <c r="F61" s="14"/>
      <c r="G61" s="15"/>
      <c r="H61" s="96">
        <f>VLOOKUP($A$1,[15]VLOOKUPS!A44:D71,2,FALSE)</f>
        <v>260057408</v>
      </c>
      <c r="I61" s="49"/>
      <c r="J61" s="96">
        <f>VLOOKUP($A$1,[15]VLOOKUPS!A44:D71,3,FALSE)</f>
        <v>75707790</v>
      </c>
      <c r="K61" s="89">
        <f>ROUND(J61,0)+ROUND(H61,0)</f>
        <v>335765198</v>
      </c>
      <c r="L61" s="97"/>
    </row>
    <row r="62" spans="1:12">
      <c r="A62" s="14" t="s">
        <v>94</v>
      </c>
      <c r="B62" s="35"/>
      <c r="C62" s="14"/>
      <c r="D62" s="14"/>
      <c r="E62" s="14"/>
      <c r="F62" s="14"/>
      <c r="G62" s="15"/>
      <c r="H62" s="82">
        <v>-30780879</v>
      </c>
      <c r="I62" s="49"/>
      <c r="J62" s="82">
        <v>0</v>
      </c>
      <c r="K62" s="82">
        <f>ROUND(J62,0)+ROUND(H62,0)</f>
        <v>-30780879</v>
      </c>
      <c r="L62" s="81"/>
    </row>
    <row r="63" spans="1:12">
      <c r="A63" s="36"/>
      <c r="B63" s="36"/>
      <c r="C63" s="36"/>
      <c r="D63" s="36"/>
      <c r="E63" s="36"/>
      <c r="F63" s="98"/>
      <c r="G63" s="36"/>
      <c r="H63" s="92"/>
      <c r="I63" s="99"/>
      <c r="J63" s="99"/>
      <c r="K63" s="99"/>
      <c r="L63" s="100"/>
    </row>
    <row r="64" spans="1:12">
      <c r="A64" s="101" t="s">
        <v>95</v>
      </c>
      <c r="B64" s="36"/>
      <c r="C64" s="36"/>
      <c r="D64" s="36"/>
      <c r="E64" s="36"/>
      <c r="F64" s="60"/>
      <c r="G64" s="60"/>
      <c r="H64" s="90">
        <f t="array" ref="H64">SUM(ROUND(H61:H62,0))</f>
        <v>229276529</v>
      </c>
      <c r="I64" s="92"/>
      <c r="J64" s="90">
        <f t="array" ref="J64">SUM(ROUND(J61:J62,0))</f>
        <v>75707790</v>
      </c>
      <c r="K64" s="90">
        <f t="array" ref="K64">SUM(ROUND(K61:K62,0))</f>
        <v>304984319</v>
      </c>
      <c r="L64" s="91"/>
    </row>
    <row r="65" spans="1:12">
      <c r="A65" s="36"/>
      <c r="B65" s="36"/>
      <c r="C65" s="36"/>
      <c r="D65" s="36"/>
      <c r="E65" s="36"/>
      <c r="F65" s="102"/>
      <c r="G65" s="36"/>
      <c r="H65" s="102"/>
      <c r="I65" s="60"/>
      <c r="J65" s="60"/>
      <c r="K65" s="60"/>
      <c r="L65" s="61"/>
    </row>
    <row r="66" spans="1:12" ht="13.5" thickBot="1">
      <c r="A66" s="29" t="s">
        <v>96</v>
      </c>
      <c r="B66" s="35"/>
      <c r="C66" s="14"/>
      <c r="D66" s="14"/>
      <c r="E66" s="14"/>
      <c r="F66" s="14"/>
      <c r="G66" s="103"/>
      <c r="H66" s="104">
        <f>H59+H64</f>
        <v>225237530</v>
      </c>
      <c r="I66" s="105"/>
      <c r="J66" s="104">
        <f>J59+J64</f>
        <v>81366985</v>
      </c>
      <c r="K66" s="104">
        <f>K59+K64</f>
        <v>306604515</v>
      </c>
      <c r="L66" s="46"/>
    </row>
    <row r="67" spans="1:12" ht="13.5" thickTop="1">
      <c r="A67" s="14"/>
      <c r="B67" s="14"/>
      <c r="C67" s="14"/>
      <c r="D67" s="14"/>
      <c r="E67" s="14"/>
      <c r="F67" s="14"/>
      <c r="G67" s="15"/>
      <c r="H67" s="107"/>
      <c r="I67" s="15"/>
      <c r="J67" s="107"/>
      <c r="K67" s="107"/>
      <c r="L67" s="108"/>
    </row>
    <row r="68" spans="1:12">
      <c r="A68" s="35" t="s">
        <v>97</v>
      </c>
      <c r="B68" s="35"/>
      <c r="C68" s="35"/>
      <c r="D68" s="35"/>
      <c r="E68" s="35"/>
      <c r="F68" s="35"/>
      <c r="G68" s="87"/>
      <c r="H68" s="35"/>
      <c r="I68" s="87"/>
      <c r="J68" s="35"/>
      <c r="K68" s="35"/>
      <c r="L68" s="37"/>
    </row>
    <row r="69" spans="1:12">
      <c r="G69" s="6"/>
      <c r="H69" s="109">
        <f>H66-[15]SNP!K119</f>
        <v>1</v>
      </c>
      <c r="I69" s="110"/>
      <c r="J69" s="111">
        <f>J66-[15]SNP!M119</f>
        <v>0</v>
      </c>
      <c r="K69" s="111">
        <f>K66-[15]SNP!N119</f>
        <v>-1</v>
      </c>
      <c r="L69" s="112"/>
    </row>
    <row r="70" spans="1:12">
      <c r="G70" s="113" t="s">
        <v>98</v>
      </c>
      <c r="H70" s="114"/>
      <c r="I70" s="115"/>
      <c r="J70" s="114"/>
      <c r="K70" s="114"/>
      <c r="L70" s="114"/>
    </row>
  </sheetData>
  <sheetProtection formatColumns="0" formatRows="0"/>
  <conditionalFormatting sqref="H69 J69">
    <cfRule type="cellIs" dxfId="269" priority="14" operator="notEqual">
      <formula>0</formula>
    </cfRule>
    <cfRule type="cellIs" dxfId="268" priority="15" operator="equal">
      <formula>0</formula>
    </cfRule>
  </conditionalFormatting>
  <conditionalFormatting sqref="H11:H15 D11:E11 J24:J30 J37:J45 H37:H45 J62 H62 J17:J18 H25:H29 H17:H18 D17:E17 J11:J15 J52:J55 H52:H55">
    <cfRule type="containsBlanks" dxfId="267" priority="12">
      <formula>LEN(TRIM(D11))=0</formula>
    </cfRule>
    <cfRule type="cellIs" dxfId="266" priority="13" operator="notEqual">
      <formula>0</formula>
    </cfRule>
  </conditionalFormatting>
  <conditionalFormatting sqref="H11">
    <cfRule type="cellIs" dxfId="265" priority="11" operator="notEqual">
      <formula>H20</formula>
    </cfRule>
  </conditionalFormatting>
  <conditionalFormatting sqref="J11">
    <cfRule type="cellIs" dxfId="264" priority="10" operator="notEqual">
      <formula>J20</formula>
    </cfRule>
  </conditionalFormatting>
  <conditionalFormatting sqref="K69">
    <cfRule type="cellIs" dxfId="263" priority="8" operator="notEqual">
      <formula>0</formula>
    </cfRule>
    <cfRule type="cellIs" dxfId="262" priority="9" operator="equal">
      <formula>0</formula>
    </cfRule>
  </conditionalFormatting>
  <conditionalFormatting sqref="K24:K30 K37:K45 K62 K17:K18 K11:K15 K52:K55">
    <cfRule type="containsBlanks" dxfId="261" priority="6">
      <formula>LEN(TRIM(K11))=0</formula>
    </cfRule>
    <cfRule type="cellIs" dxfId="260" priority="7" operator="notEqual">
      <formula>0</formula>
    </cfRule>
  </conditionalFormatting>
  <conditionalFormatting sqref="K11">
    <cfRule type="cellIs" dxfId="259" priority="5" operator="notEqual">
      <formula>K20</formula>
    </cfRule>
  </conditionalFormatting>
  <conditionalFormatting sqref="H24">
    <cfRule type="containsBlanks" dxfId="258" priority="3">
      <formula>LEN(TRIM(H24))=0</formula>
    </cfRule>
    <cfRule type="cellIs" dxfId="257" priority="4" operator="notEqual">
      <formula>0</formula>
    </cfRule>
  </conditionalFormatting>
  <conditionalFormatting sqref="K61">
    <cfRule type="containsBlanks" dxfId="256" priority="1">
      <formula>LEN(TRIM(K61))=0</formula>
    </cfRule>
    <cfRule type="cellIs" dxfId="255" priority="2" operator="notEqual">
      <formula>0</formula>
    </cfRule>
  </conditionalFormatting>
  <printOptions horizontalCentered="1"/>
  <pageMargins left="0.7" right="0.7" top="0.75" bottom="0.75" header="0.5" footer="0.5"/>
  <pageSetup scale="54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  <pageSetUpPr fitToPage="1"/>
  </sheetPr>
  <dimension ref="A1:R72"/>
  <sheetViews>
    <sheetView zoomScale="90" zoomScaleNormal="90" zoomScaleSheetLayoutView="70" workbookViewId="0"/>
  </sheetViews>
  <sheetFormatPr defaultColWidth="11.140625" defaultRowHeight="12.75"/>
  <cols>
    <col min="1" max="6" width="11.140625" style="6"/>
    <col min="7" max="7" width="11.140625" style="11"/>
    <col min="8" max="8" width="14" style="6" customWidth="1"/>
    <col min="9" max="9" width="11.140625" style="11"/>
    <col min="10" max="10" width="13.5703125" style="6" customWidth="1"/>
    <col min="11" max="11" width="16.5703125" style="6" customWidth="1"/>
    <col min="12" max="12" width="36.140625" style="6" customWidth="1"/>
    <col min="13" max="13" width="11.140625" style="10"/>
    <col min="14" max="18" width="11.140625" style="5"/>
    <col min="19" max="16384" width="11.140625" style="6"/>
  </cols>
  <sheetData>
    <row r="1" spans="1:12">
      <c r="A1" s="260" t="str">
        <f>'[16]Contact Information'!$C$5</f>
        <v>FLORIDA GATEWAY COLLEGE</v>
      </c>
      <c r="B1" s="260"/>
      <c r="C1" s="260"/>
      <c r="D1" s="260"/>
      <c r="E1" s="260"/>
      <c r="F1" s="260"/>
      <c r="G1" s="260"/>
      <c r="H1" s="260"/>
      <c r="I1" s="260"/>
      <c r="J1" s="260"/>
      <c r="K1" s="247"/>
      <c r="L1" s="3"/>
    </row>
    <row r="2" spans="1:12">
      <c r="A2" s="256" t="s">
        <v>0</v>
      </c>
      <c r="B2" s="256"/>
      <c r="C2" s="256"/>
      <c r="D2" s="256"/>
      <c r="E2" s="256"/>
      <c r="F2" s="256"/>
      <c r="G2" s="256"/>
      <c r="H2" s="256"/>
      <c r="I2" s="256"/>
      <c r="J2" s="256"/>
      <c r="K2" s="245"/>
      <c r="L2" s="7"/>
    </row>
    <row r="3" spans="1:12">
      <c r="A3" s="86" t="s">
        <v>1</v>
      </c>
      <c r="B3" s="86"/>
      <c r="C3" s="86"/>
      <c r="D3" s="86"/>
      <c r="E3" s="86"/>
      <c r="F3" s="86"/>
      <c r="G3" s="86"/>
      <c r="H3" s="86"/>
      <c r="I3" s="86"/>
      <c r="J3" s="86"/>
      <c r="K3" s="248"/>
      <c r="L3" s="9" t="s">
        <v>2</v>
      </c>
    </row>
    <row r="4" spans="1:12">
      <c r="A4" s="261" t="s">
        <v>297</v>
      </c>
      <c r="B4" s="261"/>
      <c r="C4" s="261"/>
      <c r="D4" s="261"/>
      <c r="E4" s="261"/>
      <c r="F4" s="261"/>
      <c r="G4" s="261"/>
      <c r="H4" s="261"/>
      <c r="I4" s="261"/>
      <c r="J4" s="261"/>
      <c r="K4" s="249"/>
      <c r="L4" s="11" t="str">
        <f>'[16]Contact Information'!$C$3</f>
        <v>2015.v02</v>
      </c>
    </row>
    <row r="5" spans="1:12">
      <c r="A5" s="14"/>
      <c r="B5" s="14"/>
      <c r="C5" s="14"/>
      <c r="D5" s="14"/>
      <c r="E5" s="14"/>
      <c r="F5" s="14"/>
      <c r="G5" s="15"/>
      <c r="H5" s="16"/>
      <c r="I5" s="17"/>
      <c r="J5" s="16"/>
      <c r="K5" s="16"/>
      <c r="L5" s="18"/>
    </row>
    <row r="6" spans="1:12">
      <c r="A6" s="14"/>
      <c r="B6" s="14"/>
      <c r="C6" s="14"/>
      <c r="D6" s="14"/>
      <c r="E6" s="14"/>
      <c r="F6" s="14"/>
      <c r="G6" s="15"/>
      <c r="H6" s="249" t="s">
        <v>5</v>
      </c>
      <c r="I6" s="21"/>
      <c r="J6" s="22" t="s">
        <v>6</v>
      </c>
      <c r="K6" s="22" t="s">
        <v>7</v>
      </c>
      <c r="L6" s="23"/>
    </row>
    <row r="7" spans="1:12">
      <c r="A7" s="14"/>
      <c r="B7" s="14"/>
      <c r="C7" s="14"/>
      <c r="D7" s="14"/>
      <c r="E7" s="14"/>
      <c r="F7" s="14"/>
      <c r="G7" s="15"/>
      <c r="H7" s="24"/>
      <c r="I7" s="25"/>
      <c r="J7" s="26" t="str">
        <f>[16]SNP!$M$9</f>
        <v>Unit</v>
      </c>
      <c r="K7" s="26"/>
      <c r="L7" s="27"/>
    </row>
    <row r="8" spans="1:12">
      <c r="A8" s="29" t="s">
        <v>9</v>
      </c>
      <c r="B8" s="14"/>
      <c r="C8" s="14"/>
      <c r="D8" s="14"/>
      <c r="E8" s="14"/>
      <c r="F8" s="14"/>
      <c r="G8" s="15"/>
      <c r="H8" s="25"/>
      <c r="I8" s="25"/>
      <c r="J8" s="25"/>
      <c r="K8" s="25"/>
      <c r="L8" s="30"/>
    </row>
    <row r="9" spans="1:12">
      <c r="A9" s="14" t="s">
        <v>12</v>
      </c>
      <c r="B9" s="14"/>
      <c r="C9" s="14"/>
      <c r="D9" s="14"/>
      <c r="E9" s="14"/>
      <c r="F9" s="14"/>
      <c r="G9" s="15"/>
      <c r="H9" s="17"/>
      <c r="I9" s="17"/>
      <c r="J9" s="17"/>
      <c r="K9" s="17"/>
      <c r="L9" s="18"/>
    </row>
    <row r="10" spans="1:12">
      <c r="A10" s="35"/>
      <c r="B10" s="36" t="s">
        <v>14</v>
      </c>
      <c r="C10" s="14"/>
      <c r="D10" s="14"/>
      <c r="E10" s="14"/>
      <c r="F10" s="14"/>
      <c r="G10" s="35"/>
      <c r="H10" s="35"/>
      <c r="I10" s="17"/>
      <c r="J10" s="35"/>
      <c r="K10" s="35"/>
      <c r="L10" s="37"/>
    </row>
    <row r="11" spans="1:12">
      <c r="A11" s="35"/>
      <c r="B11" s="44" t="s">
        <v>19</v>
      </c>
      <c r="C11" s="35"/>
      <c r="D11" s="263">
        <v>2285535.64</v>
      </c>
      <c r="E11" s="263"/>
      <c r="F11" s="45"/>
      <c r="G11" s="36"/>
      <c r="H11" s="228">
        <v>2925697.43</v>
      </c>
      <c r="I11" s="229"/>
      <c r="J11" s="228">
        <v>0</v>
      </c>
      <c r="K11" s="228">
        <f>J11+H11</f>
        <v>2925697.43</v>
      </c>
      <c r="L11" s="46"/>
    </row>
    <row r="12" spans="1:12">
      <c r="A12" s="35"/>
      <c r="B12" s="36" t="s">
        <v>22</v>
      </c>
      <c r="C12" s="14"/>
      <c r="D12" s="48"/>
      <c r="E12" s="49"/>
      <c r="F12" s="15"/>
      <c r="G12" s="35"/>
      <c r="H12" s="50">
        <v>1783232.36</v>
      </c>
      <c r="I12" s="230"/>
      <c r="J12" s="50">
        <v>0</v>
      </c>
      <c r="K12" s="89">
        <f>J12+H12</f>
        <v>1783232.36</v>
      </c>
      <c r="L12" s="51"/>
    </row>
    <row r="13" spans="1:12">
      <c r="A13" s="35"/>
      <c r="B13" s="36" t="s">
        <v>24</v>
      </c>
      <c r="C13" s="14"/>
      <c r="D13" s="48"/>
      <c r="E13" s="48"/>
      <c r="F13" s="14"/>
      <c r="G13" s="35"/>
      <c r="H13" s="50">
        <v>27334.01</v>
      </c>
      <c r="I13" s="230"/>
      <c r="J13" s="50">
        <v>0</v>
      </c>
      <c r="K13" s="89">
        <f t="shared" ref="K13:K18" si="0">J13+H13</f>
        <v>27334.01</v>
      </c>
      <c r="L13" s="51"/>
    </row>
    <row r="14" spans="1:12">
      <c r="A14" s="35"/>
      <c r="B14" s="36" t="s">
        <v>26</v>
      </c>
      <c r="C14" s="14"/>
      <c r="D14" s="48"/>
      <c r="E14" s="48"/>
      <c r="F14" s="14"/>
      <c r="G14" s="35"/>
      <c r="H14" s="50">
        <v>189177.86</v>
      </c>
      <c r="I14" s="230"/>
      <c r="J14" s="50">
        <v>0</v>
      </c>
      <c r="K14" s="89">
        <f t="shared" si="0"/>
        <v>189177.86</v>
      </c>
      <c r="L14" s="51"/>
    </row>
    <row r="15" spans="1:12">
      <c r="A15" s="35"/>
      <c r="B15" s="36" t="s">
        <v>28</v>
      </c>
      <c r="C15" s="14"/>
      <c r="D15" s="48"/>
      <c r="E15" s="48"/>
      <c r="F15" s="35"/>
      <c r="G15" s="35"/>
      <c r="H15" s="50">
        <v>5584</v>
      </c>
      <c r="I15" s="230"/>
      <c r="J15" s="50">
        <v>0</v>
      </c>
      <c r="K15" s="89">
        <f t="shared" si="0"/>
        <v>5584</v>
      </c>
      <c r="L15" s="51"/>
    </row>
    <row r="16" spans="1:12">
      <c r="A16" s="35"/>
      <c r="B16" s="36" t="s">
        <v>29</v>
      </c>
      <c r="C16" s="14"/>
      <c r="D16" s="54"/>
      <c r="E16" s="49"/>
      <c r="F16" s="55"/>
      <c r="G16" s="35"/>
      <c r="H16" s="35"/>
      <c r="I16" s="230"/>
      <c r="J16" s="35"/>
      <c r="K16" s="89">
        <f t="shared" si="0"/>
        <v>0</v>
      </c>
      <c r="L16" s="37"/>
    </row>
    <row r="17" spans="1:12">
      <c r="A17" s="35"/>
      <c r="B17" s="44" t="s">
        <v>19</v>
      </c>
      <c r="C17" s="35"/>
      <c r="D17" s="263">
        <v>387850.91</v>
      </c>
      <c r="E17" s="263"/>
      <c r="F17" s="55"/>
      <c r="G17" s="35"/>
      <c r="H17" s="50">
        <v>1011396.02</v>
      </c>
      <c r="I17" s="230"/>
      <c r="J17" s="50">
        <v>0</v>
      </c>
      <c r="K17" s="89">
        <f t="shared" si="0"/>
        <v>1011396.02</v>
      </c>
      <c r="L17" s="51"/>
    </row>
    <row r="18" spans="1:12">
      <c r="A18" s="35"/>
      <c r="B18" s="57" t="s">
        <v>33</v>
      </c>
      <c r="C18" s="14"/>
      <c r="D18" s="14"/>
      <c r="E18" s="14"/>
      <c r="F18" s="14"/>
      <c r="G18" s="36"/>
      <c r="H18" s="58">
        <v>195338.68</v>
      </c>
      <c r="I18" s="230"/>
      <c r="J18" s="58">
        <v>705907</v>
      </c>
      <c r="K18" s="58">
        <f t="shared" si="0"/>
        <v>901245.67999999993</v>
      </c>
      <c r="L18" s="51"/>
    </row>
    <row r="19" spans="1:12">
      <c r="A19" s="36"/>
      <c r="B19" s="36"/>
      <c r="C19" s="36"/>
      <c r="D19" s="36"/>
      <c r="E19" s="36"/>
      <c r="F19" s="59"/>
      <c r="G19" s="59"/>
      <c r="H19" s="59"/>
      <c r="I19" s="60"/>
      <c r="J19" s="60"/>
      <c r="K19" s="60"/>
      <c r="L19" s="61"/>
    </row>
    <row r="20" spans="1:12">
      <c r="A20" s="35"/>
      <c r="B20" s="65" t="s">
        <v>35</v>
      </c>
      <c r="C20" s="35"/>
      <c r="D20" s="14"/>
      <c r="E20" s="14"/>
      <c r="F20" s="14"/>
      <c r="G20" s="15"/>
      <c r="H20" s="66">
        <f>(ROUND(SUM(H11:H18),0))</f>
        <v>6137760</v>
      </c>
      <c r="I20" s="67"/>
      <c r="J20" s="66">
        <f>(ROUND(SUM(J11:J18),0))</f>
        <v>705907</v>
      </c>
      <c r="K20" s="66">
        <f>(ROUND(SUM(K11:K18),0))</f>
        <v>6843667</v>
      </c>
      <c r="L20" s="68"/>
    </row>
    <row r="21" spans="1:12">
      <c r="A21" s="14"/>
      <c r="B21" s="14"/>
      <c r="C21" s="14"/>
      <c r="D21" s="14"/>
      <c r="E21" s="14"/>
      <c r="F21" s="14"/>
      <c r="G21" s="15"/>
      <c r="H21" s="17"/>
      <c r="I21" s="17"/>
      <c r="J21" s="17"/>
      <c r="K21" s="17"/>
      <c r="L21" s="18"/>
    </row>
    <row r="22" spans="1:12">
      <c r="A22" s="29" t="s">
        <v>36</v>
      </c>
      <c r="B22" s="14"/>
      <c r="C22" s="14"/>
      <c r="D22" s="14"/>
      <c r="E22" s="14"/>
      <c r="F22" s="14"/>
      <c r="G22" s="15"/>
      <c r="H22" s="16"/>
      <c r="I22" s="17"/>
      <c r="J22" s="16"/>
      <c r="K22" s="16"/>
      <c r="L22" s="18"/>
    </row>
    <row r="23" spans="1:12">
      <c r="A23" s="14" t="s">
        <v>37</v>
      </c>
      <c r="B23" s="14"/>
      <c r="C23" s="14"/>
      <c r="D23" s="14"/>
      <c r="E23" s="35"/>
      <c r="F23" s="14"/>
      <c r="G23" s="15"/>
      <c r="H23" s="16"/>
      <c r="I23" s="17"/>
      <c r="J23" s="16"/>
      <c r="K23" s="16"/>
      <c r="L23" s="18"/>
    </row>
    <row r="24" spans="1:12">
      <c r="A24" s="44"/>
      <c r="B24" s="36" t="s">
        <v>40</v>
      </c>
      <c r="C24" s="14"/>
      <c r="D24" s="14"/>
      <c r="E24" s="35"/>
      <c r="F24" s="14"/>
      <c r="G24" s="15"/>
      <c r="H24" s="50">
        <v>14724049.24</v>
      </c>
      <c r="I24" s="230"/>
      <c r="J24" s="50">
        <v>0</v>
      </c>
      <c r="K24" s="89">
        <f>J24+H24</f>
        <v>14724049.24</v>
      </c>
      <c r="L24" s="51"/>
    </row>
    <row r="25" spans="1:12">
      <c r="A25" s="44"/>
      <c r="B25" s="36" t="s">
        <v>42</v>
      </c>
      <c r="C25" s="14"/>
      <c r="D25" s="14"/>
      <c r="E25" s="35"/>
      <c r="F25" s="14"/>
      <c r="G25" s="15"/>
      <c r="H25" s="50">
        <v>2392756.69</v>
      </c>
      <c r="I25" s="230"/>
      <c r="J25" s="50">
        <v>500043</v>
      </c>
      <c r="K25" s="89">
        <f t="shared" ref="K25:K30" si="1">J25+H25</f>
        <v>2892799.69</v>
      </c>
      <c r="L25" s="51"/>
    </row>
    <row r="26" spans="1:12">
      <c r="A26" s="44"/>
      <c r="B26" s="36" t="s">
        <v>44</v>
      </c>
      <c r="C26" s="14"/>
      <c r="D26" s="14"/>
      <c r="E26" s="35"/>
      <c r="F26" s="14"/>
      <c r="G26" s="15"/>
      <c r="H26" s="50">
        <v>1035056.52</v>
      </c>
      <c r="I26" s="230"/>
      <c r="J26" s="50">
        <v>0</v>
      </c>
      <c r="K26" s="89">
        <f t="shared" si="1"/>
        <v>1035056.52</v>
      </c>
      <c r="L26" s="51"/>
    </row>
    <row r="27" spans="1:12">
      <c r="A27" s="44"/>
      <c r="B27" s="36" t="s">
        <v>46</v>
      </c>
      <c r="C27" s="14"/>
      <c r="D27" s="14"/>
      <c r="E27" s="35"/>
      <c r="F27" s="14"/>
      <c r="G27" s="15"/>
      <c r="H27" s="50">
        <v>1719673.28</v>
      </c>
      <c r="I27" s="230"/>
      <c r="J27" s="50">
        <v>56684</v>
      </c>
      <c r="K27" s="89">
        <f t="shared" si="1"/>
        <v>1776357.28</v>
      </c>
      <c r="L27" s="51"/>
    </row>
    <row r="28" spans="1:12">
      <c r="A28" s="44"/>
      <c r="B28" s="36" t="s">
        <v>48</v>
      </c>
      <c r="C28" s="14"/>
      <c r="D28" s="14"/>
      <c r="E28" s="35"/>
      <c r="F28" s="14"/>
      <c r="G28" s="15"/>
      <c r="H28" s="50">
        <v>1951002.88</v>
      </c>
      <c r="I28" s="230"/>
      <c r="J28" s="50">
        <v>347885</v>
      </c>
      <c r="K28" s="89">
        <f t="shared" si="1"/>
        <v>2298887.88</v>
      </c>
      <c r="L28" s="51"/>
    </row>
    <row r="29" spans="1:12">
      <c r="A29" s="44"/>
      <c r="B29" s="36" t="s">
        <v>50</v>
      </c>
      <c r="C29" s="14"/>
      <c r="D29" s="14"/>
      <c r="E29" s="35"/>
      <c r="F29" s="14"/>
      <c r="G29" s="15"/>
      <c r="H29" s="50">
        <v>2986054.63</v>
      </c>
      <c r="I29" s="230"/>
      <c r="J29" s="50">
        <v>19391</v>
      </c>
      <c r="K29" s="89">
        <f t="shared" si="1"/>
        <v>3005445.63</v>
      </c>
      <c r="L29" s="51"/>
    </row>
    <row r="30" spans="1:12">
      <c r="A30" s="44"/>
      <c r="B30" s="36" t="s">
        <v>53</v>
      </c>
      <c r="C30" s="14"/>
      <c r="D30" s="14"/>
      <c r="E30" s="35"/>
      <c r="F30" s="14"/>
      <c r="G30" s="15"/>
      <c r="H30" s="231">
        <f>'[16]Accounts by GL'!O481</f>
        <v>2047920.66</v>
      </c>
      <c r="I30" s="230"/>
      <c r="J30" s="58">
        <v>5987</v>
      </c>
      <c r="K30" s="58">
        <f t="shared" si="1"/>
        <v>2053907.66</v>
      </c>
      <c r="L30" s="51"/>
    </row>
    <row r="31" spans="1:12">
      <c r="A31" s="44"/>
      <c r="B31" s="36"/>
      <c r="C31" s="14"/>
      <c r="D31" s="14"/>
      <c r="E31" s="35"/>
      <c r="F31" s="14"/>
      <c r="G31" s="15"/>
      <c r="H31" s="73"/>
      <c r="I31" s="73"/>
      <c r="J31" s="73"/>
      <c r="K31" s="73"/>
      <c r="L31" s="74"/>
    </row>
    <row r="32" spans="1:12">
      <c r="A32" s="14"/>
      <c r="B32" s="65" t="s">
        <v>55</v>
      </c>
      <c r="C32" s="35"/>
      <c r="D32" s="14"/>
      <c r="E32" s="14"/>
      <c r="F32" s="14"/>
      <c r="G32" s="15"/>
      <c r="H32" s="66">
        <f>(ROUND(SUM(H24:H30),0))</f>
        <v>26856514</v>
      </c>
      <c r="I32" s="59"/>
      <c r="J32" s="66">
        <f>(ROUND(SUM(J24:J30),0))</f>
        <v>929990</v>
      </c>
      <c r="K32" s="66">
        <f>(ROUND(SUM(K24:K30),0))</f>
        <v>27786504</v>
      </c>
      <c r="L32" s="68"/>
    </row>
    <row r="33" spans="1:12">
      <c r="A33" s="44"/>
      <c r="B33" s="76"/>
      <c r="C33" s="14"/>
      <c r="D33" s="14"/>
      <c r="E33" s="35"/>
      <c r="F33" s="14"/>
      <c r="G33" s="15"/>
      <c r="H33" s="59"/>
      <c r="I33" s="59"/>
      <c r="J33" s="59"/>
      <c r="K33" s="59"/>
      <c r="L33" s="77"/>
    </row>
    <row r="34" spans="1:12">
      <c r="A34" s="14"/>
      <c r="B34" s="65" t="str">
        <f>IF(H34&lt;0,IF(J34&gt;0,"Operating Income (Loss)","Operating Loss"),IF(H34&gt;0,IF(J34&gt;=0,"Operating Income","Operating Income (Loss)"),IF(J34&lt;0,"Operating Loss",IF(J34&gt;0,"Operating Income","Operating Income (Loss)"))))</f>
        <v>Operating Loss</v>
      </c>
      <c r="C34" s="35"/>
      <c r="D34" s="14"/>
      <c r="E34" s="14"/>
      <c r="F34" s="14"/>
      <c r="G34" s="15"/>
      <c r="H34" s="66">
        <f>H20-H32</f>
        <v>-20718754</v>
      </c>
      <c r="I34" s="67"/>
      <c r="J34" s="66">
        <f>J20-J32</f>
        <v>-224083</v>
      </c>
      <c r="K34" s="66">
        <f>K20-K32</f>
        <v>-20942837</v>
      </c>
      <c r="L34" s="68"/>
    </row>
    <row r="35" spans="1:12">
      <c r="A35" s="14"/>
      <c r="B35" s="14"/>
      <c r="C35" s="14"/>
      <c r="D35" s="14"/>
      <c r="E35" s="14"/>
      <c r="F35" s="14"/>
      <c r="G35" s="15"/>
      <c r="H35" s="78"/>
      <c r="I35" s="78"/>
      <c r="J35" s="78"/>
      <c r="K35" s="78"/>
      <c r="L35" s="79"/>
    </row>
    <row r="36" spans="1:12">
      <c r="A36" s="29" t="s">
        <v>56</v>
      </c>
      <c r="B36" s="35"/>
      <c r="C36" s="14"/>
      <c r="D36" s="14"/>
      <c r="E36" s="14"/>
      <c r="F36" s="14"/>
      <c r="G36" s="15"/>
      <c r="H36" s="16"/>
      <c r="I36" s="17"/>
      <c r="J36" s="16"/>
      <c r="K36" s="16"/>
      <c r="L36" s="18"/>
    </row>
    <row r="37" spans="1:12">
      <c r="A37" s="36" t="s">
        <v>59</v>
      </c>
      <c r="B37" s="35"/>
      <c r="C37" s="14"/>
      <c r="D37" s="14"/>
      <c r="E37" s="35"/>
      <c r="F37" s="14"/>
      <c r="G37" s="15"/>
      <c r="H37" s="80">
        <v>13562309.07</v>
      </c>
      <c r="I37" s="49"/>
      <c r="J37" s="80">
        <v>0</v>
      </c>
      <c r="K37" s="235">
        <f>J37+H37</f>
        <v>13562309.07</v>
      </c>
      <c r="L37" s="81"/>
    </row>
    <row r="38" spans="1:12">
      <c r="A38" s="36" t="s">
        <v>61</v>
      </c>
      <c r="B38" s="35"/>
      <c r="C38" s="14"/>
      <c r="D38" s="14"/>
      <c r="E38" s="35"/>
      <c r="F38" s="14"/>
      <c r="G38" s="15"/>
      <c r="H38" s="80">
        <v>5052843.49</v>
      </c>
      <c r="I38" s="49"/>
      <c r="J38" s="80">
        <v>0</v>
      </c>
      <c r="K38" s="235">
        <f t="shared" ref="K38:K45" si="2">J38+H38</f>
        <v>5052843.49</v>
      </c>
      <c r="L38" s="81"/>
    </row>
    <row r="39" spans="1:12">
      <c r="A39" s="36" t="s">
        <v>63</v>
      </c>
      <c r="B39" s="35"/>
      <c r="C39" s="14"/>
      <c r="D39" s="14"/>
      <c r="E39" s="35"/>
      <c r="F39" s="14"/>
      <c r="G39" s="15"/>
      <c r="H39" s="80">
        <v>0</v>
      </c>
      <c r="I39" s="49"/>
      <c r="J39" s="80">
        <v>0</v>
      </c>
      <c r="K39" s="235">
        <f t="shared" si="2"/>
        <v>0</v>
      </c>
      <c r="L39" s="81"/>
    </row>
    <row r="40" spans="1:12">
      <c r="A40" s="36" t="s">
        <v>66</v>
      </c>
      <c r="B40" s="35"/>
      <c r="C40" s="14"/>
      <c r="D40" s="14"/>
      <c r="E40" s="35"/>
      <c r="F40" s="14"/>
      <c r="G40" s="15"/>
      <c r="H40" s="80">
        <v>29836.81</v>
      </c>
      <c r="I40" s="49"/>
      <c r="J40" s="80">
        <v>319705</v>
      </c>
      <c r="K40" s="235">
        <f t="shared" si="2"/>
        <v>349541.81</v>
      </c>
      <c r="L40" s="81"/>
    </row>
    <row r="41" spans="1:12">
      <c r="A41" s="36" t="str">
        <f>IF(H41&lt;0,IF(J41&gt;0,"Net Gain (Loss) on Investments","Net Loss on Investments"),IF(H41&gt;0,IF(J41&gt;=0,"Net Gain on Investments","Net Gain (Loss) on Investments"),IF(J41&lt;0,"Net Loss on Investments",IF(J41&gt;0,"Net Gain on Investments","Net Gain (Loss) on Investments"))))</f>
        <v>Net Loss on Investments</v>
      </c>
      <c r="B41" s="35"/>
      <c r="C41" s="14"/>
      <c r="D41" s="14"/>
      <c r="E41" s="35"/>
      <c r="F41" s="14"/>
      <c r="G41" s="15"/>
      <c r="H41" s="80">
        <v>-17950.04</v>
      </c>
      <c r="I41" s="49"/>
      <c r="J41" s="80">
        <v>0</v>
      </c>
      <c r="K41" s="235">
        <f t="shared" si="2"/>
        <v>-17950.04</v>
      </c>
      <c r="L41" s="81"/>
    </row>
    <row r="42" spans="1:12">
      <c r="A42" s="36" t="s">
        <v>69</v>
      </c>
      <c r="B42" s="35"/>
      <c r="C42" s="14"/>
      <c r="D42" s="14"/>
      <c r="E42" s="35"/>
      <c r="F42" s="14"/>
      <c r="G42" s="15"/>
      <c r="H42" s="80">
        <v>0</v>
      </c>
      <c r="I42" s="49"/>
      <c r="J42" s="80">
        <v>0</v>
      </c>
      <c r="K42" s="235">
        <f t="shared" si="2"/>
        <v>0</v>
      </c>
      <c r="L42" s="81"/>
    </row>
    <row r="43" spans="1:12">
      <c r="A43" s="36" t="str">
        <f>IF(H43&lt;0,IF(J43&gt;0,"Gain (Loss) on Disposal of Capital Assets","Loss on Disposal of Capital Assets"),IF(H43&gt;0,IF(J43&gt;=0,"Gain on Disposal of Capital Assets","Gain (Loss) on Disposal of Capital Assets"),IF(J43&lt;0,"Loss on Disposal of Capital Assets",IF(J43&gt;0,"Gain on Disposal of Capital Assets","Gain (Loss) on Disposal of Capital Assets"))))</f>
        <v>Loss on Disposal of Capital Assets</v>
      </c>
      <c r="B43" s="35"/>
      <c r="C43" s="14"/>
      <c r="D43" s="14"/>
      <c r="E43" s="35"/>
      <c r="F43" s="14"/>
      <c r="G43" s="15"/>
      <c r="H43" s="80">
        <v>0</v>
      </c>
      <c r="I43" s="49"/>
      <c r="J43" s="80">
        <v>-44057</v>
      </c>
      <c r="K43" s="235">
        <f t="shared" si="2"/>
        <v>-44057</v>
      </c>
      <c r="L43" s="81"/>
    </row>
    <row r="44" spans="1:12">
      <c r="A44" s="36" t="s">
        <v>73</v>
      </c>
      <c r="B44" s="35"/>
      <c r="C44" s="35"/>
      <c r="D44" s="35"/>
      <c r="E44" s="35"/>
      <c r="F44" s="35"/>
      <c r="G44" s="35"/>
      <c r="H44" s="80">
        <v>0</v>
      </c>
      <c r="I44" s="49"/>
      <c r="J44" s="80">
        <v>1043506</v>
      </c>
      <c r="K44" s="235">
        <f t="shared" si="2"/>
        <v>1043506</v>
      </c>
      <c r="L44" s="81"/>
    </row>
    <row r="45" spans="1:12">
      <c r="A45" s="36" t="s">
        <v>75</v>
      </c>
      <c r="B45" s="35"/>
      <c r="C45" s="14"/>
      <c r="D45" s="14"/>
      <c r="E45" s="35"/>
      <c r="F45" s="14"/>
      <c r="G45" s="15"/>
      <c r="H45" s="82">
        <v>16186.26</v>
      </c>
      <c r="I45" s="49"/>
      <c r="J45" s="82">
        <v>-54818</v>
      </c>
      <c r="K45" s="82">
        <f t="shared" si="2"/>
        <v>-38631.74</v>
      </c>
      <c r="L45" s="81"/>
    </row>
    <row r="46" spans="1:12">
      <c r="A46" s="35"/>
      <c r="B46" s="35"/>
      <c r="C46" s="35"/>
      <c r="D46" s="35"/>
      <c r="E46" s="35"/>
      <c r="F46" s="35"/>
      <c r="G46" s="35"/>
      <c r="H46" s="83"/>
      <c r="I46" s="84"/>
      <c r="J46" s="83"/>
      <c r="K46" s="83"/>
      <c r="L46" s="85"/>
    </row>
    <row r="47" spans="1:12">
      <c r="A47" s="29" t="s">
        <v>77</v>
      </c>
      <c r="B47" s="35"/>
      <c r="C47" s="14"/>
      <c r="D47" s="14"/>
      <c r="E47" s="14"/>
      <c r="F47" s="14"/>
      <c r="G47" s="15"/>
      <c r="H47" s="66">
        <f>ROUND(SUM(H37:H45),0)</f>
        <v>18643226</v>
      </c>
      <c r="I47" s="59"/>
      <c r="J47" s="66">
        <f>ROUND(SUM(J37:J45),0)</f>
        <v>1264336</v>
      </c>
      <c r="K47" s="66">
        <f>ROUND(SUM(K37:K45),0)</f>
        <v>19907562</v>
      </c>
      <c r="L47" s="68"/>
    </row>
    <row r="48" spans="1:12">
      <c r="A48" s="86"/>
      <c r="B48" s="87"/>
      <c r="C48" s="15"/>
      <c r="D48" s="15"/>
      <c r="E48" s="15"/>
      <c r="F48" s="15"/>
      <c r="G48" s="15"/>
      <c r="H48" s="59"/>
      <c r="I48" s="59"/>
      <c r="J48" s="59"/>
      <c r="K48" s="59"/>
      <c r="L48" s="77"/>
    </row>
    <row r="49" spans="1:12">
      <c r="A49" s="65" t="str">
        <f>IF(H50&lt;0,IF(J50&gt;0,"Income (Loss) Before Other Revenues,","Loss Before Other Revenues,"),IF(H50&gt;0,IF(J50&gt;=0,"Income Before Other Revenues,","Income (Loss) Before Other Revenues,"),IF(J59&lt;0,"Loss Before Other Revenues,",IF(J59&gt;0,"Income Before Other Revenues,","Income (Loss) Before Other Revenues,"))))</f>
        <v>Income (Loss) Before Other Revenues,</v>
      </c>
      <c r="B49" s="35"/>
      <c r="C49" s="35"/>
      <c r="D49" s="14"/>
      <c r="E49" s="14"/>
      <c r="F49" s="14"/>
      <c r="G49" s="15"/>
      <c r="H49" s="35"/>
      <c r="I49" s="35"/>
      <c r="J49" s="35"/>
      <c r="K49" s="35"/>
      <c r="L49" s="37"/>
    </row>
    <row r="50" spans="1:12">
      <c r="A50" s="14"/>
      <c r="B50" s="29" t="s">
        <v>78</v>
      </c>
      <c r="C50" s="14"/>
      <c r="D50" s="14"/>
      <c r="E50" s="14"/>
      <c r="F50" s="14"/>
      <c r="G50" s="15"/>
      <c r="H50" s="66">
        <f>H34+H47</f>
        <v>-2075528</v>
      </c>
      <c r="I50" s="59"/>
      <c r="J50" s="66">
        <f>J34+J47</f>
        <v>1040253</v>
      </c>
      <c r="K50" s="66">
        <f>K34+K47</f>
        <v>-1035275</v>
      </c>
      <c r="L50" s="68"/>
    </row>
    <row r="51" spans="1:12">
      <c r="A51" s="14"/>
      <c r="B51" s="29"/>
      <c r="C51" s="14"/>
      <c r="D51" s="14"/>
      <c r="E51" s="14"/>
      <c r="F51" s="14"/>
      <c r="G51" s="15"/>
      <c r="H51" s="17"/>
      <c r="I51" s="17"/>
      <c r="J51" s="17"/>
      <c r="K51" s="17"/>
      <c r="L51" s="18"/>
    </row>
    <row r="52" spans="1:12">
      <c r="A52" s="36" t="s">
        <v>80</v>
      </c>
      <c r="B52" s="35"/>
      <c r="C52" s="14"/>
      <c r="D52" s="14"/>
      <c r="E52" s="14"/>
      <c r="F52" s="35"/>
      <c r="G52" s="15"/>
      <c r="H52" s="80">
        <v>177127.26</v>
      </c>
      <c r="I52" s="49"/>
      <c r="J52" s="80">
        <v>0</v>
      </c>
      <c r="K52" s="235">
        <f>J52+H52</f>
        <v>177127.26</v>
      </c>
      <c r="L52" s="81"/>
    </row>
    <row r="53" spans="1:12">
      <c r="A53" s="36" t="s">
        <v>83</v>
      </c>
      <c r="B53" s="35"/>
      <c r="C53" s="14"/>
      <c r="D53" s="14"/>
      <c r="E53" s="14"/>
      <c r="F53" s="35"/>
      <c r="G53" s="15"/>
      <c r="H53" s="50">
        <v>335034.63</v>
      </c>
      <c r="I53" s="230"/>
      <c r="J53" s="50">
        <v>140353</v>
      </c>
      <c r="K53" s="235">
        <f>J53+H53</f>
        <v>475387.63</v>
      </c>
      <c r="L53" s="51"/>
    </row>
    <row r="54" spans="1:12">
      <c r="A54" s="14" t="s">
        <v>86</v>
      </c>
      <c r="B54" s="35"/>
      <c r="C54" s="14"/>
      <c r="D54" s="14"/>
      <c r="E54" s="14"/>
      <c r="F54" s="35"/>
      <c r="G54" s="15"/>
      <c r="H54" s="89">
        <v>0</v>
      </c>
      <c r="I54" s="230"/>
      <c r="J54" s="89">
        <v>0</v>
      </c>
      <c r="K54" s="235">
        <f>J54+H54</f>
        <v>0</v>
      </c>
      <c r="L54" s="51"/>
    </row>
    <row r="55" spans="1:12">
      <c r="A55" s="76" t="str">
        <f>IF(H55&lt;0,IF(J55&gt;0,"Other Revenues (Expenses)","Other Expenses"),IF(H55&gt;0,IF(J55&gt;=0,"Other Revenues","Other Revenues (Expenses)"),IF(J55&lt;0,"Other Expenses",IF(J55&gt;0,"Other Revenues","Other Revenues (Expenses)"))))</f>
        <v>Other Revenues (Expenses)</v>
      </c>
      <c r="B55" s="35"/>
      <c r="C55" s="14"/>
      <c r="D55" s="14"/>
      <c r="E55" s="14"/>
      <c r="F55" s="35"/>
      <c r="G55" s="15"/>
      <c r="H55" s="58">
        <v>0</v>
      </c>
      <c r="I55" s="230"/>
      <c r="J55" s="58">
        <v>0</v>
      </c>
      <c r="K55" s="82">
        <f>J55+H55</f>
        <v>0</v>
      </c>
      <c r="L55" s="51"/>
    </row>
    <row r="56" spans="1:12">
      <c r="A56" s="35"/>
      <c r="B56" s="35"/>
      <c r="C56" s="14"/>
      <c r="D56" s="14"/>
      <c r="E56" s="14"/>
      <c r="F56" s="14"/>
      <c r="G56" s="15"/>
      <c r="H56" s="83"/>
      <c r="I56" s="84"/>
      <c r="J56" s="83"/>
      <c r="K56" s="83"/>
      <c r="L56" s="85"/>
    </row>
    <row r="57" spans="1:12">
      <c r="A57" s="29" t="s">
        <v>89</v>
      </c>
      <c r="B57" s="35"/>
      <c r="C57" s="35"/>
      <c r="D57" s="14"/>
      <c r="E57" s="14"/>
      <c r="F57" s="14"/>
      <c r="G57" s="15"/>
      <c r="H57" s="90">
        <f>(ROUND(SUM(H52:H55),0))</f>
        <v>512162</v>
      </c>
      <c r="I57" s="59"/>
      <c r="J57" s="90">
        <f>(ROUND(SUM(J52:J55),0))</f>
        <v>140353</v>
      </c>
      <c r="K57" s="90">
        <f>(ROUND(SUM(K52:K55),0))</f>
        <v>652515</v>
      </c>
      <c r="L57" s="91"/>
    </row>
    <row r="58" spans="1:12">
      <c r="A58" s="29"/>
      <c r="B58" s="35"/>
      <c r="C58" s="35"/>
      <c r="D58" s="14"/>
      <c r="E58" s="14"/>
      <c r="F58" s="14"/>
      <c r="G58" s="15"/>
      <c r="H58" s="59"/>
      <c r="I58" s="59"/>
      <c r="J58" s="59"/>
      <c r="K58" s="59"/>
      <c r="L58" s="77"/>
    </row>
    <row r="59" spans="1:12">
      <c r="A59" s="65" t="str">
        <f>IF(H59&lt;0,IF(J59&gt;0,"Increase (Decrease) in Net Position","Decrease in Net Position"),IF(H59&gt;0,IF(J59&gt;=0,"Increase in Net Position","Increase (Decrease) in Net Position"),IF(J59&lt;0,"Decrease in Net Position",IF(J59&gt;0,"Increase in Net Position","Increase (Decrease) in Net Position"))))</f>
        <v>Increase (Decrease) in Net Position</v>
      </c>
      <c r="B59" s="35"/>
      <c r="C59" s="35"/>
      <c r="D59" s="14"/>
      <c r="E59" s="14"/>
      <c r="F59" s="14"/>
      <c r="G59" s="15"/>
      <c r="H59" s="90">
        <f>H50+H57</f>
        <v>-1563366</v>
      </c>
      <c r="I59" s="92"/>
      <c r="J59" s="90">
        <f>J50+J57</f>
        <v>1180606</v>
      </c>
      <c r="K59" s="90">
        <f>K50+K57</f>
        <v>-382760</v>
      </c>
      <c r="L59" s="91"/>
    </row>
    <row r="60" spans="1:12">
      <c r="A60" s="93"/>
      <c r="B60" s="35"/>
      <c r="C60" s="35"/>
      <c r="D60" s="14"/>
      <c r="E60" s="14"/>
      <c r="F60" s="14"/>
      <c r="G60" s="15"/>
      <c r="H60" s="94"/>
      <c r="I60" s="94"/>
      <c r="J60" s="94"/>
      <c r="K60" s="94"/>
      <c r="L60" s="95"/>
    </row>
    <row r="61" spans="1:12">
      <c r="A61" s="14" t="s">
        <v>91</v>
      </c>
      <c r="B61" s="35"/>
      <c r="C61" s="14"/>
      <c r="D61" s="14"/>
      <c r="E61" s="14"/>
      <c r="F61" s="14"/>
      <c r="G61" s="15"/>
      <c r="H61" s="96">
        <f>VLOOKUP($A$1,[16]VLOOKUPS!A44:D71,2,FALSE)</f>
        <v>45331129</v>
      </c>
      <c r="I61" s="49"/>
      <c r="J61" s="96">
        <f>VLOOKUP($A$1,[16]VLOOKUPS!A44:D71,3,FALSE)</f>
        <v>14581122</v>
      </c>
      <c r="K61" s="89">
        <f>J61+H61</f>
        <v>59912251</v>
      </c>
      <c r="L61" s="97"/>
    </row>
    <row r="62" spans="1:12">
      <c r="A62" s="14" t="s">
        <v>94</v>
      </c>
      <c r="B62" s="35"/>
      <c r="C62" s="14"/>
      <c r="D62" s="14"/>
      <c r="E62" s="14"/>
      <c r="F62" s="14"/>
      <c r="G62" s="15"/>
      <c r="H62" s="82">
        <v>-5808581.6399999997</v>
      </c>
      <c r="I62" s="49"/>
      <c r="J62" s="82">
        <v>0</v>
      </c>
      <c r="K62" s="58">
        <f>J62+H62</f>
        <v>-5808581.6399999997</v>
      </c>
      <c r="L62" s="81"/>
    </row>
    <row r="63" spans="1:12">
      <c r="A63" s="36"/>
      <c r="B63" s="36"/>
      <c r="C63" s="36"/>
      <c r="D63" s="36"/>
      <c r="E63" s="36"/>
      <c r="F63" s="98"/>
      <c r="G63" s="36"/>
      <c r="H63" s="92"/>
      <c r="I63" s="99"/>
      <c r="J63" s="99"/>
      <c r="K63" s="99"/>
      <c r="L63" s="100"/>
    </row>
    <row r="64" spans="1:12">
      <c r="A64" s="101" t="s">
        <v>95</v>
      </c>
      <c r="B64" s="36"/>
      <c r="C64" s="36"/>
      <c r="D64" s="36"/>
      <c r="E64" s="36"/>
      <c r="F64" s="60"/>
      <c r="G64" s="60"/>
      <c r="H64" s="90">
        <f>(ROUND(SUM(H61:H62),0))</f>
        <v>39522547</v>
      </c>
      <c r="I64" s="92"/>
      <c r="J64" s="90">
        <f>(ROUND(SUM(J61:J62),0))</f>
        <v>14581122</v>
      </c>
      <c r="K64" s="90">
        <f>(ROUND(SUM(K61:K62),0))</f>
        <v>54103669</v>
      </c>
      <c r="L64" s="91"/>
    </row>
    <row r="65" spans="1:12">
      <c r="A65" s="36"/>
      <c r="B65" s="36"/>
      <c r="C65" s="36"/>
      <c r="D65" s="36"/>
      <c r="E65" s="36"/>
      <c r="F65" s="102"/>
      <c r="G65" s="36"/>
      <c r="H65" s="102"/>
      <c r="I65" s="60"/>
      <c r="J65" s="60"/>
      <c r="K65" s="60"/>
      <c r="L65" s="61"/>
    </row>
    <row r="66" spans="1:12" ht="13.5" thickBot="1">
      <c r="A66" s="29" t="s">
        <v>96</v>
      </c>
      <c r="B66" s="35"/>
      <c r="C66" s="14"/>
      <c r="D66" s="14"/>
      <c r="E66" s="14"/>
      <c r="F66" s="14"/>
      <c r="G66" s="103"/>
      <c r="H66" s="104">
        <f>H59+H64</f>
        <v>37959181</v>
      </c>
      <c r="I66" s="105"/>
      <c r="J66" s="104">
        <f>J59+J64</f>
        <v>15761728</v>
      </c>
      <c r="K66" s="104">
        <f>K59+K64</f>
        <v>53720909</v>
      </c>
      <c r="L66" s="46"/>
    </row>
    <row r="67" spans="1:12" ht="13.5" thickTop="1">
      <c r="A67" s="14"/>
      <c r="B67" s="14"/>
      <c r="C67" s="14"/>
      <c r="D67" s="14"/>
      <c r="E67" s="14"/>
      <c r="F67" s="14"/>
      <c r="G67" s="15"/>
      <c r="H67" s="107"/>
      <c r="I67" s="15"/>
      <c r="J67" s="107"/>
      <c r="K67" s="107"/>
      <c r="L67" s="108"/>
    </row>
    <row r="68" spans="1:12">
      <c r="A68" s="35" t="s">
        <v>97</v>
      </c>
      <c r="B68" s="35"/>
      <c r="C68" s="35"/>
      <c r="D68" s="35"/>
      <c r="E68" s="35"/>
      <c r="F68" s="35"/>
      <c r="G68" s="87"/>
      <c r="H68" s="35"/>
      <c r="I68" s="87"/>
      <c r="J68" s="35"/>
      <c r="K68" s="35"/>
      <c r="L68" s="37"/>
    </row>
    <row r="69" spans="1:12">
      <c r="G69" s="6"/>
      <c r="H69" s="109">
        <f>H66-[16]SNP!K119</f>
        <v>1</v>
      </c>
      <c r="I69" s="110"/>
      <c r="J69" s="111">
        <f>J66-[16]SNP!M119</f>
        <v>0</v>
      </c>
      <c r="K69" s="111">
        <f>K66-[16]SNP!N119</f>
        <v>1</v>
      </c>
      <c r="L69" s="112"/>
    </row>
    <row r="70" spans="1:12">
      <c r="G70" s="113" t="s">
        <v>98</v>
      </c>
      <c r="H70" s="114" t="s">
        <v>299</v>
      </c>
      <c r="I70" s="115"/>
      <c r="J70" s="114"/>
      <c r="K70" s="114"/>
      <c r="L70" s="114"/>
    </row>
    <row r="71" spans="1:12">
      <c r="H71" s="114" t="s">
        <v>300</v>
      </c>
      <c r="I71" s="115"/>
      <c r="J71" s="114"/>
      <c r="K71" s="114"/>
      <c r="L71" s="114"/>
    </row>
    <row r="72" spans="1:12">
      <c r="H72" s="114" t="s">
        <v>301</v>
      </c>
      <c r="I72" s="115"/>
      <c r="J72" s="116"/>
      <c r="K72" s="116"/>
      <c r="L72" s="116"/>
    </row>
  </sheetData>
  <sheetProtection formatColumns="0" formatRows="0"/>
  <conditionalFormatting sqref="H69 J69">
    <cfRule type="cellIs" dxfId="254" priority="14" operator="notEqual">
      <formula>0</formula>
    </cfRule>
    <cfRule type="cellIs" dxfId="253" priority="15" operator="equal">
      <formula>0</formula>
    </cfRule>
  </conditionalFormatting>
  <conditionalFormatting sqref="H11:H15 D11:E11 J24:J30 J37:J45 H37:H45 J62 H62 J17:J18 H25:H29 H17:H18 D17:E17 J11:J15 J52:J55 H52:H55">
    <cfRule type="containsBlanks" dxfId="252" priority="12">
      <formula>LEN(TRIM(D11))=0</formula>
    </cfRule>
    <cfRule type="cellIs" dxfId="251" priority="13" operator="notEqual">
      <formula>0</formula>
    </cfRule>
  </conditionalFormatting>
  <conditionalFormatting sqref="H11">
    <cfRule type="cellIs" dxfId="250" priority="11" operator="notEqual">
      <formula>H20</formula>
    </cfRule>
  </conditionalFormatting>
  <conditionalFormatting sqref="J11">
    <cfRule type="cellIs" dxfId="249" priority="10" operator="notEqual">
      <formula>J20</formula>
    </cfRule>
  </conditionalFormatting>
  <conditionalFormatting sqref="K69">
    <cfRule type="cellIs" dxfId="248" priority="8" operator="notEqual">
      <formula>0</formula>
    </cfRule>
    <cfRule type="cellIs" dxfId="247" priority="9" operator="equal">
      <formula>0</formula>
    </cfRule>
  </conditionalFormatting>
  <conditionalFormatting sqref="K11:K18 K24:K30 K37:K45 K52:K55">
    <cfRule type="containsBlanks" dxfId="246" priority="6">
      <formula>LEN(TRIM(K11))=0</formula>
    </cfRule>
    <cfRule type="cellIs" dxfId="245" priority="7" operator="notEqual">
      <formula>0</formula>
    </cfRule>
  </conditionalFormatting>
  <conditionalFormatting sqref="K11">
    <cfRule type="cellIs" dxfId="244" priority="5" operator="notEqual">
      <formula>K20</formula>
    </cfRule>
  </conditionalFormatting>
  <conditionalFormatting sqref="H24">
    <cfRule type="containsBlanks" dxfId="243" priority="3">
      <formula>LEN(TRIM(H24))=0</formula>
    </cfRule>
    <cfRule type="cellIs" dxfId="242" priority="4" operator="notEqual">
      <formula>0</formula>
    </cfRule>
  </conditionalFormatting>
  <conditionalFormatting sqref="K61:K62">
    <cfRule type="containsBlanks" dxfId="241" priority="1">
      <formula>LEN(TRIM(K61))=0</formula>
    </cfRule>
    <cfRule type="cellIs" dxfId="240" priority="2" operator="notEqual">
      <formula>0</formula>
    </cfRule>
  </conditionalFormatting>
  <printOptions horizontalCentered="1"/>
  <pageMargins left="0.7" right="0.7" top="0.75" bottom="0.75" header="0.5" footer="0.5"/>
  <pageSetup scale="47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  <pageSetUpPr fitToPage="1"/>
  </sheetPr>
  <dimension ref="A1:T70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0" style="1" hidden="1" customWidth="1"/>
    <col min="2" max="2" width="0" style="20" hidden="1" customWidth="1"/>
    <col min="3" max="8" width="11.140625" style="6"/>
    <col min="9" max="9" width="11.140625" style="11"/>
    <col min="10" max="10" width="14.140625" style="6" customWidth="1"/>
    <col min="11" max="11" width="11.140625" style="11"/>
    <col min="12" max="12" width="14.7109375" style="6" customWidth="1"/>
    <col min="13" max="13" width="16.28515625" style="6" customWidth="1"/>
    <col min="14" max="14" width="11.140625" style="6"/>
    <col min="15" max="15" width="11.140625" style="10"/>
    <col min="16" max="20" width="11.140625" style="5"/>
    <col min="21" max="16384" width="11.140625" style="6"/>
  </cols>
  <sheetData>
    <row r="1" spans="1:14">
      <c r="B1" s="2"/>
      <c r="C1" s="260" t="str">
        <f>'[17]Contact Information'!$C$5</f>
        <v>LAKE-SUMTER STATE COLLEGE</v>
      </c>
      <c r="D1" s="260"/>
      <c r="E1" s="260"/>
      <c r="F1" s="260"/>
      <c r="G1" s="260"/>
      <c r="H1" s="260"/>
      <c r="I1" s="260"/>
      <c r="J1" s="260"/>
      <c r="K1" s="260"/>
      <c r="L1" s="260"/>
      <c r="M1" s="247"/>
      <c r="N1" s="3"/>
    </row>
    <row r="2" spans="1:14">
      <c r="B2" s="2"/>
      <c r="C2" s="256" t="s">
        <v>0</v>
      </c>
      <c r="D2" s="256"/>
      <c r="E2" s="256"/>
      <c r="F2" s="256"/>
      <c r="G2" s="256"/>
      <c r="H2" s="256"/>
      <c r="I2" s="256"/>
      <c r="J2" s="256"/>
      <c r="K2" s="256"/>
      <c r="L2" s="256"/>
      <c r="M2" s="245"/>
      <c r="N2" s="7"/>
    </row>
    <row r="3" spans="1:14">
      <c r="B3" s="2"/>
      <c r="C3" s="86" t="s">
        <v>1</v>
      </c>
      <c r="D3" s="86"/>
      <c r="E3" s="86"/>
      <c r="F3" s="86"/>
      <c r="G3" s="86"/>
      <c r="H3" s="86"/>
      <c r="I3" s="86"/>
      <c r="J3" s="86"/>
      <c r="K3" s="86"/>
      <c r="L3" s="86"/>
      <c r="M3" s="248"/>
      <c r="N3" s="9" t="s">
        <v>2</v>
      </c>
    </row>
    <row r="4" spans="1:14">
      <c r="B4" s="2"/>
      <c r="C4" s="261" t="s">
        <v>297</v>
      </c>
      <c r="D4" s="261"/>
      <c r="E4" s="261"/>
      <c r="F4" s="261"/>
      <c r="G4" s="261"/>
      <c r="H4" s="261"/>
      <c r="I4" s="261"/>
      <c r="J4" s="261"/>
      <c r="K4" s="261"/>
      <c r="L4" s="261"/>
      <c r="M4" s="249"/>
      <c r="N4" s="11" t="str">
        <f>'[17]Contact Information'!$C$3</f>
        <v>2015.v02</v>
      </c>
    </row>
    <row r="5" spans="1:14">
      <c r="A5" s="12"/>
      <c r="B5" s="13"/>
      <c r="C5" s="14"/>
      <c r="D5" s="14"/>
      <c r="E5" s="14"/>
      <c r="F5" s="14"/>
      <c r="G5" s="14"/>
      <c r="H5" s="14"/>
      <c r="I5" s="15"/>
      <c r="J5" s="16"/>
      <c r="K5" s="17"/>
      <c r="L5" s="16"/>
      <c r="M5" s="16"/>
      <c r="N5" s="18"/>
    </row>
    <row r="6" spans="1:14">
      <c r="C6" s="14"/>
      <c r="D6" s="14"/>
      <c r="E6" s="14"/>
      <c r="F6" s="14"/>
      <c r="G6" s="14"/>
      <c r="H6" s="14"/>
      <c r="I6" s="15"/>
      <c r="J6" s="249" t="s">
        <v>5</v>
      </c>
      <c r="K6" s="21"/>
      <c r="L6" s="22" t="s">
        <v>6</v>
      </c>
      <c r="M6" s="22" t="s">
        <v>7</v>
      </c>
      <c r="N6" s="23"/>
    </row>
    <row r="7" spans="1:14">
      <c r="C7" s="14"/>
      <c r="D7" s="14"/>
      <c r="E7" s="14"/>
      <c r="F7" s="14"/>
      <c r="G7" s="14"/>
      <c r="H7" s="14"/>
      <c r="I7" s="15"/>
      <c r="J7" s="24"/>
      <c r="K7" s="25"/>
      <c r="L7" s="26" t="str">
        <f>[17]SNP!$M$9</f>
        <v>Unit</v>
      </c>
      <c r="M7" s="26"/>
      <c r="N7" s="27"/>
    </row>
    <row r="8" spans="1:14">
      <c r="C8" s="29" t="s">
        <v>9</v>
      </c>
      <c r="D8" s="14"/>
      <c r="E8" s="14"/>
      <c r="F8" s="14"/>
      <c r="G8" s="14"/>
      <c r="H8" s="14"/>
      <c r="I8" s="15"/>
      <c r="J8" s="25"/>
      <c r="K8" s="25"/>
      <c r="L8" s="25"/>
      <c r="M8" s="25"/>
      <c r="N8" s="30"/>
    </row>
    <row r="9" spans="1:14">
      <c r="A9" s="32" t="s">
        <v>10</v>
      </c>
      <c r="B9" s="33" t="s">
        <v>11</v>
      </c>
      <c r="C9" s="14" t="s">
        <v>12</v>
      </c>
      <c r="D9" s="14"/>
      <c r="E9" s="14"/>
      <c r="F9" s="14"/>
      <c r="G9" s="14"/>
      <c r="H9" s="14"/>
      <c r="I9" s="15"/>
      <c r="J9" s="17"/>
      <c r="K9" s="17"/>
      <c r="L9" s="17"/>
      <c r="M9" s="17"/>
      <c r="N9" s="18"/>
    </row>
    <row r="10" spans="1:14">
      <c r="B10" s="34"/>
      <c r="C10" s="35"/>
      <c r="D10" s="36" t="s">
        <v>14</v>
      </c>
      <c r="E10" s="14"/>
      <c r="F10" s="14"/>
      <c r="G10" s="14"/>
      <c r="H10" s="14"/>
      <c r="I10" s="35"/>
      <c r="J10" s="35"/>
      <c r="K10" s="17"/>
      <c r="L10" s="35"/>
      <c r="M10" s="35"/>
      <c r="N10" s="37"/>
    </row>
    <row r="11" spans="1:14">
      <c r="A11" s="1" t="s">
        <v>17</v>
      </c>
      <c r="B11" s="34" t="s">
        <v>18</v>
      </c>
      <c r="C11" s="35"/>
      <c r="D11" s="44" t="s">
        <v>19</v>
      </c>
      <c r="E11" s="35"/>
      <c r="F11" s="263">
        <v>3131441.99</v>
      </c>
      <c r="G11" s="263"/>
      <c r="H11" s="45"/>
      <c r="I11" s="36"/>
      <c r="J11" s="228">
        <f>8648379.58-3131441.99</f>
        <v>5516937.5899999999</v>
      </c>
      <c r="K11" s="229"/>
      <c r="L11" s="228">
        <v>0</v>
      </c>
      <c r="M11" s="228">
        <f>ROUND(L11,0)+ROUND(J11,0)</f>
        <v>5516938</v>
      </c>
      <c r="N11" s="46"/>
    </row>
    <row r="12" spans="1:14">
      <c r="A12" s="1" t="s">
        <v>20</v>
      </c>
      <c r="B12" s="34" t="s">
        <v>21</v>
      </c>
      <c r="C12" s="35"/>
      <c r="D12" s="36" t="s">
        <v>22</v>
      </c>
      <c r="E12" s="14"/>
      <c r="F12" s="48"/>
      <c r="G12" s="49"/>
      <c r="H12" s="15"/>
      <c r="I12" s="35"/>
      <c r="J12" s="50">
        <v>69265.66</v>
      </c>
      <c r="K12" s="230"/>
      <c r="L12" s="50">
        <v>0</v>
      </c>
      <c r="M12" s="50">
        <f>ROUND(L12,0)+ROUND(J12,0)</f>
        <v>69266</v>
      </c>
      <c r="N12" s="51"/>
    </row>
    <row r="13" spans="1:14">
      <c r="A13" s="1" t="s">
        <v>23</v>
      </c>
      <c r="B13" s="34" t="s">
        <v>21</v>
      </c>
      <c r="C13" s="35"/>
      <c r="D13" s="36" t="s">
        <v>24</v>
      </c>
      <c r="E13" s="14"/>
      <c r="F13" s="48"/>
      <c r="G13" s="48"/>
      <c r="H13" s="14"/>
      <c r="I13" s="35"/>
      <c r="J13" s="50">
        <v>414308.14</v>
      </c>
      <c r="K13" s="230"/>
      <c r="L13" s="50">
        <v>0</v>
      </c>
      <c r="M13" s="50">
        <f>ROUND(L13,0)+ROUND(J13,0)</f>
        <v>414308</v>
      </c>
      <c r="N13" s="51"/>
    </row>
    <row r="14" spans="1:14">
      <c r="A14" s="1" t="s">
        <v>25</v>
      </c>
      <c r="B14" s="34" t="s">
        <v>21</v>
      </c>
      <c r="C14" s="35"/>
      <c r="D14" s="36" t="s">
        <v>26</v>
      </c>
      <c r="E14" s="14"/>
      <c r="F14" s="48"/>
      <c r="G14" s="48"/>
      <c r="H14" s="14"/>
      <c r="I14" s="35"/>
      <c r="J14" s="50">
        <v>1610973.18</v>
      </c>
      <c r="K14" s="230"/>
      <c r="L14" s="50">
        <v>0</v>
      </c>
      <c r="M14" s="50">
        <f>ROUND(L14,0)+ROUND(J14,0)</f>
        <v>1610973</v>
      </c>
      <c r="N14" s="51"/>
    </row>
    <row r="15" spans="1:14">
      <c r="A15" s="1" t="s">
        <v>27</v>
      </c>
      <c r="B15" s="34" t="s">
        <v>18</v>
      </c>
      <c r="C15" s="35"/>
      <c r="D15" s="36" t="s">
        <v>28</v>
      </c>
      <c r="E15" s="14"/>
      <c r="F15" s="48"/>
      <c r="G15" s="48"/>
      <c r="H15" s="35"/>
      <c r="I15" s="35"/>
      <c r="J15" s="50">
        <v>8044.19</v>
      </c>
      <c r="K15" s="230"/>
      <c r="L15" s="50">
        <v>0</v>
      </c>
      <c r="M15" s="50">
        <f>ROUND(L15,0)+ROUND(J15,0)</f>
        <v>8044</v>
      </c>
      <c r="N15" s="51"/>
    </row>
    <row r="16" spans="1:14">
      <c r="A16" s="52"/>
      <c r="B16" s="53"/>
      <c r="C16" s="35"/>
      <c r="D16" s="36" t="s">
        <v>29</v>
      </c>
      <c r="E16" s="14"/>
      <c r="F16" s="54"/>
      <c r="G16" s="49"/>
      <c r="H16" s="55"/>
      <c r="I16" s="35"/>
      <c r="J16" s="35"/>
      <c r="K16" s="230"/>
      <c r="L16" s="35"/>
      <c r="M16" s="35"/>
      <c r="N16" s="37"/>
    </row>
    <row r="17" spans="1:14">
      <c r="A17" s="52" t="s">
        <v>30</v>
      </c>
      <c r="B17" s="53" t="s">
        <v>18</v>
      </c>
      <c r="C17" s="35"/>
      <c r="D17" s="44" t="s">
        <v>19</v>
      </c>
      <c r="E17" s="35"/>
      <c r="F17" s="263">
        <v>0</v>
      </c>
      <c r="G17" s="263"/>
      <c r="H17" s="55"/>
      <c r="I17" s="35"/>
      <c r="J17" s="50">
        <v>173973.5</v>
      </c>
      <c r="K17" s="230"/>
      <c r="L17" s="50">
        <v>0</v>
      </c>
      <c r="M17" s="50">
        <f>ROUND(L17,0)+ROUND(J17,0)</f>
        <v>173974</v>
      </c>
      <c r="N17" s="51"/>
    </row>
    <row r="18" spans="1:14">
      <c r="A18" s="52" t="s">
        <v>31</v>
      </c>
      <c r="B18" s="56" t="s">
        <v>32</v>
      </c>
      <c r="C18" s="35"/>
      <c r="D18" s="57" t="s">
        <v>33</v>
      </c>
      <c r="E18" s="14"/>
      <c r="F18" s="14"/>
      <c r="G18" s="14"/>
      <c r="H18" s="14"/>
      <c r="I18" s="36"/>
      <c r="J18" s="58">
        <v>63551.76</v>
      </c>
      <c r="K18" s="230"/>
      <c r="L18" s="58">
        <v>1455890</v>
      </c>
      <c r="M18" s="58">
        <f>ROUND(L18,0)+ROUND(J18,0)</f>
        <v>1519442</v>
      </c>
      <c r="N18" s="51"/>
    </row>
    <row r="19" spans="1:14">
      <c r="A19" s="52"/>
      <c r="B19" s="56"/>
      <c r="C19" s="36"/>
      <c r="D19" s="36"/>
      <c r="E19" s="36"/>
      <c r="F19" s="36"/>
      <c r="G19" s="36"/>
      <c r="H19" s="59"/>
      <c r="I19" s="59"/>
      <c r="J19" s="59"/>
      <c r="K19" s="60"/>
      <c r="L19" s="60"/>
      <c r="M19" s="60"/>
      <c r="N19" s="61"/>
    </row>
    <row r="20" spans="1:14">
      <c r="A20" s="52" t="s">
        <v>34</v>
      </c>
      <c r="B20" s="56"/>
      <c r="C20" s="35"/>
      <c r="D20" s="65" t="s">
        <v>35</v>
      </c>
      <c r="E20" s="35"/>
      <c r="F20" s="14"/>
      <c r="G20" s="14"/>
      <c r="H20" s="14"/>
      <c r="I20" s="15"/>
      <c r="J20" s="66">
        <f t="array" ref="J20">SUM(ROUND(J11:J18,0))</f>
        <v>7857055</v>
      </c>
      <c r="K20" s="67"/>
      <c r="L20" s="66">
        <f t="array" ref="L20">SUM(ROUND(L11:L18,0))</f>
        <v>1455890</v>
      </c>
      <c r="M20" s="66">
        <f t="array" ref="M20">SUM(ROUND(M11:M18,0))</f>
        <v>9312945</v>
      </c>
      <c r="N20" s="68"/>
    </row>
    <row r="21" spans="1:14">
      <c r="A21" s="52"/>
      <c r="B21" s="56"/>
      <c r="C21" s="14"/>
      <c r="D21" s="14"/>
      <c r="E21" s="14"/>
      <c r="F21" s="14"/>
      <c r="G21" s="14"/>
      <c r="H21" s="14"/>
      <c r="I21" s="15"/>
      <c r="J21" s="17"/>
      <c r="K21" s="17"/>
      <c r="L21" s="17"/>
      <c r="M21" s="17"/>
      <c r="N21" s="18"/>
    </row>
    <row r="22" spans="1:14">
      <c r="A22" s="70"/>
      <c r="B22" s="71"/>
      <c r="C22" s="29" t="s">
        <v>36</v>
      </c>
      <c r="D22" s="14"/>
      <c r="E22" s="14"/>
      <c r="F22" s="14"/>
      <c r="G22" s="14"/>
      <c r="H22" s="14"/>
      <c r="I22" s="15"/>
      <c r="J22" s="16"/>
      <c r="K22" s="17"/>
      <c r="L22" s="16"/>
      <c r="M22" s="16"/>
      <c r="N22" s="18"/>
    </row>
    <row r="23" spans="1:14">
      <c r="A23" s="52"/>
      <c r="B23" s="53"/>
      <c r="C23" s="14" t="s">
        <v>37</v>
      </c>
      <c r="D23" s="14"/>
      <c r="E23" s="14"/>
      <c r="F23" s="14"/>
      <c r="G23" s="35"/>
      <c r="H23" s="14"/>
      <c r="I23" s="15"/>
      <c r="J23" s="16"/>
      <c r="K23" s="17"/>
      <c r="L23" s="16"/>
      <c r="M23" s="16"/>
      <c r="N23" s="18"/>
    </row>
    <row r="24" spans="1:14">
      <c r="A24" s="12" t="s">
        <v>38</v>
      </c>
      <c r="B24" s="72" t="s">
        <v>39</v>
      </c>
      <c r="C24" s="44"/>
      <c r="D24" s="36" t="s">
        <v>40</v>
      </c>
      <c r="E24" s="14"/>
      <c r="F24" s="14"/>
      <c r="G24" s="35"/>
      <c r="H24" s="14"/>
      <c r="I24" s="15"/>
      <c r="J24" s="50">
        <f>19002379.78-279913</f>
        <v>18722466.780000001</v>
      </c>
      <c r="K24" s="230"/>
      <c r="L24" s="50">
        <v>259119</v>
      </c>
      <c r="M24" s="50">
        <f t="shared" ref="M24:M30" si="0">ROUND(L24,0)+ROUND(J24,0)</f>
        <v>18981586</v>
      </c>
      <c r="N24" s="51"/>
    </row>
    <row r="25" spans="1:14">
      <c r="A25" s="1" t="s">
        <v>41</v>
      </c>
      <c r="B25" s="72" t="s">
        <v>39</v>
      </c>
      <c r="C25" s="44"/>
      <c r="D25" s="36" t="s">
        <v>42</v>
      </c>
      <c r="E25" s="14"/>
      <c r="F25" s="14"/>
      <c r="G25" s="35"/>
      <c r="H25" s="14"/>
      <c r="I25" s="15"/>
      <c r="J25" s="50">
        <f>7353151.32-3131441.99</f>
        <v>4221709.33</v>
      </c>
      <c r="K25" s="230"/>
      <c r="L25" s="50">
        <v>589882</v>
      </c>
      <c r="M25" s="50">
        <f t="shared" si="0"/>
        <v>4811591</v>
      </c>
      <c r="N25" s="51"/>
    </row>
    <row r="26" spans="1:14">
      <c r="A26" s="12" t="s">
        <v>43</v>
      </c>
      <c r="B26" s="34" t="s">
        <v>39</v>
      </c>
      <c r="C26" s="44"/>
      <c r="D26" s="36" t="s">
        <v>44</v>
      </c>
      <c r="E26" s="14"/>
      <c r="F26" s="14"/>
      <c r="G26" s="35"/>
      <c r="H26" s="14"/>
      <c r="I26" s="15"/>
      <c r="J26" s="50">
        <v>1237049.45</v>
      </c>
      <c r="K26" s="230"/>
      <c r="L26" s="50">
        <v>0</v>
      </c>
      <c r="M26" s="50">
        <f t="shared" si="0"/>
        <v>1237049</v>
      </c>
      <c r="N26" s="51"/>
    </row>
    <row r="27" spans="1:14">
      <c r="A27" s="1" t="s">
        <v>45</v>
      </c>
      <c r="B27" s="72" t="s">
        <v>39</v>
      </c>
      <c r="C27" s="44"/>
      <c r="D27" s="36" t="s">
        <v>46</v>
      </c>
      <c r="E27" s="14"/>
      <c r="F27" s="14"/>
      <c r="G27" s="35"/>
      <c r="H27" s="14"/>
      <c r="I27" s="15"/>
      <c r="J27" s="50">
        <v>1703940.48</v>
      </c>
      <c r="K27" s="230"/>
      <c r="L27" s="50">
        <v>13193</v>
      </c>
      <c r="M27" s="50">
        <f t="shared" si="0"/>
        <v>1717133</v>
      </c>
      <c r="N27" s="51"/>
    </row>
    <row r="28" spans="1:14">
      <c r="A28" s="12" t="s">
        <v>47</v>
      </c>
      <c r="B28" s="34" t="s">
        <v>39</v>
      </c>
      <c r="C28" s="44"/>
      <c r="D28" s="36" t="s">
        <v>48</v>
      </c>
      <c r="E28" s="14"/>
      <c r="F28" s="14"/>
      <c r="G28" s="35"/>
      <c r="H28" s="14"/>
      <c r="I28" s="15"/>
      <c r="J28" s="50">
        <v>1570192.38</v>
      </c>
      <c r="K28" s="230"/>
      <c r="L28" s="50">
        <f>368235+408684+98200-259118</f>
        <v>616001</v>
      </c>
      <c r="M28" s="50">
        <f t="shared" si="0"/>
        <v>2186193</v>
      </c>
      <c r="N28" s="51"/>
    </row>
    <row r="29" spans="1:14">
      <c r="A29" s="1" t="s">
        <v>49</v>
      </c>
      <c r="B29" s="34" t="s">
        <v>39</v>
      </c>
      <c r="C29" s="44"/>
      <c r="D29" s="36" t="s">
        <v>50</v>
      </c>
      <c r="E29" s="14"/>
      <c r="F29" s="14"/>
      <c r="G29" s="35"/>
      <c r="H29" s="14"/>
      <c r="I29" s="15"/>
      <c r="J29" s="50">
        <v>1693593.8</v>
      </c>
      <c r="K29" s="230"/>
      <c r="L29" s="50">
        <v>23167</v>
      </c>
      <c r="M29" s="50">
        <f t="shared" si="0"/>
        <v>1716761</v>
      </c>
      <c r="N29" s="51"/>
    </row>
    <row r="30" spans="1:14">
      <c r="A30" s="12" t="s">
        <v>51</v>
      </c>
      <c r="B30" s="72" t="s">
        <v>52</v>
      </c>
      <c r="C30" s="44"/>
      <c r="D30" s="36" t="s">
        <v>53</v>
      </c>
      <c r="E30" s="14"/>
      <c r="F30" s="14"/>
      <c r="G30" s="35"/>
      <c r="H30" s="14"/>
      <c r="I30" s="15"/>
      <c r="J30" s="231">
        <f>'[17]Accounts by GL'!O481</f>
        <v>1971466.5</v>
      </c>
      <c r="K30" s="230"/>
      <c r="L30" s="58">
        <v>8974</v>
      </c>
      <c r="M30" s="58">
        <f t="shared" si="0"/>
        <v>1980441</v>
      </c>
      <c r="N30" s="51"/>
    </row>
    <row r="31" spans="1:14">
      <c r="B31" s="72"/>
      <c r="C31" s="44"/>
      <c r="D31" s="36"/>
      <c r="E31" s="14"/>
      <c r="F31" s="14"/>
      <c r="G31" s="35"/>
      <c r="H31" s="14"/>
      <c r="I31" s="15"/>
      <c r="J31" s="73"/>
      <c r="K31" s="73"/>
      <c r="L31" s="73"/>
      <c r="M31" s="73"/>
      <c r="N31" s="74"/>
    </row>
    <row r="32" spans="1:14">
      <c r="A32" s="1" t="s">
        <v>54</v>
      </c>
      <c r="B32" s="72"/>
      <c r="C32" s="14"/>
      <c r="D32" s="65" t="s">
        <v>55</v>
      </c>
      <c r="E32" s="35"/>
      <c r="F32" s="14"/>
      <c r="G32" s="14"/>
      <c r="H32" s="14"/>
      <c r="I32" s="15"/>
      <c r="J32" s="66">
        <f t="array" ref="J32">SUM(ROUND(J24:J30,0))</f>
        <v>31120418</v>
      </c>
      <c r="K32" s="59"/>
      <c r="L32" s="66">
        <f t="array" ref="L32">SUM(ROUND(L24:L30,0))</f>
        <v>1510336</v>
      </c>
      <c r="M32" s="66">
        <f t="array" ref="M32">SUM(ROUND(M24:M30,0))</f>
        <v>32630754</v>
      </c>
      <c r="N32" s="68"/>
    </row>
    <row r="33" spans="1:14">
      <c r="A33" s="12"/>
      <c r="B33" s="72"/>
      <c r="C33" s="44"/>
      <c r="D33" s="76"/>
      <c r="E33" s="14"/>
      <c r="F33" s="14"/>
      <c r="G33" s="35"/>
      <c r="H33" s="14"/>
      <c r="I33" s="15"/>
      <c r="J33" s="59"/>
      <c r="K33" s="59"/>
      <c r="L33" s="59"/>
      <c r="M33" s="59"/>
      <c r="N33" s="77"/>
    </row>
    <row r="34" spans="1:14">
      <c r="B34" s="72"/>
      <c r="C34" s="14"/>
      <c r="D34" s="65" t="str">
        <f>IF(J34&lt;0,IF(L34&gt;0,"Operating Income (Loss)","Operating Loss"),IF(J34&gt;0,IF(L34&gt;=0,"Operating Income","Operating Income (Loss)"),IF(L34&lt;0,"Operating Loss",IF(L34&gt;0,"Operating Income","Operating Income (Loss)"))))</f>
        <v>Operating Loss</v>
      </c>
      <c r="E34" s="35"/>
      <c r="F34" s="14"/>
      <c r="G34" s="14"/>
      <c r="H34" s="14"/>
      <c r="I34" s="15"/>
      <c r="J34" s="66">
        <f>J20-J32</f>
        <v>-23263363</v>
      </c>
      <c r="K34" s="67"/>
      <c r="L34" s="66">
        <f>L20-L32</f>
        <v>-54446</v>
      </c>
      <c r="M34" s="66">
        <f>M20-M32</f>
        <v>-23317809</v>
      </c>
      <c r="N34" s="68"/>
    </row>
    <row r="35" spans="1:14">
      <c r="A35" s="12"/>
      <c r="B35" s="72"/>
      <c r="C35" s="14"/>
      <c r="D35" s="14"/>
      <c r="E35" s="14"/>
      <c r="F35" s="14"/>
      <c r="G35" s="14"/>
      <c r="H35" s="14"/>
      <c r="I35" s="15"/>
      <c r="J35" s="78"/>
      <c r="K35" s="78"/>
      <c r="L35" s="78"/>
      <c r="M35" s="78"/>
      <c r="N35" s="79"/>
    </row>
    <row r="36" spans="1:14">
      <c r="B36" s="72"/>
      <c r="C36" s="29" t="s">
        <v>56</v>
      </c>
      <c r="D36" s="35"/>
      <c r="E36" s="14"/>
      <c r="F36" s="14"/>
      <c r="G36" s="14"/>
      <c r="H36" s="14"/>
      <c r="I36" s="15"/>
      <c r="J36" s="16"/>
      <c r="K36" s="17"/>
      <c r="L36" s="16"/>
      <c r="M36" s="16"/>
      <c r="N36" s="18"/>
    </row>
    <row r="37" spans="1:14">
      <c r="A37" s="12" t="s">
        <v>57</v>
      </c>
      <c r="B37" s="72" t="s">
        <v>58</v>
      </c>
      <c r="C37" s="36" t="s">
        <v>59</v>
      </c>
      <c r="D37" s="35"/>
      <c r="E37" s="14"/>
      <c r="F37" s="14"/>
      <c r="G37" s="35"/>
      <c r="H37" s="14"/>
      <c r="I37" s="15"/>
      <c r="J37" s="80">
        <v>13386405.4</v>
      </c>
      <c r="K37" s="49"/>
      <c r="L37" s="80">
        <v>0</v>
      </c>
      <c r="M37" s="80">
        <f t="shared" ref="M37:M45" si="1">ROUND(L37,0)+ROUND(J37,0)</f>
        <v>13386405</v>
      </c>
      <c r="N37" s="81"/>
    </row>
    <row r="38" spans="1:14">
      <c r="A38" s="1" t="s">
        <v>60</v>
      </c>
      <c r="B38" s="72" t="s">
        <v>21</v>
      </c>
      <c r="C38" s="36" t="s">
        <v>61</v>
      </c>
      <c r="D38" s="35"/>
      <c r="E38" s="14"/>
      <c r="F38" s="14"/>
      <c r="G38" s="35"/>
      <c r="H38" s="14"/>
      <c r="I38" s="15"/>
      <c r="J38" s="80">
        <v>6354661.9000000004</v>
      </c>
      <c r="K38" s="49"/>
      <c r="L38" s="80">
        <v>0</v>
      </c>
      <c r="M38" s="80">
        <f t="shared" si="1"/>
        <v>6354662</v>
      </c>
      <c r="N38" s="81"/>
    </row>
    <row r="39" spans="1:14">
      <c r="A39" s="12" t="s">
        <v>62</v>
      </c>
      <c r="B39" s="72" t="s">
        <v>21</v>
      </c>
      <c r="C39" s="36" t="s">
        <v>63</v>
      </c>
      <c r="D39" s="35"/>
      <c r="E39" s="14"/>
      <c r="F39" s="14"/>
      <c r="G39" s="35"/>
      <c r="H39" s="14"/>
      <c r="I39" s="15"/>
      <c r="J39" s="80">
        <f>1262320.81+414102</f>
        <v>1676422.81</v>
      </c>
      <c r="K39" s="49"/>
      <c r="L39" s="80">
        <v>41540</v>
      </c>
      <c r="M39" s="80">
        <f t="shared" si="1"/>
        <v>1717963</v>
      </c>
      <c r="N39" s="81"/>
    </row>
    <row r="40" spans="1:14">
      <c r="A40" s="1" t="s">
        <v>64</v>
      </c>
      <c r="B40" s="72" t="s">
        <v>65</v>
      </c>
      <c r="C40" s="36" t="s">
        <v>66</v>
      </c>
      <c r="D40" s="35"/>
      <c r="E40" s="14"/>
      <c r="F40" s="14"/>
      <c r="G40" s="35"/>
      <c r="H40" s="14"/>
      <c r="I40" s="15"/>
      <c r="J40" s="80">
        <v>37538.660000000003</v>
      </c>
      <c r="K40" s="49"/>
      <c r="L40" s="80">
        <v>284925</v>
      </c>
      <c r="M40" s="80">
        <f t="shared" si="1"/>
        <v>322464</v>
      </c>
      <c r="N40" s="81"/>
    </row>
    <row r="41" spans="1:14">
      <c r="A41" s="12" t="s">
        <v>67</v>
      </c>
      <c r="B41" s="72" t="s">
        <v>65</v>
      </c>
      <c r="C41" s="36" t="str">
        <f>IF(J41&lt;0,IF(L41&gt;0,"Net Gain (Loss) on Investments","Net Loss on Investments"),IF(J41&gt;0,IF(L41&gt;=0,"Net Gain on Investments","Net Gain (Loss) on Investments"),IF(L41&lt;0,"Net Loss on Investments",IF(L41&gt;0,"Net Gain on Investments","Net Gain (Loss) on Investments"))))</f>
        <v>Net Gain on Investments</v>
      </c>
      <c r="D41" s="35"/>
      <c r="E41" s="14"/>
      <c r="F41" s="14"/>
      <c r="G41" s="35"/>
      <c r="H41" s="14"/>
      <c r="I41" s="15"/>
      <c r="J41" s="80">
        <v>0</v>
      </c>
      <c r="K41" s="49"/>
      <c r="L41" s="80">
        <v>891758</v>
      </c>
      <c r="M41" s="80">
        <f t="shared" si="1"/>
        <v>891758</v>
      </c>
      <c r="N41" s="81"/>
    </row>
    <row r="42" spans="1:14">
      <c r="A42" s="1" t="s">
        <v>68</v>
      </c>
      <c r="B42" s="72" t="s">
        <v>32</v>
      </c>
      <c r="C42" s="36" t="s">
        <v>69</v>
      </c>
      <c r="D42" s="35"/>
      <c r="E42" s="14"/>
      <c r="F42" s="14"/>
      <c r="G42" s="35"/>
      <c r="H42" s="14"/>
      <c r="I42" s="15"/>
      <c r="J42" s="80">
        <v>15518.03</v>
      </c>
      <c r="K42" s="49"/>
      <c r="L42" s="80">
        <v>0</v>
      </c>
      <c r="M42" s="80">
        <f t="shared" si="1"/>
        <v>15518</v>
      </c>
      <c r="N42" s="81"/>
    </row>
    <row r="43" spans="1:14">
      <c r="A43" s="12" t="s">
        <v>70</v>
      </c>
      <c r="B43" s="72" t="s">
        <v>71</v>
      </c>
      <c r="C43" s="36" t="str">
        <f>IF(J43&lt;0,IF(L43&gt;0,"Gain (Loss) on Disposal of Capital Assets","Loss on Disposal of Capital Assets"),IF(J43&gt;0,IF(L43&gt;=0,"Gain on Disposal of Capital Assets","Gain (Loss) on Disposal of Capital Assets"),IF(L43&lt;0,"Loss on Disposal of Capital Assets",IF(L43&gt;0,"Gain on Disposal of Capital Assets","Gain (Loss) on Disposal of Capital Assets"))))</f>
        <v>Gain (Loss) on Disposal of Capital Assets</v>
      </c>
      <c r="D43" s="35"/>
      <c r="E43" s="14"/>
      <c r="F43" s="14"/>
      <c r="G43" s="35"/>
      <c r="H43" s="14"/>
      <c r="I43" s="15"/>
      <c r="J43" s="80">
        <v>0</v>
      </c>
      <c r="K43" s="49"/>
      <c r="L43" s="80">
        <v>0</v>
      </c>
      <c r="M43" s="80">
        <f t="shared" si="1"/>
        <v>0</v>
      </c>
      <c r="N43" s="81"/>
    </row>
    <row r="44" spans="1:14">
      <c r="A44" s="1" t="s">
        <v>72</v>
      </c>
      <c r="B44" s="72" t="s">
        <v>39</v>
      </c>
      <c r="C44" s="36" t="s">
        <v>73</v>
      </c>
      <c r="D44" s="35"/>
      <c r="E44" s="35"/>
      <c r="F44" s="35"/>
      <c r="G44" s="35"/>
      <c r="H44" s="35"/>
      <c r="I44" s="35"/>
      <c r="J44" s="80">
        <v>-6000</v>
      </c>
      <c r="K44" s="49"/>
      <c r="L44" s="80">
        <v>-24297</v>
      </c>
      <c r="M44" s="80">
        <f t="shared" si="1"/>
        <v>-30297</v>
      </c>
      <c r="N44" s="81"/>
    </row>
    <row r="45" spans="1:14">
      <c r="A45" s="12" t="s">
        <v>74</v>
      </c>
      <c r="B45" s="72" t="s">
        <v>39</v>
      </c>
      <c r="C45" s="36" t="s">
        <v>75</v>
      </c>
      <c r="D45" s="35"/>
      <c r="E45" s="14"/>
      <c r="F45" s="14"/>
      <c r="G45" s="35"/>
      <c r="H45" s="14"/>
      <c r="I45" s="15"/>
      <c r="J45" s="82">
        <v>0</v>
      </c>
      <c r="K45" s="49"/>
      <c r="L45" s="82">
        <v>0</v>
      </c>
      <c r="M45" s="82">
        <f t="shared" si="1"/>
        <v>0</v>
      </c>
      <c r="N45" s="81"/>
    </row>
    <row r="46" spans="1:14">
      <c r="B46" s="72"/>
      <c r="C46" s="35"/>
      <c r="D46" s="35"/>
      <c r="E46" s="35"/>
      <c r="F46" s="35"/>
      <c r="G46" s="35"/>
      <c r="H46" s="35"/>
      <c r="I46" s="35"/>
      <c r="J46" s="83"/>
      <c r="K46" s="84"/>
      <c r="L46" s="83"/>
      <c r="M46" s="83"/>
      <c r="N46" s="85"/>
    </row>
    <row r="47" spans="1:14">
      <c r="A47" s="52" t="s">
        <v>76</v>
      </c>
      <c r="B47" s="53"/>
      <c r="C47" s="29" t="s">
        <v>77</v>
      </c>
      <c r="D47" s="35"/>
      <c r="E47" s="14"/>
      <c r="F47" s="14"/>
      <c r="G47" s="14"/>
      <c r="H47" s="14"/>
      <c r="I47" s="15"/>
      <c r="J47" s="66">
        <f t="array" ref="J47">SUM(ROUND(J37:J45,0))</f>
        <v>21464547</v>
      </c>
      <c r="K47" s="59"/>
      <c r="L47" s="66">
        <f t="array" ref="L47">SUM(ROUND(L37:L45,0))</f>
        <v>1193926</v>
      </c>
      <c r="M47" s="66">
        <f t="array" ref="M47">SUM(ROUND(M37:M45,0))</f>
        <v>22658473</v>
      </c>
      <c r="N47" s="68"/>
    </row>
    <row r="48" spans="1:14">
      <c r="A48" s="52"/>
      <c r="B48" s="53"/>
      <c r="C48" s="86"/>
      <c r="D48" s="87"/>
      <c r="E48" s="15"/>
      <c r="F48" s="15"/>
      <c r="G48" s="15"/>
      <c r="H48" s="15"/>
      <c r="I48" s="15"/>
      <c r="J48" s="59"/>
      <c r="K48" s="59"/>
      <c r="L48" s="59"/>
      <c r="M48" s="59"/>
      <c r="N48" s="77"/>
    </row>
    <row r="49" spans="1:14">
      <c r="A49" s="52"/>
      <c r="B49" s="53"/>
      <c r="C49" s="65" t="str">
        <f>IF(J50&lt;0,IF(L50&gt;0,"Income (Loss) Before Other Revenues,","Loss Before Other Revenues,"),IF(J50&gt;0,IF(L50&gt;=0,"Income Before Other Revenues,","Income (Loss) Before Other Revenues,"),IF(L59&lt;0,"Loss Before Other Revenues,",IF(L59&gt;0,"Income Before Other Revenues,","Income (Loss) Before Other Revenues,"))))</f>
        <v>Income (Loss) Before Other Revenues,</v>
      </c>
      <c r="D49" s="35"/>
      <c r="E49" s="35"/>
      <c r="F49" s="14"/>
      <c r="G49" s="14"/>
      <c r="H49" s="14"/>
      <c r="I49" s="15"/>
      <c r="J49" s="35"/>
      <c r="K49" s="35"/>
      <c r="L49" s="35"/>
      <c r="M49" s="35"/>
      <c r="N49" s="37"/>
    </row>
    <row r="50" spans="1:14">
      <c r="A50" s="52"/>
      <c r="B50" s="53"/>
      <c r="C50" s="14"/>
      <c r="D50" s="29" t="s">
        <v>78</v>
      </c>
      <c r="E50" s="14"/>
      <c r="F50" s="14"/>
      <c r="G50" s="14"/>
      <c r="H50" s="14"/>
      <c r="I50" s="15"/>
      <c r="J50" s="66">
        <f>J34+J47</f>
        <v>-1798816</v>
      </c>
      <c r="K50" s="59"/>
      <c r="L50" s="66">
        <f>L34+L47</f>
        <v>1139480</v>
      </c>
      <c r="M50" s="66">
        <f>M34+M47</f>
        <v>-659336</v>
      </c>
      <c r="N50" s="68"/>
    </row>
    <row r="51" spans="1:14">
      <c r="A51" s="52"/>
      <c r="B51" s="53"/>
      <c r="C51" s="14"/>
      <c r="D51" s="29"/>
      <c r="E51" s="14"/>
      <c r="F51" s="14"/>
      <c r="G51" s="14"/>
      <c r="H51" s="14"/>
      <c r="I51" s="15"/>
      <c r="J51" s="17"/>
      <c r="K51" s="17"/>
      <c r="L51" s="17"/>
      <c r="M51" s="17"/>
      <c r="N51" s="18"/>
    </row>
    <row r="52" spans="1:14">
      <c r="A52" s="52" t="s">
        <v>79</v>
      </c>
      <c r="B52" s="53" t="s">
        <v>58</v>
      </c>
      <c r="C52" s="36" t="s">
        <v>80</v>
      </c>
      <c r="D52" s="35"/>
      <c r="E52" s="14"/>
      <c r="F52" s="14"/>
      <c r="G52" s="14"/>
      <c r="H52" s="35"/>
      <c r="I52" s="15"/>
      <c r="J52" s="80">
        <v>3252873.82</v>
      </c>
      <c r="K52" s="49"/>
      <c r="L52" s="80">
        <v>0</v>
      </c>
      <c r="M52" s="80">
        <f>ROUND(L52,0)+ROUND(J52,0)</f>
        <v>3252874</v>
      </c>
      <c r="N52" s="81"/>
    </row>
    <row r="53" spans="1:14">
      <c r="A53" s="52" t="s">
        <v>81</v>
      </c>
      <c r="B53" s="53" t="s">
        <v>82</v>
      </c>
      <c r="C53" s="36" t="s">
        <v>83</v>
      </c>
      <c r="D53" s="35"/>
      <c r="E53" s="14"/>
      <c r="F53" s="14"/>
      <c r="G53" s="14"/>
      <c r="H53" s="35"/>
      <c r="I53" s="15"/>
      <c r="J53" s="50">
        <v>981143.98</v>
      </c>
      <c r="K53" s="230"/>
      <c r="L53" s="50">
        <v>0</v>
      </c>
      <c r="M53" s="50">
        <f>ROUND(L53,0)+ROUND(J53,0)</f>
        <v>981144</v>
      </c>
      <c r="N53" s="51"/>
    </row>
    <row r="54" spans="1:14">
      <c r="A54" s="52" t="s">
        <v>84</v>
      </c>
      <c r="B54" s="53" t="s">
        <v>85</v>
      </c>
      <c r="C54" s="14" t="s">
        <v>86</v>
      </c>
      <c r="D54" s="35"/>
      <c r="E54" s="14"/>
      <c r="F54" s="14"/>
      <c r="G54" s="14"/>
      <c r="H54" s="35"/>
      <c r="I54" s="15"/>
      <c r="J54" s="89">
        <v>0</v>
      </c>
      <c r="K54" s="230"/>
      <c r="L54" s="89">
        <v>0</v>
      </c>
      <c r="M54" s="89">
        <f>ROUND(L54,0)+ROUND(J54,0)</f>
        <v>0</v>
      </c>
      <c r="N54" s="51"/>
    </row>
    <row r="55" spans="1:14">
      <c r="A55" s="52" t="s">
        <v>87</v>
      </c>
      <c r="B55" s="53" t="s">
        <v>85</v>
      </c>
      <c r="C55" s="76" t="str">
        <f>IF(J55&lt;0,IF(L55&gt;0,"Other Revenues (Expenses)","Other Expenses"),IF(J55&gt;0,IF(L55&gt;=0,"Other Revenues","Other Revenues (Expenses)"),IF(L55&lt;0,"Other Expenses",IF(L55&gt;0,"Other Revenues","Other Revenues (Expenses)"))))</f>
        <v>Other Revenues (Expenses)</v>
      </c>
      <c r="D55" s="35"/>
      <c r="E55" s="14"/>
      <c r="F55" s="14"/>
      <c r="G55" s="14"/>
      <c r="H55" s="35"/>
      <c r="I55" s="15"/>
      <c r="J55" s="58">
        <v>0</v>
      </c>
      <c r="K55" s="230"/>
      <c r="L55" s="58">
        <v>0</v>
      </c>
      <c r="M55" s="58">
        <f>ROUND(L55,0)+ROUND(J55,0)</f>
        <v>0</v>
      </c>
      <c r="N55" s="51"/>
    </row>
    <row r="56" spans="1:14">
      <c r="A56" s="52"/>
      <c r="B56" s="53"/>
      <c r="C56" s="35"/>
      <c r="D56" s="35"/>
      <c r="E56" s="14"/>
      <c r="F56" s="14"/>
      <c r="G56" s="14"/>
      <c r="H56" s="14"/>
      <c r="I56" s="15"/>
      <c r="J56" s="83"/>
      <c r="K56" s="84"/>
      <c r="L56" s="83"/>
      <c r="M56" s="83"/>
      <c r="N56" s="85"/>
    </row>
    <row r="57" spans="1:14">
      <c r="A57" s="70" t="s">
        <v>88</v>
      </c>
      <c r="B57" s="53"/>
      <c r="C57" s="29" t="s">
        <v>89</v>
      </c>
      <c r="D57" s="35"/>
      <c r="E57" s="35"/>
      <c r="F57" s="14"/>
      <c r="G57" s="14"/>
      <c r="H57" s="14"/>
      <c r="I57" s="15"/>
      <c r="J57" s="90">
        <f t="array" ref="J57">SUM(ROUND(J52:J55,0))</f>
        <v>4234018</v>
      </c>
      <c r="K57" s="59"/>
      <c r="L57" s="90">
        <f t="array" ref="L57">SUM(ROUND(L52:L55,0))</f>
        <v>0</v>
      </c>
      <c r="M57" s="90">
        <f t="array" ref="M57">SUM(ROUND(M52:M55,0))</f>
        <v>4234018</v>
      </c>
      <c r="N57" s="91"/>
    </row>
    <row r="58" spans="1:14">
      <c r="A58" s="52"/>
      <c r="B58" s="53"/>
      <c r="C58" s="29"/>
      <c r="D58" s="35"/>
      <c r="E58" s="35"/>
      <c r="F58" s="14"/>
      <c r="G58" s="14"/>
      <c r="H58" s="14"/>
      <c r="I58" s="15"/>
      <c r="J58" s="59"/>
      <c r="K58" s="59"/>
      <c r="L58" s="59"/>
      <c r="M58" s="59"/>
      <c r="N58" s="77"/>
    </row>
    <row r="59" spans="1:14">
      <c r="A59" s="70"/>
      <c r="B59" s="53"/>
      <c r="C59" s="65" t="str">
        <f>IF(J59&lt;0,IF(L59&gt;0,"Increase (Decrease) in Net Position","Decrease in Net Position"),IF(J59&gt;0,IF(L59&gt;=0,"Increase in Net Position","Increase (Decrease) in Net Position"),IF(L59&lt;0,"Decrease in Net Position",IF(L59&gt;0,"Increase in Net Position","Increase (Decrease) in Net Position"))))</f>
        <v>Increase in Net Position</v>
      </c>
      <c r="D59" s="35"/>
      <c r="E59" s="35"/>
      <c r="F59" s="14"/>
      <c r="G59" s="14"/>
      <c r="H59" s="14"/>
      <c r="I59" s="15"/>
      <c r="J59" s="90">
        <f>J50+J57</f>
        <v>2435202</v>
      </c>
      <c r="K59" s="92"/>
      <c r="L59" s="90">
        <f>L50+L57</f>
        <v>1139480</v>
      </c>
      <c r="M59" s="90">
        <f>M50+M57</f>
        <v>3574682</v>
      </c>
      <c r="N59" s="91"/>
    </row>
    <row r="60" spans="1:14">
      <c r="A60" s="52"/>
      <c r="B60" s="53"/>
      <c r="C60" s="93"/>
      <c r="D60" s="35"/>
      <c r="E60" s="35"/>
      <c r="F60" s="14"/>
      <c r="G60" s="14"/>
      <c r="H60" s="14"/>
      <c r="I60" s="15"/>
      <c r="J60" s="94"/>
      <c r="K60" s="94"/>
      <c r="L60" s="94"/>
      <c r="M60" s="94"/>
      <c r="N60" s="95"/>
    </row>
    <row r="61" spans="1:14">
      <c r="A61" s="52" t="s">
        <v>90</v>
      </c>
      <c r="B61" s="53"/>
      <c r="C61" s="14" t="s">
        <v>91</v>
      </c>
      <c r="D61" s="35"/>
      <c r="E61" s="14"/>
      <c r="F61" s="14"/>
      <c r="G61" s="14"/>
      <c r="H61" s="14"/>
      <c r="I61" s="15"/>
      <c r="J61" s="96">
        <f>VLOOKUP($C$1,[17]VLOOKUPS!A44:D71,2,FALSE)</f>
        <v>64614715</v>
      </c>
      <c r="K61" s="49"/>
      <c r="L61" s="96">
        <f>VLOOKUP($C$1,[17]VLOOKUPS!A44:D71,3,FALSE)</f>
        <v>14967295</v>
      </c>
      <c r="M61" s="89">
        <f>ROUND(L61,0)+ROUND(J61,0)</f>
        <v>79582010</v>
      </c>
      <c r="N61" s="97"/>
    </row>
    <row r="62" spans="1:14">
      <c r="A62" s="52" t="s">
        <v>92</v>
      </c>
      <c r="B62" s="53" t="s">
        <v>93</v>
      </c>
      <c r="C62" s="14" t="s">
        <v>94</v>
      </c>
      <c r="D62" s="35"/>
      <c r="E62" s="14"/>
      <c r="F62" s="14"/>
      <c r="G62" s="14"/>
      <c r="H62" s="14"/>
      <c r="I62" s="15"/>
      <c r="J62" s="82">
        <v>-6181968</v>
      </c>
      <c r="K62" s="49"/>
      <c r="L62" s="82">
        <v>0</v>
      </c>
      <c r="M62" s="82">
        <f>ROUND(L62,0)+ROUND(J62,0)</f>
        <v>-6181968</v>
      </c>
      <c r="N62" s="81"/>
    </row>
    <row r="63" spans="1:14">
      <c r="A63" s="52"/>
      <c r="B63" s="53"/>
      <c r="C63" s="36"/>
      <c r="D63" s="36"/>
      <c r="E63" s="36"/>
      <c r="F63" s="36"/>
      <c r="G63" s="36"/>
      <c r="H63" s="98"/>
      <c r="I63" s="36"/>
      <c r="J63" s="92"/>
      <c r="K63" s="99"/>
      <c r="L63" s="99"/>
      <c r="M63" s="99"/>
      <c r="N63" s="100"/>
    </row>
    <row r="64" spans="1:14">
      <c r="A64" s="70"/>
      <c r="B64" s="53"/>
      <c r="C64" s="101" t="s">
        <v>95</v>
      </c>
      <c r="D64" s="36"/>
      <c r="E64" s="36"/>
      <c r="F64" s="36"/>
      <c r="G64" s="36"/>
      <c r="H64" s="60"/>
      <c r="I64" s="60"/>
      <c r="J64" s="90">
        <f t="array" ref="J64">SUM(ROUND(J61:J62,0))</f>
        <v>58432747</v>
      </c>
      <c r="K64" s="92"/>
      <c r="L64" s="90">
        <f t="array" ref="L64">SUM(ROUND(L61:L62,0))</f>
        <v>14967295</v>
      </c>
      <c r="M64" s="90">
        <f t="array" ref="M64">SUM(ROUND(M61:M62,0))</f>
        <v>73400042</v>
      </c>
      <c r="N64" s="91"/>
    </row>
    <row r="65" spans="1:14">
      <c r="A65" s="52"/>
      <c r="B65" s="53"/>
      <c r="C65" s="36"/>
      <c r="D65" s="36"/>
      <c r="E65" s="36"/>
      <c r="F65" s="36"/>
      <c r="G65" s="36"/>
      <c r="H65" s="102"/>
      <c r="I65" s="36"/>
      <c r="J65" s="102"/>
      <c r="K65" s="60"/>
      <c r="L65" s="60"/>
      <c r="M65" s="60"/>
      <c r="N65" s="61"/>
    </row>
    <row r="66" spans="1:14" ht="13.5" thickBot="1">
      <c r="A66" s="52"/>
      <c r="B66" s="53"/>
      <c r="C66" s="29" t="s">
        <v>96</v>
      </c>
      <c r="D66" s="35"/>
      <c r="E66" s="14"/>
      <c r="F66" s="14"/>
      <c r="G66" s="14"/>
      <c r="H66" s="14"/>
      <c r="I66" s="103"/>
      <c r="J66" s="104">
        <f>J59+J64</f>
        <v>60867949</v>
      </c>
      <c r="K66" s="105"/>
      <c r="L66" s="104">
        <f>L59+L64</f>
        <v>16106775</v>
      </c>
      <c r="M66" s="104">
        <f>M59+M64</f>
        <v>76974724</v>
      </c>
      <c r="N66" s="46"/>
    </row>
    <row r="67" spans="1:14" ht="13.5" thickTop="1">
      <c r="A67" s="70"/>
      <c r="B67" s="53"/>
      <c r="C67" s="14"/>
      <c r="D67" s="14"/>
      <c r="E67" s="14"/>
      <c r="F67" s="14"/>
      <c r="G67" s="14"/>
      <c r="H67" s="14"/>
      <c r="I67" s="15"/>
      <c r="J67" s="107"/>
      <c r="K67" s="15"/>
      <c r="L67" s="107"/>
      <c r="M67" s="107"/>
      <c r="N67" s="108"/>
    </row>
    <row r="68" spans="1:14">
      <c r="A68" s="52"/>
      <c r="B68" s="53"/>
      <c r="C68" s="35" t="s">
        <v>97</v>
      </c>
      <c r="D68" s="35"/>
      <c r="E68" s="35"/>
      <c r="F68" s="35"/>
      <c r="G68" s="35"/>
      <c r="H68" s="35"/>
      <c r="I68" s="87"/>
      <c r="J68" s="35"/>
      <c r="K68" s="87"/>
      <c r="L68" s="35"/>
      <c r="M68" s="35"/>
      <c r="N68" s="37"/>
    </row>
    <row r="69" spans="1:14">
      <c r="B69" s="72"/>
      <c r="I69" s="6"/>
      <c r="J69" s="109">
        <f>J66-[17]SNP!K119</f>
        <v>0</v>
      </c>
      <c r="K69" s="110"/>
      <c r="L69" s="111">
        <f>L66-[17]SNP!M119</f>
        <v>0</v>
      </c>
      <c r="M69" s="111">
        <f>M66-[17]SNP!N119</f>
        <v>0</v>
      </c>
      <c r="N69" s="112"/>
    </row>
    <row r="70" spans="1:14">
      <c r="B70" s="72"/>
      <c r="I70" s="113" t="s">
        <v>98</v>
      </c>
      <c r="J70" s="114"/>
      <c r="K70" s="115"/>
      <c r="L70" s="114"/>
      <c r="M70" s="114"/>
      <c r="N70" s="114"/>
    </row>
  </sheetData>
  <sheetProtection formatColumns="0" formatRows="0"/>
  <conditionalFormatting sqref="J69 L69">
    <cfRule type="cellIs" dxfId="239" priority="14" operator="notEqual">
      <formula>0</formula>
    </cfRule>
    <cfRule type="cellIs" dxfId="238" priority="15" operator="equal">
      <formula>0</formula>
    </cfRule>
  </conditionalFormatting>
  <conditionalFormatting sqref="J11:J15 F11:G11 L24:L30 L37:L45 J37:J45 L62 J62 L17:L18 J25:J29 J17:J18 F17:G17 L11:L15 L52:L55 J52:J55">
    <cfRule type="containsBlanks" dxfId="237" priority="12">
      <formula>LEN(TRIM(F11))=0</formula>
    </cfRule>
    <cfRule type="cellIs" dxfId="236" priority="13" operator="notEqual">
      <formula>0</formula>
    </cfRule>
  </conditionalFormatting>
  <conditionalFormatting sqref="J11">
    <cfRule type="cellIs" dxfId="235" priority="11" operator="notEqual">
      <formula>J20</formula>
    </cfRule>
  </conditionalFormatting>
  <conditionalFormatting sqref="L11">
    <cfRule type="cellIs" dxfId="234" priority="10" operator="notEqual">
      <formula>L20</formula>
    </cfRule>
  </conditionalFormatting>
  <conditionalFormatting sqref="M69">
    <cfRule type="cellIs" dxfId="233" priority="8" operator="notEqual">
      <formula>0</formula>
    </cfRule>
    <cfRule type="cellIs" dxfId="232" priority="9" operator="equal">
      <formula>0</formula>
    </cfRule>
  </conditionalFormatting>
  <conditionalFormatting sqref="M24:M30 M37:M45 M62 M17:M18 M11:M15 M52:M55">
    <cfRule type="containsBlanks" dxfId="231" priority="6">
      <formula>LEN(TRIM(M11))=0</formula>
    </cfRule>
    <cfRule type="cellIs" dxfId="230" priority="7" operator="notEqual">
      <formula>0</formula>
    </cfRule>
  </conditionalFormatting>
  <conditionalFormatting sqref="M11">
    <cfRule type="cellIs" dxfId="229" priority="5" operator="notEqual">
      <formula>M20</formula>
    </cfRule>
  </conditionalFormatting>
  <conditionalFormatting sqref="J24">
    <cfRule type="containsBlanks" dxfId="228" priority="3">
      <formula>LEN(TRIM(J24))=0</formula>
    </cfRule>
    <cfRule type="cellIs" dxfId="227" priority="4" operator="notEqual">
      <formula>0</formula>
    </cfRule>
  </conditionalFormatting>
  <conditionalFormatting sqref="M61">
    <cfRule type="containsBlanks" dxfId="226" priority="1">
      <formula>LEN(TRIM(M61))=0</formula>
    </cfRule>
    <cfRule type="cellIs" dxfId="225" priority="2" operator="notEqual">
      <formula>0</formula>
    </cfRule>
  </conditionalFormatting>
  <printOptions horizontalCentered="1"/>
  <pageMargins left="0.7" right="0.7" top="0.75" bottom="0.75" header="0.5" footer="0.5"/>
  <pageSetup scale="53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  <pageSetUpPr fitToPage="1"/>
  </sheetPr>
  <dimension ref="A1:R70"/>
  <sheetViews>
    <sheetView zoomScale="90" zoomScaleNormal="90" zoomScaleSheetLayoutView="70" workbookViewId="0"/>
  </sheetViews>
  <sheetFormatPr defaultColWidth="11.140625" defaultRowHeight="12.75"/>
  <cols>
    <col min="1" max="6" width="11.140625" style="6"/>
    <col min="7" max="7" width="11.140625" style="11"/>
    <col min="8" max="8" width="15.42578125" style="6" customWidth="1"/>
    <col min="9" max="9" width="11.140625" style="11"/>
    <col min="10" max="10" width="13.42578125" style="6" customWidth="1"/>
    <col min="11" max="11" width="16.7109375" style="6" customWidth="1"/>
    <col min="12" max="12" width="11.140625" style="6"/>
    <col min="13" max="13" width="11.140625" style="10"/>
    <col min="14" max="18" width="11.140625" style="5"/>
    <col min="19" max="16384" width="11.140625" style="6"/>
  </cols>
  <sheetData>
    <row r="1" spans="1:12">
      <c r="A1" s="260" t="str">
        <f>'[18]Contact Information'!$C$5</f>
        <v>STATE COLLEGE OF FLORIDA, MANATEE-SARASOTA</v>
      </c>
      <c r="B1" s="260"/>
      <c r="C1" s="260"/>
      <c r="D1" s="260"/>
      <c r="E1" s="260"/>
      <c r="F1" s="260"/>
      <c r="G1" s="260"/>
      <c r="H1" s="260"/>
      <c r="I1" s="260"/>
      <c r="J1" s="260"/>
      <c r="K1" s="247"/>
      <c r="L1" s="3"/>
    </row>
    <row r="2" spans="1:12">
      <c r="A2" s="256" t="s">
        <v>0</v>
      </c>
      <c r="B2" s="256"/>
      <c r="C2" s="256"/>
      <c r="D2" s="256"/>
      <c r="E2" s="256"/>
      <c r="F2" s="256"/>
      <c r="G2" s="256"/>
      <c r="H2" s="256"/>
      <c r="I2" s="256"/>
      <c r="J2" s="256"/>
      <c r="K2" s="245"/>
      <c r="L2" s="7"/>
    </row>
    <row r="3" spans="1:12">
      <c r="A3" s="86" t="s">
        <v>1</v>
      </c>
      <c r="B3" s="86"/>
      <c r="C3" s="86"/>
      <c r="D3" s="86"/>
      <c r="E3" s="86"/>
      <c r="F3" s="86"/>
      <c r="G3" s="86"/>
      <c r="H3" s="86"/>
      <c r="I3" s="86"/>
      <c r="J3" s="86"/>
      <c r="K3" s="248"/>
      <c r="L3" s="9" t="s">
        <v>2</v>
      </c>
    </row>
    <row r="4" spans="1:12">
      <c r="A4" s="261" t="s">
        <v>297</v>
      </c>
      <c r="B4" s="261"/>
      <c r="C4" s="261"/>
      <c r="D4" s="261"/>
      <c r="E4" s="261"/>
      <c r="F4" s="261"/>
      <c r="G4" s="261"/>
      <c r="H4" s="261"/>
      <c r="I4" s="261"/>
      <c r="J4" s="261"/>
      <c r="K4" s="249"/>
      <c r="L4" s="11" t="str">
        <f>'[18]Contact Information'!$C$3</f>
        <v>2015.v02</v>
      </c>
    </row>
    <row r="5" spans="1:12">
      <c r="A5" s="14"/>
      <c r="B5" s="14"/>
      <c r="C5" s="14"/>
      <c r="D5" s="14"/>
      <c r="E5" s="14"/>
      <c r="F5" s="14"/>
      <c r="G5" s="15"/>
      <c r="H5" s="16"/>
      <c r="I5" s="17"/>
      <c r="J5" s="16"/>
      <c r="K5" s="16"/>
      <c r="L5" s="18"/>
    </row>
    <row r="6" spans="1:12">
      <c r="A6" s="14"/>
      <c r="B6" s="14"/>
      <c r="C6" s="14"/>
      <c r="D6" s="14"/>
      <c r="E6" s="14"/>
      <c r="F6" s="14"/>
      <c r="G6" s="15"/>
      <c r="H6" s="249" t="s">
        <v>5</v>
      </c>
      <c r="I6" s="21"/>
      <c r="J6" s="22" t="s">
        <v>6</v>
      </c>
      <c r="K6" s="22" t="s">
        <v>7</v>
      </c>
      <c r="L6" s="23"/>
    </row>
    <row r="7" spans="1:12">
      <c r="A7" s="14"/>
      <c r="B7" s="14"/>
      <c r="C7" s="14"/>
      <c r="D7" s="14"/>
      <c r="E7" s="14"/>
      <c r="F7" s="14"/>
      <c r="G7" s="15"/>
      <c r="H7" s="24"/>
      <c r="I7" s="25"/>
      <c r="J7" s="26" t="str">
        <f>[18]SNP!$M$9</f>
        <v>Unit</v>
      </c>
      <c r="K7" s="26"/>
      <c r="L7" s="27"/>
    </row>
    <row r="8" spans="1:12">
      <c r="A8" s="29" t="s">
        <v>9</v>
      </c>
      <c r="B8" s="14"/>
      <c r="C8" s="14"/>
      <c r="D8" s="14"/>
      <c r="E8" s="14"/>
      <c r="F8" s="14"/>
      <c r="G8" s="15"/>
      <c r="H8" s="25"/>
      <c r="I8" s="25"/>
      <c r="J8" s="25"/>
      <c r="K8" s="25"/>
      <c r="L8" s="30"/>
    </row>
    <row r="9" spans="1:12">
      <c r="A9" s="14" t="s">
        <v>12</v>
      </c>
      <c r="B9" s="14"/>
      <c r="C9" s="14"/>
      <c r="D9" s="14"/>
      <c r="E9" s="14"/>
      <c r="F9" s="14"/>
      <c r="G9" s="15"/>
      <c r="H9" s="17"/>
      <c r="I9" s="17"/>
      <c r="J9" s="17"/>
      <c r="K9" s="17"/>
      <c r="L9" s="18"/>
    </row>
    <row r="10" spans="1:12">
      <c r="A10" s="35"/>
      <c r="B10" s="36" t="s">
        <v>14</v>
      </c>
      <c r="C10" s="14"/>
      <c r="D10" s="14"/>
      <c r="E10" s="14"/>
      <c r="F10" s="14"/>
      <c r="G10" s="35"/>
      <c r="H10" s="35"/>
      <c r="I10" s="17"/>
      <c r="J10" s="35"/>
      <c r="K10" s="35"/>
      <c r="L10" s="37"/>
    </row>
    <row r="11" spans="1:12">
      <c r="A11" s="35"/>
      <c r="B11" s="44" t="s">
        <v>19</v>
      </c>
      <c r="C11" s="35"/>
      <c r="D11" s="263">
        <v>6472986</v>
      </c>
      <c r="E11" s="263"/>
      <c r="F11" s="45"/>
      <c r="G11" s="36"/>
      <c r="H11" s="228">
        <v>19026471</v>
      </c>
      <c r="I11" s="229"/>
      <c r="J11" s="228">
        <v>0</v>
      </c>
      <c r="K11" s="228">
        <f>ROUND(J11,0)+ROUND(H11,0)</f>
        <v>19026471</v>
      </c>
      <c r="L11" s="46"/>
    </row>
    <row r="12" spans="1:12">
      <c r="A12" s="35"/>
      <c r="B12" s="36" t="s">
        <v>22</v>
      </c>
      <c r="C12" s="14"/>
      <c r="D12" s="48"/>
      <c r="E12" s="49"/>
      <c r="F12" s="15"/>
      <c r="G12" s="35"/>
      <c r="H12" s="50">
        <v>684219</v>
      </c>
      <c r="I12" s="230"/>
      <c r="J12" s="50">
        <v>0</v>
      </c>
      <c r="K12" s="50">
        <f>ROUND(J12,0)+ROUND(H12,0)</f>
        <v>684219</v>
      </c>
      <c r="L12" s="51"/>
    </row>
    <row r="13" spans="1:12">
      <c r="A13" s="35"/>
      <c r="B13" s="36" t="s">
        <v>24</v>
      </c>
      <c r="C13" s="14"/>
      <c r="D13" s="48"/>
      <c r="E13" s="48"/>
      <c r="F13" s="14"/>
      <c r="G13" s="35"/>
      <c r="H13" s="50">
        <v>731615</v>
      </c>
      <c r="I13" s="230"/>
      <c r="J13" s="50">
        <v>35517</v>
      </c>
      <c r="K13" s="50">
        <f>ROUND(J13,0)+ROUND(H13,0)</f>
        <v>767132</v>
      </c>
      <c r="L13" s="51"/>
    </row>
    <row r="14" spans="1:12">
      <c r="A14" s="35"/>
      <c r="B14" s="36" t="s">
        <v>26</v>
      </c>
      <c r="C14" s="14"/>
      <c r="D14" s="48"/>
      <c r="E14" s="48"/>
      <c r="F14" s="14"/>
      <c r="G14" s="35"/>
      <c r="H14" s="50">
        <v>791794</v>
      </c>
      <c r="I14" s="230"/>
      <c r="J14" s="50">
        <v>1502475</v>
      </c>
      <c r="K14" s="50">
        <f>ROUND(J14,0)+ROUND(H14,0)</f>
        <v>2294269</v>
      </c>
      <c r="L14" s="51"/>
    </row>
    <row r="15" spans="1:12">
      <c r="A15" s="35"/>
      <c r="B15" s="36" t="s">
        <v>28</v>
      </c>
      <c r="C15" s="14"/>
      <c r="D15" s="48"/>
      <c r="E15" s="48"/>
      <c r="F15" s="35"/>
      <c r="G15" s="35"/>
      <c r="H15" s="50">
        <v>53096</v>
      </c>
      <c r="I15" s="230"/>
      <c r="J15" s="50">
        <v>0</v>
      </c>
      <c r="K15" s="50">
        <f>ROUND(J15,0)+ROUND(H15,0)</f>
        <v>53096</v>
      </c>
      <c r="L15" s="51"/>
    </row>
    <row r="16" spans="1:12">
      <c r="A16" s="35"/>
      <c r="B16" s="36" t="s">
        <v>29</v>
      </c>
      <c r="C16" s="14"/>
      <c r="D16" s="54"/>
      <c r="E16" s="49"/>
      <c r="F16" s="55"/>
      <c r="G16" s="35"/>
      <c r="H16" s="35"/>
      <c r="I16" s="230"/>
      <c r="J16" s="35"/>
      <c r="K16" s="35"/>
      <c r="L16" s="37"/>
    </row>
    <row r="17" spans="1:12">
      <c r="A17" s="35"/>
      <c r="B17" s="44" t="s">
        <v>19</v>
      </c>
      <c r="C17" s="35"/>
      <c r="D17" s="263">
        <v>0</v>
      </c>
      <c r="E17" s="263"/>
      <c r="F17" s="55"/>
      <c r="G17" s="35"/>
      <c r="H17" s="50">
        <v>1328275</v>
      </c>
      <c r="I17" s="230"/>
      <c r="J17" s="50">
        <v>0</v>
      </c>
      <c r="K17" s="50">
        <f>ROUND(J17,0)+ROUND(H17,0)</f>
        <v>1328275</v>
      </c>
      <c r="L17" s="51"/>
    </row>
    <row r="18" spans="1:12">
      <c r="A18" s="35"/>
      <c r="B18" s="57" t="s">
        <v>33</v>
      </c>
      <c r="C18" s="14"/>
      <c r="D18" s="14"/>
      <c r="E18" s="14"/>
      <c r="F18" s="14"/>
      <c r="G18" s="36"/>
      <c r="H18" s="58">
        <v>573007</v>
      </c>
      <c r="I18" s="230"/>
      <c r="J18" s="58">
        <v>375614</v>
      </c>
      <c r="K18" s="58">
        <f>ROUND(J18,0)+ROUND(H18,0)</f>
        <v>948621</v>
      </c>
      <c r="L18" s="51"/>
    </row>
    <row r="19" spans="1:12">
      <c r="A19" s="36"/>
      <c r="B19" s="36"/>
      <c r="C19" s="36"/>
      <c r="D19" s="36"/>
      <c r="E19" s="36"/>
      <c r="F19" s="59"/>
      <c r="G19" s="59"/>
      <c r="H19" s="59"/>
      <c r="I19" s="60"/>
      <c r="J19" s="60"/>
      <c r="K19" s="60"/>
      <c r="L19" s="61"/>
    </row>
    <row r="20" spans="1:12">
      <c r="A20" s="35"/>
      <c r="B20" s="65" t="s">
        <v>35</v>
      </c>
      <c r="C20" s="35"/>
      <c r="D20" s="14"/>
      <c r="E20" s="14"/>
      <c r="F20" s="14"/>
      <c r="G20" s="15"/>
      <c r="H20" s="66">
        <f t="array" ref="H20">SUM(ROUND(H11:H18,0))</f>
        <v>23188477</v>
      </c>
      <c r="I20" s="67"/>
      <c r="J20" s="66">
        <f t="array" ref="J20">SUM(ROUND(J11:J18,0))</f>
        <v>1913606</v>
      </c>
      <c r="K20" s="66">
        <f t="array" ref="K20">SUM(ROUND(K11:K18,0))</f>
        <v>25102083</v>
      </c>
      <c r="L20" s="68"/>
    </row>
    <row r="21" spans="1:12">
      <c r="A21" s="14"/>
      <c r="B21" s="14"/>
      <c r="C21" s="14"/>
      <c r="D21" s="14"/>
      <c r="E21" s="14"/>
      <c r="F21" s="14"/>
      <c r="G21" s="15"/>
      <c r="H21" s="17"/>
      <c r="I21" s="17"/>
      <c r="J21" s="17"/>
      <c r="K21" s="17"/>
      <c r="L21" s="18"/>
    </row>
    <row r="22" spans="1:12">
      <c r="A22" s="29" t="s">
        <v>36</v>
      </c>
      <c r="B22" s="14"/>
      <c r="C22" s="14"/>
      <c r="D22" s="14"/>
      <c r="E22" s="14"/>
      <c r="F22" s="14"/>
      <c r="G22" s="15"/>
      <c r="H22" s="16"/>
      <c r="I22" s="17"/>
      <c r="J22" s="16"/>
      <c r="K22" s="16"/>
      <c r="L22" s="18"/>
    </row>
    <row r="23" spans="1:12">
      <c r="A23" s="14" t="s">
        <v>37</v>
      </c>
      <c r="B23" s="14"/>
      <c r="C23" s="14"/>
      <c r="D23" s="14"/>
      <c r="E23" s="35"/>
      <c r="F23" s="14"/>
      <c r="G23" s="15"/>
      <c r="H23" s="16"/>
      <c r="I23" s="17"/>
      <c r="J23" s="16"/>
      <c r="K23" s="16"/>
      <c r="L23" s="18"/>
    </row>
    <row r="24" spans="1:12">
      <c r="A24" s="44"/>
      <c r="B24" s="36" t="s">
        <v>40</v>
      </c>
      <c r="C24" s="14"/>
      <c r="D24" s="14"/>
      <c r="E24" s="35"/>
      <c r="F24" s="14"/>
      <c r="G24" s="15"/>
      <c r="H24" s="50">
        <f>36064090+(298279+71434-1222025)+(461042-23292-265542)</f>
        <v>35383986</v>
      </c>
      <c r="I24" s="230"/>
      <c r="J24" s="50">
        <v>381316</v>
      </c>
      <c r="K24" s="50">
        <f t="shared" ref="K24:K30" si="0">ROUND(J24,0)+ROUND(H24,0)</f>
        <v>35765302</v>
      </c>
      <c r="L24" s="51"/>
    </row>
    <row r="25" spans="1:12">
      <c r="A25" s="44"/>
      <c r="B25" s="36" t="s">
        <v>42</v>
      </c>
      <c r="C25" s="14"/>
      <c r="D25" s="14"/>
      <c r="E25" s="35"/>
      <c r="F25" s="14"/>
      <c r="G25" s="15"/>
      <c r="H25" s="50">
        <f>15429844+39000</f>
        <v>15468844</v>
      </c>
      <c r="I25" s="230"/>
      <c r="J25" s="50">
        <v>1369142</v>
      </c>
      <c r="K25" s="50">
        <f t="shared" si="0"/>
        <v>16837986</v>
      </c>
      <c r="L25" s="51"/>
    </row>
    <row r="26" spans="1:12">
      <c r="A26" s="44"/>
      <c r="B26" s="36" t="s">
        <v>44</v>
      </c>
      <c r="C26" s="14"/>
      <c r="D26" s="14"/>
      <c r="E26" s="35"/>
      <c r="F26" s="14"/>
      <c r="G26" s="15"/>
      <c r="H26" s="50">
        <v>1652520</v>
      </c>
      <c r="I26" s="230"/>
      <c r="J26" s="50">
        <v>0</v>
      </c>
      <c r="K26" s="50">
        <f t="shared" si="0"/>
        <v>1652520</v>
      </c>
      <c r="L26" s="51"/>
    </row>
    <row r="27" spans="1:12">
      <c r="A27" s="44"/>
      <c r="B27" s="36" t="s">
        <v>46</v>
      </c>
      <c r="C27" s="14"/>
      <c r="D27" s="14"/>
      <c r="E27" s="35"/>
      <c r="F27" s="14"/>
      <c r="G27" s="15"/>
      <c r="H27" s="50">
        <f>4369434-39000</f>
        <v>4330434</v>
      </c>
      <c r="I27" s="230"/>
      <c r="J27" s="50">
        <v>141565</v>
      </c>
      <c r="K27" s="50">
        <f t="shared" si="0"/>
        <v>4471999</v>
      </c>
      <c r="L27" s="51"/>
    </row>
    <row r="28" spans="1:12">
      <c r="A28" s="44"/>
      <c r="B28" s="36" t="s">
        <v>48</v>
      </c>
      <c r="C28" s="14"/>
      <c r="D28" s="14"/>
      <c r="E28" s="35"/>
      <c r="F28" s="14"/>
      <c r="G28" s="15"/>
      <c r="H28" s="50">
        <v>4296100</v>
      </c>
      <c r="I28" s="230"/>
      <c r="J28" s="50">
        <v>748849</v>
      </c>
      <c r="K28" s="50">
        <f t="shared" si="0"/>
        <v>5044949</v>
      </c>
      <c r="L28" s="51"/>
    </row>
    <row r="29" spans="1:12">
      <c r="A29" s="44"/>
      <c r="B29" s="36" t="s">
        <v>50</v>
      </c>
      <c r="C29" s="14"/>
      <c r="D29" s="14"/>
      <c r="E29" s="35"/>
      <c r="F29" s="14"/>
      <c r="G29" s="15"/>
      <c r="H29" s="50">
        <v>5181048</v>
      </c>
      <c r="I29" s="230"/>
      <c r="J29" s="50">
        <v>28851</v>
      </c>
      <c r="K29" s="50">
        <f t="shared" si="0"/>
        <v>5209899</v>
      </c>
      <c r="L29" s="51"/>
    </row>
    <row r="30" spans="1:12">
      <c r="A30" s="44"/>
      <c r="B30" s="36" t="s">
        <v>53</v>
      </c>
      <c r="C30" s="14"/>
      <c r="D30" s="14"/>
      <c r="E30" s="35"/>
      <c r="F30" s="14"/>
      <c r="G30" s="15"/>
      <c r="H30" s="231">
        <f>'[18]Accounts by GL'!O481</f>
        <v>3790023.94</v>
      </c>
      <c r="I30" s="230"/>
      <c r="J30" s="58">
        <v>611</v>
      </c>
      <c r="K30" s="58">
        <f t="shared" si="0"/>
        <v>3790635</v>
      </c>
      <c r="L30" s="51"/>
    </row>
    <row r="31" spans="1:12">
      <c r="A31" s="44"/>
      <c r="B31" s="36"/>
      <c r="C31" s="14"/>
      <c r="D31" s="14"/>
      <c r="E31" s="35"/>
      <c r="F31" s="14"/>
      <c r="G31" s="15"/>
      <c r="H31" s="73"/>
      <c r="I31" s="73"/>
      <c r="J31" s="73"/>
      <c r="K31" s="73"/>
      <c r="L31" s="74"/>
    </row>
    <row r="32" spans="1:12">
      <c r="A32" s="14"/>
      <c r="B32" s="65" t="s">
        <v>55</v>
      </c>
      <c r="C32" s="35"/>
      <c r="D32" s="14"/>
      <c r="E32" s="14"/>
      <c r="F32" s="14"/>
      <c r="G32" s="15"/>
      <c r="H32" s="66">
        <f t="array" ref="H32">SUM(ROUND(H24:H30,0))</f>
        <v>70102956</v>
      </c>
      <c r="I32" s="59"/>
      <c r="J32" s="66">
        <f t="array" ref="J32">SUM(ROUND(J24:J30,0))</f>
        <v>2670334</v>
      </c>
      <c r="K32" s="66">
        <f t="array" ref="K32">SUM(ROUND(K24:K30,0))</f>
        <v>72773290</v>
      </c>
      <c r="L32" s="68"/>
    </row>
    <row r="33" spans="1:12">
      <c r="A33" s="44"/>
      <c r="B33" s="76"/>
      <c r="C33" s="14"/>
      <c r="D33" s="14"/>
      <c r="E33" s="35"/>
      <c r="F33" s="14"/>
      <c r="G33" s="15"/>
      <c r="H33" s="59"/>
      <c r="I33" s="59"/>
      <c r="J33" s="59"/>
      <c r="K33" s="59"/>
      <c r="L33" s="77"/>
    </row>
    <row r="34" spans="1:12">
      <c r="A34" s="14"/>
      <c r="B34" s="65" t="str">
        <f>IF(H34&lt;0,IF(J34&gt;0,"Operating Income (Loss)","Operating Loss"),IF(H34&gt;0,IF(J34&gt;=0,"Operating Income","Operating Income (Loss)"),IF(J34&lt;0,"Operating Loss",IF(J34&gt;0,"Operating Income","Operating Income (Loss)"))))</f>
        <v>Operating Loss</v>
      </c>
      <c r="C34" s="35"/>
      <c r="D34" s="14"/>
      <c r="E34" s="14"/>
      <c r="F34" s="14"/>
      <c r="G34" s="15"/>
      <c r="H34" s="66">
        <f>H20-H32</f>
        <v>-46914479</v>
      </c>
      <c r="I34" s="67"/>
      <c r="J34" s="66">
        <f>J20-J32</f>
        <v>-756728</v>
      </c>
      <c r="K34" s="66">
        <f>K20-K32</f>
        <v>-47671207</v>
      </c>
      <c r="L34" s="68"/>
    </row>
    <row r="35" spans="1:12">
      <c r="A35" s="14"/>
      <c r="B35" s="14"/>
      <c r="C35" s="14"/>
      <c r="D35" s="14"/>
      <c r="E35" s="14"/>
      <c r="F35" s="14"/>
      <c r="G35" s="15"/>
      <c r="H35" s="78"/>
      <c r="I35" s="78"/>
      <c r="J35" s="78"/>
      <c r="K35" s="78"/>
      <c r="L35" s="79"/>
    </row>
    <row r="36" spans="1:12">
      <c r="A36" s="29" t="s">
        <v>56</v>
      </c>
      <c r="B36" s="35"/>
      <c r="C36" s="14"/>
      <c r="D36" s="14"/>
      <c r="E36" s="14"/>
      <c r="F36" s="14"/>
      <c r="G36" s="15"/>
      <c r="H36" s="16"/>
      <c r="I36" s="17"/>
      <c r="J36" s="16"/>
      <c r="K36" s="16"/>
      <c r="L36" s="18"/>
    </row>
    <row r="37" spans="1:12">
      <c r="A37" s="36" t="s">
        <v>59</v>
      </c>
      <c r="B37" s="35"/>
      <c r="C37" s="14"/>
      <c r="D37" s="14"/>
      <c r="E37" s="35"/>
      <c r="F37" s="14"/>
      <c r="G37" s="15"/>
      <c r="H37" s="80">
        <v>22832439</v>
      </c>
      <c r="I37" s="49"/>
      <c r="J37" s="80">
        <v>0</v>
      </c>
      <c r="K37" s="80">
        <f t="shared" ref="K37:K45" si="1">ROUND(J37,0)+ROUND(H37,0)</f>
        <v>22832439</v>
      </c>
      <c r="L37" s="81"/>
    </row>
    <row r="38" spans="1:12">
      <c r="A38" s="36" t="s">
        <v>61</v>
      </c>
      <c r="B38" s="35"/>
      <c r="C38" s="14"/>
      <c r="D38" s="14"/>
      <c r="E38" s="35"/>
      <c r="F38" s="14"/>
      <c r="G38" s="15"/>
      <c r="H38" s="80">
        <v>20675837</v>
      </c>
      <c r="I38" s="49"/>
      <c r="J38" s="80">
        <v>0</v>
      </c>
      <c r="K38" s="80">
        <f t="shared" si="1"/>
        <v>20675837</v>
      </c>
      <c r="L38" s="81"/>
    </row>
    <row r="39" spans="1:12">
      <c r="A39" s="36" t="s">
        <v>63</v>
      </c>
      <c r="B39" s="35"/>
      <c r="C39" s="14"/>
      <c r="D39" s="14"/>
      <c r="E39" s="35"/>
      <c r="F39" s="14"/>
      <c r="G39" s="15"/>
      <c r="H39" s="80">
        <v>2837609</v>
      </c>
      <c r="I39" s="49"/>
      <c r="J39" s="80">
        <v>0</v>
      </c>
      <c r="K39" s="80">
        <f t="shared" si="1"/>
        <v>2837609</v>
      </c>
      <c r="L39" s="81"/>
    </row>
    <row r="40" spans="1:12">
      <c r="A40" s="36" t="s">
        <v>66</v>
      </c>
      <c r="B40" s="35"/>
      <c r="C40" s="14"/>
      <c r="D40" s="14"/>
      <c r="E40" s="35"/>
      <c r="F40" s="14"/>
      <c r="G40" s="15"/>
      <c r="H40" s="80">
        <f>68947+951</f>
        <v>69898</v>
      </c>
      <c r="I40" s="49"/>
      <c r="J40" s="80">
        <v>4537536</v>
      </c>
      <c r="K40" s="80">
        <f t="shared" si="1"/>
        <v>4607434</v>
      </c>
      <c r="L40" s="81"/>
    </row>
    <row r="41" spans="1:12">
      <c r="A41" s="36" t="str">
        <f>IF(H41&lt;0,IF(J41&gt;0,"Net Gain (Loss) on Investments","Net Loss on Investments"),IF(H41&gt;0,IF(J41&gt;=0,"Net Gain on Investments","Net Gain (Loss) on Investments"),IF(J41&lt;0,"Net Loss on Investments",IF(J41&gt;0,"Net Gain on Investments","Net Gain (Loss) on Investments"))))</f>
        <v>Net Loss on Investments</v>
      </c>
      <c r="B41" s="35"/>
      <c r="C41" s="14"/>
      <c r="D41" s="14"/>
      <c r="E41" s="35"/>
      <c r="F41" s="14"/>
      <c r="G41" s="15"/>
      <c r="H41" s="80">
        <v>-13009</v>
      </c>
      <c r="I41" s="49"/>
      <c r="J41" s="80">
        <v>0</v>
      </c>
      <c r="K41" s="80">
        <f t="shared" si="1"/>
        <v>-13009</v>
      </c>
      <c r="L41" s="81"/>
    </row>
    <row r="42" spans="1:12">
      <c r="A42" s="36" t="s">
        <v>69</v>
      </c>
      <c r="B42" s="35"/>
      <c r="C42" s="14"/>
      <c r="D42" s="14"/>
      <c r="E42" s="35"/>
      <c r="F42" s="14"/>
      <c r="G42" s="15"/>
      <c r="H42" s="80">
        <v>43039</v>
      </c>
      <c r="I42" s="49"/>
      <c r="J42" s="80">
        <v>50889</v>
      </c>
      <c r="K42" s="80">
        <f t="shared" si="1"/>
        <v>93928</v>
      </c>
      <c r="L42" s="81"/>
    </row>
    <row r="43" spans="1:12">
      <c r="A43" s="36" t="str">
        <f>IF(H43&lt;0,IF(J43&gt;0,"Gain (Loss) on Disposal of Capital Assets","Loss on Disposal of Capital Assets"),IF(H43&gt;0,IF(J43&gt;=0,"Gain on Disposal of Capital Assets","Gain (Loss) on Disposal of Capital Assets"),IF(J43&lt;0,"Loss on Disposal of Capital Assets",IF(J43&gt;0,"Gain on Disposal of Capital Assets","Gain (Loss) on Disposal of Capital Assets"))))</f>
        <v>Loss on Disposal of Capital Assets</v>
      </c>
      <c r="B43" s="35"/>
      <c r="C43" s="14"/>
      <c r="D43" s="14"/>
      <c r="E43" s="35"/>
      <c r="F43" s="14"/>
      <c r="G43" s="15"/>
      <c r="H43" s="80">
        <f>-388180+9480</f>
        <v>-378700</v>
      </c>
      <c r="I43" s="49"/>
      <c r="J43" s="80">
        <v>0</v>
      </c>
      <c r="K43" s="80">
        <f t="shared" si="1"/>
        <v>-378700</v>
      </c>
      <c r="L43" s="81"/>
    </row>
    <row r="44" spans="1:12">
      <c r="A44" s="36" t="s">
        <v>73</v>
      </c>
      <c r="B44" s="35"/>
      <c r="C44" s="35"/>
      <c r="D44" s="35"/>
      <c r="E44" s="35"/>
      <c r="F44" s="35"/>
      <c r="G44" s="35"/>
      <c r="H44" s="80">
        <v>-14477</v>
      </c>
      <c r="I44" s="49"/>
      <c r="J44" s="80">
        <v>0</v>
      </c>
      <c r="K44" s="80">
        <f t="shared" si="1"/>
        <v>-14477</v>
      </c>
      <c r="L44" s="81"/>
    </row>
    <row r="45" spans="1:12">
      <c r="A45" s="36" t="s">
        <v>75</v>
      </c>
      <c r="B45" s="35"/>
      <c r="C45" s="14"/>
      <c r="D45" s="14"/>
      <c r="E45" s="35"/>
      <c r="F45" s="14"/>
      <c r="G45" s="15"/>
      <c r="H45" s="82">
        <f>-2185-9480</f>
        <v>-11665</v>
      </c>
      <c r="I45" s="49"/>
      <c r="J45" s="82">
        <v>0</v>
      </c>
      <c r="K45" s="82">
        <f t="shared" si="1"/>
        <v>-11665</v>
      </c>
      <c r="L45" s="81"/>
    </row>
    <row r="46" spans="1:12">
      <c r="A46" s="35"/>
      <c r="B46" s="35"/>
      <c r="C46" s="35"/>
      <c r="D46" s="35"/>
      <c r="E46" s="35"/>
      <c r="F46" s="35"/>
      <c r="G46" s="35"/>
      <c r="H46" s="83"/>
      <c r="I46" s="84"/>
      <c r="J46" s="83"/>
      <c r="K46" s="83"/>
      <c r="L46" s="85"/>
    </row>
    <row r="47" spans="1:12">
      <c r="A47" s="29" t="s">
        <v>77</v>
      </c>
      <c r="B47" s="35"/>
      <c r="C47" s="14"/>
      <c r="D47" s="14"/>
      <c r="E47" s="14"/>
      <c r="F47" s="14"/>
      <c r="G47" s="15"/>
      <c r="H47" s="66">
        <f t="array" ref="H47">SUM(ROUND(H37:H45,0))</f>
        <v>46040971</v>
      </c>
      <c r="I47" s="59"/>
      <c r="J47" s="66">
        <f t="array" ref="J47">SUM(ROUND(J37:J45,0))</f>
        <v>4588425</v>
      </c>
      <c r="K47" s="66">
        <f t="array" ref="K47">SUM(ROUND(K37:K45,0))</f>
        <v>50629396</v>
      </c>
      <c r="L47" s="68"/>
    </row>
    <row r="48" spans="1:12">
      <c r="A48" s="86"/>
      <c r="B48" s="87"/>
      <c r="C48" s="15"/>
      <c r="D48" s="15"/>
      <c r="E48" s="15"/>
      <c r="F48" s="15"/>
      <c r="G48" s="15"/>
      <c r="H48" s="59"/>
      <c r="I48" s="59"/>
      <c r="J48" s="59"/>
      <c r="K48" s="59"/>
      <c r="L48" s="77"/>
    </row>
    <row r="49" spans="1:12">
      <c r="A49" s="65" t="str">
        <f>IF(H50&lt;0,IF(J50&gt;0,"Income (Loss) Before Other Revenues,","Loss Before Other Revenues,"),IF(H50&gt;0,IF(J50&gt;=0,"Income Before Other Revenues,","Income (Loss) Before Other Revenues,"),IF(J59&lt;0,"Loss Before Other Revenues,",IF(J59&gt;0,"Income Before Other Revenues,","Income (Loss) Before Other Revenues,"))))</f>
        <v>Income (Loss) Before Other Revenues,</v>
      </c>
      <c r="B49" s="35"/>
      <c r="C49" s="35"/>
      <c r="D49" s="14"/>
      <c r="E49" s="14"/>
      <c r="F49" s="14"/>
      <c r="G49" s="15"/>
      <c r="H49" s="35"/>
      <c r="I49" s="35"/>
      <c r="J49" s="35"/>
      <c r="K49" s="35"/>
      <c r="L49" s="37"/>
    </row>
    <row r="50" spans="1:12">
      <c r="A50" s="14"/>
      <c r="B50" s="29" t="s">
        <v>78</v>
      </c>
      <c r="C50" s="14"/>
      <c r="D50" s="14"/>
      <c r="E50" s="14"/>
      <c r="F50" s="14"/>
      <c r="G50" s="15"/>
      <c r="H50" s="66">
        <f>H34+H47</f>
        <v>-873508</v>
      </c>
      <c r="I50" s="59"/>
      <c r="J50" s="66">
        <f>J34+J47</f>
        <v>3831697</v>
      </c>
      <c r="K50" s="66">
        <f>K34+K47</f>
        <v>2958189</v>
      </c>
      <c r="L50" s="68"/>
    </row>
    <row r="51" spans="1:12">
      <c r="A51" s="14"/>
      <c r="B51" s="29"/>
      <c r="C51" s="14"/>
      <c r="D51" s="14"/>
      <c r="E51" s="14"/>
      <c r="F51" s="14"/>
      <c r="G51" s="15"/>
      <c r="H51" s="17"/>
      <c r="I51" s="17"/>
      <c r="J51" s="17"/>
      <c r="K51" s="17"/>
      <c r="L51" s="18"/>
    </row>
    <row r="52" spans="1:12">
      <c r="A52" s="36" t="s">
        <v>80</v>
      </c>
      <c r="B52" s="35"/>
      <c r="C52" s="14"/>
      <c r="D52" s="14"/>
      <c r="E52" s="14"/>
      <c r="F52" s="35"/>
      <c r="G52" s="15"/>
      <c r="H52" s="80">
        <v>9469839</v>
      </c>
      <c r="I52" s="49"/>
      <c r="J52" s="80">
        <v>0</v>
      </c>
      <c r="K52" s="80">
        <f>ROUND(J52,0)+ROUND(H52,0)</f>
        <v>9469839</v>
      </c>
      <c r="L52" s="81"/>
    </row>
    <row r="53" spans="1:12">
      <c r="A53" s="36" t="s">
        <v>83</v>
      </c>
      <c r="B53" s="35"/>
      <c r="C53" s="14"/>
      <c r="D53" s="14"/>
      <c r="E53" s="14"/>
      <c r="F53" s="35"/>
      <c r="G53" s="15"/>
      <c r="H53" s="50">
        <v>1863172</v>
      </c>
      <c r="I53" s="230"/>
      <c r="J53" s="50">
        <v>0</v>
      </c>
      <c r="K53" s="50">
        <f>ROUND(J53,0)+ROUND(H53,0)</f>
        <v>1863172</v>
      </c>
      <c r="L53" s="51"/>
    </row>
    <row r="54" spans="1:12">
      <c r="A54" s="14" t="s">
        <v>86</v>
      </c>
      <c r="B54" s="35"/>
      <c r="C54" s="14"/>
      <c r="D54" s="14"/>
      <c r="E54" s="14"/>
      <c r="F54" s="35"/>
      <c r="G54" s="15"/>
      <c r="H54" s="89">
        <v>0</v>
      </c>
      <c r="I54" s="230"/>
      <c r="J54" s="89">
        <v>0</v>
      </c>
      <c r="K54" s="89">
        <f>ROUND(J54,0)+ROUND(H54,0)</f>
        <v>0</v>
      </c>
      <c r="L54" s="51"/>
    </row>
    <row r="55" spans="1:12">
      <c r="A55" s="76" t="str">
        <f>IF(H55&lt;0,IF(J55&gt;0,"Other Revenues (Expenses)","Other Expenses"),IF(H55&gt;0,IF(J55&gt;=0,"Other Revenues","Other Revenues (Expenses)"),IF(J55&lt;0,"Other Expenses",IF(J55&gt;0,"Other Revenues","Other Revenues (Expenses)"))))</f>
        <v>Other Revenues (Expenses)</v>
      </c>
      <c r="B55" s="35"/>
      <c r="C55" s="14"/>
      <c r="D55" s="14"/>
      <c r="E55" s="14"/>
      <c r="F55" s="35"/>
      <c r="G55" s="15"/>
      <c r="H55" s="58">
        <v>0</v>
      </c>
      <c r="I55" s="230"/>
      <c r="J55" s="58">
        <v>0</v>
      </c>
      <c r="K55" s="58">
        <f>ROUND(J55,0)+ROUND(H55,0)</f>
        <v>0</v>
      </c>
      <c r="L55" s="51"/>
    </row>
    <row r="56" spans="1:12">
      <c r="A56" s="35"/>
      <c r="B56" s="35"/>
      <c r="C56" s="14"/>
      <c r="D56" s="14"/>
      <c r="E56" s="14"/>
      <c r="F56" s="14"/>
      <c r="G56" s="15"/>
      <c r="H56" s="83"/>
      <c r="I56" s="84"/>
      <c r="J56" s="83"/>
      <c r="K56" s="83"/>
      <c r="L56" s="85"/>
    </row>
    <row r="57" spans="1:12">
      <c r="A57" s="29" t="s">
        <v>89</v>
      </c>
      <c r="B57" s="35"/>
      <c r="C57" s="35"/>
      <c r="D57" s="14"/>
      <c r="E57" s="14"/>
      <c r="F57" s="14"/>
      <c r="G57" s="15"/>
      <c r="H57" s="90">
        <f t="array" ref="H57">SUM(ROUND(H52:H55,0))</f>
        <v>11333011</v>
      </c>
      <c r="I57" s="59"/>
      <c r="J57" s="90">
        <f t="array" ref="J57">SUM(ROUND(J52:J55,0))</f>
        <v>0</v>
      </c>
      <c r="K57" s="90">
        <f t="array" ref="K57">SUM(ROUND(K52:K55,0))</f>
        <v>11333011</v>
      </c>
      <c r="L57" s="91"/>
    </row>
    <row r="58" spans="1:12">
      <c r="A58" s="29"/>
      <c r="B58" s="35"/>
      <c r="C58" s="35"/>
      <c r="D58" s="14"/>
      <c r="E58" s="14"/>
      <c r="F58" s="14"/>
      <c r="G58" s="15"/>
      <c r="H58" s="59"/>
      <c r="I58" s="59"/>
      <c r="J58" s="59"/>
      <c r="K58" s="59"/>
      <c r="L58" s="77"/>
    </row>
    <row r="59" spans="1:12">
      <c r="A59" s="65" t="str">
        <f>IF(H59&lt;0,IF(J59&gt;0,"Increase (Decrease) in Net Position","Decrease in Net Position"),IF(H59&gt;0,IF(J59&gt;=0,"Increase in Net Position","Increase (Decrease) in Net Position"),IF(J59&lt;0,"Decrease in Net Position",IF(J59&gt;0,"Increase in Net Position","Increase (Decrease) in Net Position"))))</f>
        <v>Increase in Net Position</v>
      </c>
      <c r="B59" s="35"/>
      <c r="C59" s="35"/>
      <c r="D59" s="14"/>
      <c r="E59" s="14"/>
      <c r="F59" s="14"/>
      <c r="G59" s="15"/>
      <c r="H59" s="90">
        <f>H50+H57</f>
        <v>10459503</v>
      </c>
      <c r="I59" s="92"/>
      <c r="J59" s="90">
        <f>J50+J57</f>
        <v>3831697</v>
      </c>
      <c r="K59" s="90">
        <f>K50+K57</f>
        <v>14291200</v>
      </c>
      <c r="L59" s="91"/>
    </row>
    <row r="60" spans="1:12">
      <c r="A60" s="93"/>
      <c r="B60" s="35"/>
      <c r="C60" s="35"/>
      <c r="D60" s="14"/>
      <c r="E60" s="14"/>
      <c r="F60" s="14"/>
      <c r="G60" s="15"/>
      <c r="H60" s="94"/>
      <c r="I60" s="94"/>
      <c r="J60" s="94"/>
      <c r="K60" s="94"/>
      <c r="L60" s="95"/>
    </row>
    <row r="61" spans="1:12">
      <c r="A61" s="14" t="s">
        <v>91</v>
      </c>
      <c r="B61" s="35"/>
      <c r="C61" s="14"/>
      <c r="D61" s="14"/>
      <c r="E61" s="14"/>
      <c r="F61" s="14"/>
      <c r="G61" s="15"/>
      <c r="H61" s="96">
        <f>VLOOKUP($A$1,[18]VLOOKUPS!A44:D71,2,FALSE)</f>
        <v>106202461</v>
      </c>
      <c r="I61" s="49"/>
      <c r="J61" s="96">
        <f>VLOOKUP($A$1,[18]VLOOKUPS!A44:D71,3,FALSE)</f>
        <v>48675246</v>
      </c>
      <c r="K61" s="89">
        <f>ROUND(J61,0)+ROUND(H61,0)</f>
        <v>154877707</v>
      </c>
      <c r="L61" s="97"/>
    </row>
    <row r="62" spans="1:12">
      <c r="A62" s="14" t="s">
        <v>94</v>
      </c>
      <c r="B62" s="35"/>
      <c r="C62" s="14"/>
      <c r="D62" s="14"/>
      <c r="E62" s="14"/>
      <c r="F62" s="14"/>
      <c r="G62" s="15"/>
      <c r="H62" s="82">
        <f>-(7321812)-(6106568)</f>
        <v>-13428380</v>
      </c>
      <c r="I62" s="49"/>
      <c r="J62" s="82">
        <v>0</v>
      </c>
      <c r="K62" s="82">
        <f>ROUND(J62,0)+ROUND(H62,0)</f>
        <v>-13428380</v>
      </c>
      <c r="L62" s="81"/>
    </row>
    <row r="63" spans="1:12">
      <c r="A63" s="36"/>
      <c r="B63" s="36"/>
      <c r="C63" s="36"/>
      <c r="D63" s="36"/>
      <c r="E63" s="36"/>
      <c r="F63" s="98"/>
      <c r="G63" s="36"/>
      <c r="H63" s="92"/>
      <c r="I63" s="99"/>
      <c r="J63" s="99"/>
      <c r="K63" s="99"/>
      <c r="L63" s="100"/>
    </row>
    <row r="64" spans="1:12">
      <c r="A64" s="101" t="s">
        <v>95</v>
      </c>
      <c r="B64" s="36"/>
      <c r="C64" s="36"/>
      <c r="D64" s="36"/>
      <c r="E64" s="36"/>
      <c r="F64" s="60"/>
      <c r="G64" s="60"/>
      <c r="H64" s="90">
        <f t="array" ref="H64">SUM(ROUND(H61:H62,0))</f>
        <v>92774081</v>
      </c>
      <c r="I64" s="92"/>
      <c r="J64" s="90">
        <f t="array" ref="J64">SUM(ROUND(J61:J62,0))</f>
        <v>48675246</v>
      </c>
      <c r="K64" s="90">
        <f t="array" ref="K64">SUM(ROUND(K61:K62,0))</f>
        <v>141449327</v>
      </c>
      <c r="L64" s="91"/>
    </row>
    <row r="65" spans="1:12">
      <c r="A65" s="36"/>
      <c r="B65" s="36"/>
      <c r="C65" s="36"/>
      <c r="D65" s="36"/>
      <c r="E65" s="36"/>
      <c r="F65" s="102"/>
      <c r="G65" s="36"/>
      <c r="H65" s="102"/>
      <c r="I65" s="60"/>
      <c r="J65" s="60"/>
      <c r="K65" s="60"/>
      <c r="L65" s="61"/>
    </row>
    <row r="66" spans="1:12" ht="13.5" thickBot="1">
      <c r="A66" s="29" t="s">
        <v>96</v>
      </c>
      <c r="B66" s="35"/>
      <c r="C66" s="14"/>
      <c r="D66" s="14"/>
      <c r="E66" s="14"/>
      <c r="F66" s="14"/>
      <c r="G66" s="103"/>
      <c r="H66" s="104">
        <f>H59+H64</f>
        <v>103233584</v>
      </c>
      <c r="I66" s="105"/>
      <c r="J66" s="104">
        <f>J59+J64</f>
        <v>52506943</v>
      </c>
      <c r="K66" s="104">
        <f>K59+K64</f>
        <v>155740527</v>
      </c>
      <c r="L66" s="46"/>
    </row>
    <row r="67" spans="1:12" ht="13.5" thickTop="1">
      <c r="A67" s="14"/>
      <c r="B67" s="14"/>
      <c r="C67" s="14"/>
      <c r="D67" s="14"/>
      <c r="E67" s="14"/>
      <c r="F67" s="14"/>
      <c r="G67" s="15"/>
      <c r="H67" s="107"/>
      <c r="I67" s="15"/>
      <c r="J67" s="107"/>
      <c r="K67" s="107"/>
      <c r="L67" s="108"/>
    </row>
    <row r="68" spans="1:12">
      <c r="A68" s="35" t="s">
        <v>97</v>
      </c>
      <c r="B68" s="35"/>
      <c r="C68" s="35"/>
      <c r="D68" s="35"/>
      <c r="E68" s="35"/>
      <c r="F68" s="35"/>
      <c r="G68" s="87"/>
      <c r="H68" s="35"/>
      <c r="I68" s="87"/>
      <c r="J68" s="35"/>
      <c r="K68" s="35"/>
      <c r="L68" s="37"/>
    </row>
    <row r="69" spans="1:12">
      <c r="G69" s="6"/>
      <c r="H69" s="109">
        <f>H66-[18]SNP!K119</f>
        <v>0</v>
      </c>
      <c r="I69" s="110"/>
      <c r="J69" s="111">
        <f>J66-[18]SNP!M119</f>
        <v>0</v>
      </c>
      <c r="K69" s="111">
        <f>K66-[18]SNP!N119</f>
        <v>0</v>
      </c>
      <c r="L69" s="112"/>
    </row>
    <row r="70" spans="1:12">
      <c r="G70" s="113" t="s">
        <v>98</v>
      </c>
      <c r="H70" s="114"/>
      <c r="I70" s="115"/>
      <c r="J70" s="114"/>
      <c r="K70" s="114"/>
      <c r="L70" s="114"/>
    </row>
  </sheetData>
  <sheetProtection formatColumns="0" formatRows="0"/>
  <conditionalFormatting sqref="H69 J69">
    <cfRule type="cellIs" dxfId="224" priority="14" operator="notEqual">
      <formula>0</formula>
    </cfRule>
    <cfRule type="cellIs" dxfId="223" priority="15" operator="equal">
      <formula>0</formula>
    </cfRule>
  </conditionalFormatting>
  <conditionalFormatting sqref="H11:H15 D11:E11 J24:J30 J37:J45 H37:H45 J62 H62 J17:J18 H25:H29 H17:H18 D17:E17 J11:J15 J52:J55 H52:H55">
    <cfRule type="containsBlanks" dxfId="222" priority="12">
      <formula>LEN(TRIM(D11))=0</formula>
    </cfRule>
    <cfRule type="cellIs" dxfId="221" priority="13" operator="notEqual">
      <formula>0</formula>
    </cfRule>
  </conditionalFormatting>
  <conditionalFormatting sqref="H11">
    <cfRule type="cellIs" dxfId="220" priority="11" operator="notEqual">
      <formula>H20</formula>
    </cfRule>
  </conditionalFormatting>
  <conditionalFormatting sqref="J11">
    <cfRule type="cellIs" dxfId="219" priority="10" operator="notEqual">
      <formula>J20</formula>
    </cfRule>
  </conditionalFormatting>
  <conditionalFormatting sqref="K69">
    <cfRule type="cellIs" dxfId="218" priority="8" operator="notEqual">
      <formula>0</formula>
    </cfRule>
    <cfRule type="cellIs" dxfId="217" priority="9" operator="equal">
      <formula>0</formula>
    </cfRule>
  </conditionalFormatting>
  <conditionalFormatting sqref="K24:K30 K37:K45 K62 K17:K18 K11:K15 K52:K55">
    <cfRule type="containsBlanks" dxfId="216" priority="6">
      <formula>LEN(TRIM(K11))=0</formula>
    </cfRule>
    <cfRule type="cellIs" dxfId="215" priority="7" operator="notEqual">
      <formula>0</formula>
    </cfRule>
  </conditionalFormatting>
  <conditionalFormatting sqref="K11">
    <cfRule type="cellIs" dxfId="214" priority="5" operator="notEqual">
      <formula>K20</formula>
    </cfRule>
  </conditionalFormatting>
  <conditionalFormatting sqref="H24">
    <cfRule type="containsBlanks" dxfId="213" priority="3">
      <formula>LEN(TRIM(H24))=0</formula>
    </cfRule>
    <cfRule type="cellIs" dxfId="212" priority="4" operator="notEqual">
      <formula>0</formula>
    </cfRule>
  </conditionalFormatting>
  <conditionalFormatting sqref="K61">
    <cfRule type="containsBlanks" dxfId="211" priority="1">
      <formula>LEN(TRIM(K61))=0</formula>
    </cfRule>
    <cfRule type="cellIs" dxfId="210" priority="2" operator="notEqual">
      <formula>0</formula>
    </cfRule>
  </conditionalFormatting>
  <printOptions horizontalCentered="1"/>
  <pageMargins left="0.7" right="0.7" top="0.75" bottom="0.75" header="0.5" footer="0.5"/>
  <pageSetup scale="53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  <pageSetUpPr fitToPage="1"/>
  </sheetPr>
  <dimension ref="A1:R70"/>
  <sheetViews>
    <sheetView zoomScale="90" zoomScaleNormal="90" zoomScaleSheetLayoutView="70" workbookViewId="0"/>
  </sheetViews>
  <sheetFormatPr defaultColWidth="11.140625" defaultRowHeight="12.75"/>
  <cols>
    <col min="1" max="6" width="11.140625" style="6"/>
    <col min="7" max="7" width="11.140625" style="11"/>
    <col min="8" max="8" width="16" style="6" customWidth="1"/>
    <col min="9" max="9" width="11.140625" style="11"/>
    <col min="10" max="10" width="14.28515625" style="6" customWidth="1"/>
    <col min="11" max="11" width="17.140625" style="6" customWidth="1"/>
    <col min="12" max="12" width="11.140625" style="6"/>
    <col min="13" max="13" width="11.140625" style="10"/>
    <col min="14" max="18" width="11.140625" style="5"/>
    <col min="19" max="16384" width="11.140625" style="6"/>
  </cols>
  <sheetData>
    <row r="1" spans="1:12">
      <c r="A1" s="247" t="str">
        <f>'[19]Contact Information'!$C$5</f>
        <v>MIAMI DADE COLLEGE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3"/>
    </row>
    <row r="2" spans="1:12">
      <c r="A2" s="245" t="s">
        <v>0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7"/>
    </row>
    <row r="3" spans="1:12">
      <c r="A3" s="248" t="s">
        <v>1</v>
      </c>
      <c r="B3" s="248"/>
      <c r="C3" s="248"/>
      <c r="D3" s="248"/>
      <c r="E3" s="248"/>
      <c r="F3" s="248"/>
      <c r="G3" s="248"/>
      <c r="H3" s="248"/>
      <c r="I3" s="248"/>
      <c r="J3" s="248"/>
      <c r="K3" s="248"/>
      <c r="L3" s="9" t="s">
        <v>2</v>
      </c>
    </row>
    <row r="4" spans="1:12">
      <c r="A4" s="249" t="s">
        <v>297</v>
      </c>
      <c r="B4" s="249"/>
      <c r="C4" s="249"/>
      <c r="D4" s="249"/>
      <c r="E4" s="249"/>
      <c r="F4" s="249"/>
      <c r="G4" s="249"/>
      <c r="H4" s="249"/>
      <c r="I4" s="249"/>
      <c r="J4" s="249"/>
      <c r="K4" s="249"/>
      <c r="L4" s="11" t="str">
        <f>'[19]Contact Information'!$C$3</f>
        <v>2015.v04</v>
      </c>
    </row>
    <row r="5" spans="1:12">
      <c r="A5" s="14"/>
      <c r="B5" s="14"/>
      <c r="C5" s="14"/>
      <c r="D5" s="14"/>
      <c r="E5" s="14"/>
      <c r="F5" s="14"/>
      <c r="G5" s="15"/>
      <c r="H5" s="16"/>
      <c r="I5" s="17"/>
      <c r="J5" s="16"/>
      <c r="K5" s="16"/>
      <c r="L5" s="18"/>
    </row>
    <row r="6" spans="1:12">
      <c r="A6" s="14"/>
      <c r="B6" s="14"/>
      <c r="C6" s="14"/>
      <c r="D6" s="14"/>
      <c r="E6" s="14"/>
      <c r="F6" s="14"/>
      <c r="G6" s="15"/>
      <c r="H6" s="249" t="s">
        <v>5</v>
      </c>
      <c r="I6" s="21"/>
      <c r="J6" s="22" t="s">
        <v>6</v>
      </c>
      <c r="K6" s="22" t="s">
        <v>7</v>
      </c>
      <c r="L6" s="23"/>
    </row>
    <row r="7" spans="1:12">
      <c r="A7" s="14"/>
      <c r="B7" s="14"/>
      <c r="C7" s="14"/>
      <c r="D7" s="14"/>
      <c r="E7" s="14"/>
      <c r="F7" s="14"/>
      <c r="G7" s="15"/>
      <c r="H7" s="24"/>
      <c r="I7" s="25"/>
      <c r="J7" s="26" t="str">
        <f>[19]SNP!$M$9</f>
        <v>Unit</v>
      </c>
      <c r="K7" s="26"/>
      <c r="L7" s="27"/>
    </row>
    <row r="8" spans="1:12">
      <c r="A8" s="29" t="s">
        <v>9</v>
      </c>
      <c r="B8" s="14"/>
      <c r="C8" s="14"/>
      <c r="D8" s="14"/>
      <c r="E8" s="14"/>
      <c r="F8" s="14"/>
      <c r="G8" s="15"/>
      <c r="H8" s="25"/>
      <c r="I8" s="25"/>
      <c r="J8" s="25"/>
      <c r="K8" s="25"/>
      <c r="L8" s="30"/>
    </row>
    <row r="9" spans="1:12">
      <c r="A9" s="14" t="s">
        <v>12</v>
      </c>
      <c r="B9" s="14"/>
      <c r="C9" s="14"/>
      <c r="D9" s="14"/>
      <c r="E9" s="14"/>
      <c r="F9" s="14"/>
      <c r="G9" s="15"/>
      <c r="H9" s="17"/>
      <c r="I9" s="17"/>
      <c r="J9" s="17"/>
      <c r="K9" s="17"/>
      <c r="L9" s="18"/>
    </row>
    <row r="10" spans="1:12">
      <c r="A10" s="35"/>
      <c r="B10" s="36" t="s">
        <v>14</v>
      </c>
      <c r="C10" s="14"/>
      <c r="D10" s="14"/>
      <c r="E10" s="14"/>
      <c r="F10" s="14"/>
      <c r="G10" s="35"/>
      <c r="H10" s="35"/>
      <c r="I10" s="17"/>
      <c r="J10" s="35"/>
      <c r="K10" s="35"/>
      <c r="L10" s="37"/>
    </row>
    <row r="11" spans="1:12">
      <c r="A11" s="35"/>
      <c r="B11" s="44" t="s">
        <v>19</v>
      </c>
      <c r="C11" s="35"/>
      <c r="D11" s="246">
        <v>110156845.52</v>
      </c>
      <c r="E11" s="246"/>
      <c r="F11" s="45"/>
      <c r="G11" s="36"/>
      <c r="H11" s="228">
        <v>78899832.489999995</v>
      </c>
      <c r="I11" s="229"/>
      <c r="J11" s="228">
        <v>0</v>
      </c>
      <c r="K11" s="228">
        <f>ROUND(J11,0)+ROUND(H11,0)</f>
        <v>78899832</v>
      </c>
      <c r="L11" s="46"/>
    </row>
    <row r="12" spans="1:12">
      <c r="A12" s="35"/>
      <c r="B12" s="36" t="s">
        <v>22</v>
      </c>
      <c r="C12" s="14"/>
      <c r="D12" s="48"/>
      <c r="E12" s="49"/>
      <c r="F12" s="15"/>
      <c r="G12" s="35"/>
      <c r="H12" s="50">
        <v>26124429.27</v>
      </c>
      <c r="I12" s="230"/>
      <c r="J12" s="50">
        <v>0</v>
      </c>
      <c r="K12" s="50">
        <f>ROUND(J12,0)+ROUND(H12,0)</f>
        <v>26124429</v>
      </c>
      <c r="L12" s="51"/>
    </row>
    <row r="13" spans="1:12">
      <c r="A13" s="35"/>
      <c r="B13" s="36" t="s">
        <v>24</v>
      </c>
      <c r="C13" s="14"/>
      <c r="D13" s="48"/>
      <c r="E13" s="48"/>
      <c r="F13" s="14"/>
      <c r="G13" s="35"/>
      <c r="H13" s="50">
        <v>3990870.0999999996</v>
      </c>
      <c r="I13" s="230"/>
      <c r="J13" s="50">
        <v>0</v>
      </c>
      <c r="K13" s="50">
        <f>ROUND(J13,0)+ROUND(H13,0)</f>
        <v>3990870</v>
      </c>
      <c r="L13" s="51"/>
    </row>
    <row r="14" spans="1:12">
      <c r="A14" s="35"/>
      <c r="B14" s="36" t="s">
        <v>26</v>
      </c>
      <c r="C14" s="14"/>
      <c r="D14" s="48"/>
      <c r="E14" s="48"/>
      <c r="F14" s="14"/>
      <c r="G14" s="35"/>
      <c r="H14" s="50">
        <v>13773770.650000002</v>
      </c>
      <c r="I14" s="230"/>
      <c r="J14" s="50">
        <v>0</v>
      </c>
      <c r="K14" s="50">
        <f>ROUND(J14,0)+ROUND(H14,0)</f>
        <v>13773771</v>
      </c>
      <c r="L14" s="51"/>
    </row>
    <row r="15" spans="1:12">
      <c r="A15" s="35"/>
      <c r="B15" s="36" t="s">
        <v>28</v>
      </c>
      <c r="C15" s="14"/>
      <c r="D15" s="48"/>
      <c r="E15" s="48"/>
      <c r="F15" s="35"/>
      <c r="G15" s="35"/>
      <c r="H15" s="50">
        <v>5662374.6400000006</v>
      </c>
      <c r="I15" s="230"/>
      <c r="J15" s="50">
        <v>0</v>
      </c>
      <c r="K15" s="50">
        <f>ROUND(J15,0)+ROUND(H15,0)</f>
        <v>5662375</v>
      </c>
      <c r="L15" s="51"/>
    </row>
    <row r="16" spans="1:12">
      <c r="A16" s="35"/>
      <c r="B16" s="36" t="s">
        <v>29</v>
      </c>
      <c r="C16" s="14"/>
      <c r="D16" s="54"/>
      <c r="E16" s="49"/>
      <c r="F16" s="55"/>
      <c r="G16" s="35"/>
      <c r="H16" s="35"/>
      <c r="I16" s="230"/>
      <c r="J16" s="35"/>
      <c r="K16" s="35"/>
      <c r="L16" s="37"/>
    </row>
    <row r="17" spans="1:12">
      <c r="A17" s="35"/>
      <c r="B17" s="44" t="s">
        <v>19</v>
      </c>
      <c r="C17" s="35"/>
      <c r="D17" s="246">
        <v>0</v>
      </c>
      <c r="E17" s="246"/>
      <c r="F17" s="55"/>
      <c r="G17" s="35"/>
      <c r="H17" s="50">
        <v>5425558.1600000001</v>
      </c>
      <c r="I17" s="230"/>
      <c r="J17" s="50">
        <v>0</v>
      </c>
      <c r="K17" s="50">
        <f>ROUND(J17,0)+ROUND(H17,0)</f>
        <v>5425558</v>
      </c>
      <c r="L17" s="51"/>
    </row>
    <row r="18" spans="1:12">
      <c r="A18" s="35"/>
      <c r="B18" s="57" t="s">
        <v>33</v>
      </c>
      <c r="C18" s="14"/>
      <c r="D18" s="14"/>
      <c r="E18" s="14"/>
      <c r="F18" s="14"/>
      <c r="G18" s="36"/>
      <c r="H18" s="58">
        <v>3387719.74</v>
      </c>
      <c r="I18" s="230"/>
      <c r="J18" s="58">
        <f>20385948-6308365</f>
        <v>14077583</v>
      </c>
      <c r="K18" s="58">
        <f>ROUND(J18,0)+ROUND(H18,0)</f>
        <v>17465303</v>
      </c>
      <c r="L18" s="51"/>
    </row>
    <row r="19" spans="1:12">
      <c r="A19" s="36"/>
      <c r="B19" s="36"/>
      <c r="C19" s="36"/>
      <c r="D19" s="36"/>
      <c r="E19" s="36"/>
      <c r="F19" s="59"/>
      <c r="G19" s="59"/>
      <c r="H19" s="59"/>
      <c r="I19" s="60"/>
      <c r="J19" s="60"/>
      <c r="K19" s="60"/>
      <c r="L19" s="61"/>
    </row>
    <row r="20" spans="1:12">
      <c r="A20" s="35"/>
      <c r="B20" s="65" t="s">
        <v>35</v>
      </c>
      <c r="C20" s="35"/>
      <c r="D20" s="14"/>
      <c r="E20" s="14"/>
      <c r="F20" s="14"/>
      <c r="G20" s="15"/>
      <c r="H20" s="66">
        <f t="array" ref="H20">SUM(ROUND(H11:H18,0))</f>
        <v>137264555</v>
      </c>
      <c r="I20" s="67"/>
      <c r="J20" s="66">
        <f t="array" ref="J20">SUM(ROUND(J11:J18,0))</f>
        <v>14077583</v>
      </c>
      <c r="K20" s="66">
        <f t="array" ref="K20">SUM(ROUND(K11:K18,0))</f>
        <v>151342138</v>
      </c>
      <c r="L20" s="68"/>
    </row>
    <row r="21" spans="1:12">
      <c r="A21" s="14"/>
      <c r="B21" s="14"/>
      <c r="C21" s="14"/>
      <c r="D21" s="14"/>
      <c r="E21" s="14"/>
      <c r="F21" s="14"/>
      <c r="G21" s="15"/>
      <c r="H21" s="17"/>
      <c r="I21" s="17"/>
      <c r="J21" s="17"/>
      <c r="K21" s="17"/>
      <c r="L21" s="18"/>
    </row>
    <row r="22" spans="1:12">
      <c r="A22" s="29" t="s">
        <v>36</v>
      </c>
      <c r="B22" s="14"/>
      <c r="C22" s="14"/>
      <c r="D22" s="14"/>
      <c r="E22" s="14"/>
      <c r="F22" s="14"/>
      <c r="G22" s="15"/>
      <c r="H22" s="16"/>
      <c r="I22" s="17"/>
      <c r="J22" s="16"/>
      <c r="K22" s="16"/>
      <c r="L22" s="18"/>
    </row>
    <row r="23" spans="1:12">
      <c r="A23" s="14" t="s">
        <v>37</v>
      </c>
      <c r="B23" s="14"/>
      <c r="C23" s="14"/>
      <c r="D23" s="14"/>
      <c r="E23" s="35"/>
      <c r="F23" s="14"/>
      <c r="G23" s="15"/>
      <c r="H23" s="16"/>
      <c r="I23" s="17"/>
      <c r="J23" s="16"/>
      <c r="K23" s="16"/>
      <c r="L23" s="18"/>
    </row>
    <row r="24" spans="1:12">
      <c r="A24" s="44"/>
      <c r="B24" s="36" t="s">
        <v>40</v>
      </c>
      <c r="C24" s="14"/>
      <c r="D24" s="14"/>
      <c r="E24" s="35"/>
      <c r="F24" s="14"/>
      <c r="G24" s="15"/>
      <c r="H24" s="50">
        <v>270277138.18000001</v>
      </c>
      <c r="I24" s="230"/>
      <c r="J24" s="50">
        <v>2147216</v>
      </c>
      <c r="K24" s="50">
        <f t="shared" ref="K24:K30" si="0">ROUND(J24,0)+ROUND(H24,0)</f>
        <v>272424354</v>
      </c>
      <c r="L24" s="51"/>
    </row>
    <row r="25" spans="1:12">
      <c r="A25" s="44"/>
      <c r="B25" s="36" t="s">
        <v>42</v>
      </c>
      <c r="C25" s="14"/>
      <c r="D25" s="14"/>
      <c r="E25" s="35"/>
      <c r="F25" s="14"/>
      <c r="G25" s="15"/>
      <c r="H25" s="50">
        <v>88876768.040000007</v>
      </c>
      <c r="I25" s="230"/>
      <c r="J25" s="50">
        <v>5530179</v>
      </c>
      <c r="K25" s="50">
        <f t="shared" si="0"/>
        <v>94406947</v>
      </c>
      <c r="L25" s="51"/>
    </row>
    <row r="26" spans="1:12">
      <c r="A26" s="44"/>
      <c r="B26" s="36" t="s">
        <v>44</v>
      </c>
      <c r="C26" s="14"/>
      <c r="D26" s="14"/>
      <c r="E26" s="35"/>
      <c r="F26" s="14"/>
      <c r="G26" s="15"/>
      <c r="H26" s="50">
        <v>12428493.77</v>
      </c>
      <c r="I26" s="230"/>
      <c r="J26" s="50">
        <v>0</v>
      </c>
      <c r="K26" s="50">
        <f t="shared" si="0"/>
        <v>12428494</v>
      </c>
      <c r="L26" s="51"/>
    </row>
    <row r="27" spans="1:12">
      <c r="A27" s="44"/>
      <c r="B27" s="36" t="s">
        <v>46</v>
      </c>
      <c r="C27" s="14"/>
      <c r="D27" s="14"/>
      <c r="E27" s="35"/>
      <c r="F27" s="14"/>
      <c r="G27" s="15"/>
      <c r="H27" s="50">
        <v>20794879.129999999</v>
      </c>
      <c r="I27" s="230"/>
      <c r="J27" s="50">
        <v>0</v>
      </c>
      <c r="K27" s="50">
        <f t="shared" si="0"/>
        <v>20794879</v>
      </c>
      <c r="L27" s="51"/>
    </row>
    <row r="28" spans="1:12">
      <c r="A28" s="44"/>
      <c r="B28" s="36" t="s">
        <v>48</v>
      </c>
      <c r="C28" s="14"/>
      <c r="D28" s="14"/>
      <c r="E28" s="35"/>
      <c r="F28" s="14"/>
      <c r="G28" s="15"/>
      <c r="H28" s="50">
        <v>50519331.969999999</v>
      </c>
      <c r="I28" s="230"/>
      <c r="J28" s="50">
        <f>5399987+225404</f>
        <v>5625391</v>
      </c>
      <c r="K28" s="50">
        <f t="shared" si="0"/>
        <v>56144723</v>
      </c>
      <c r="L28" s="51"/>
    </row>
    <row r="29" spans="1:12">
      <c r="A29" s="44"/>
      <c r="B29" s="36" t="s">
        <v>50</v>
      </c>
      <c r="C29" s="14"/>
      <c r="D29" s="14"/>
      <c r="E29" s="35"/>
      <c r="F29" s="14"/>
      <c r="G29" s="15"/>
      <c r="H29" s="50">
        <v>26278352.219999999</v>
      </c>
      <c r="I29" s="230"/>
      <c r="J29" s="50">
        <v>0</v>
      </c>
      <c r="K29" s="50">
        <f t="shared" si="0"/>
        <v>26278352</v>
      </c>
      <c r="L29" s="51"/>
    </row>
    <row r="30" spans="1:12">
      <c r="A30" s="44"/>
      <c r="B30" s="36" t="s">
        <v>53</v>
      </c>
      <c r="C30" s="14"/>
      <c r="D30" s="14"/>
      <c r="E30" s="35"/>
      <c r="F30" s="14"/>
      <c r="G30" s="15"/>
      <c r="H30" s="231">
        <v>24043804.399999999</v>
      </c>
      <c r="I30" s="230"/>
      <c r="J30" s="58">
        <v>0</v>
      </c>
      <c r="K30" s="58">
        <f t="shared" si="0"/>
        <v>24043804</v>
      </c>
      <c r="L30" s="51"/>
    </row>
    <row r="31" spans="1:12">
      <c r="A31" s="44"/>
      <c r="B31" s="36"/>
      <c r="C31" s="14"/>
      <c r="D31" s="14"/>
      <c r="E31" s="35"/>
      <c r="F31" s="14"/>
      <c r="G31" s="15"/>
      <c r="H31" s="73"/>
      <c r="I31" s="73"/>
      <c r="J31" s="73"/>
      <c r="K31" s="73"/>
      <c r="L31" s="74"/>
    </row>
    <row r="32" spans="1:12">
      <c r="A32" s="14"/>
      <c r="B32" s="65" t="s">
        <v>55</v>
      </c>
      <c r="C32" s="35"/>
      <c r="D32" s="14"/>
      <c r="E32" s="14"/>
      <c r="F32" s="14"/>
      <c r="G32" s="15"/>
      <c r="H32" s="66">
        <f t="array" ref="H32">SUM(ROUND(H24:H30,0))</f>
        <v>493218767</v>
      </c>
      <c r="I32" s="59"/>
      <c r="J32" s="66">
        <f t="array" ref="J32">SUM(ROUND(J24:J30,0))</f>
        <v>13302786</v>
      </c>
      <c r="K32" s="66">
        <f t="array" ref="K32">SUM(ROUND(K24:K30,0))</f>
        <v>506521553</v>
      </c>
      <c r="L32" s="68"/>
    </row>
    <row r="33" spans="1:12">
      <c r="A33" s="44"/>
      <c r="B33" s="76"/>
      <c r="C33" s="14"/>
      <c r="D33" s="14"/>
      <c r="E33" s="35"/>
      <c r="F33" s="14"/>
      <c r="G33" s="15"/>
      <c r="H33" s="59"/>
      <c r="I33" s="59"/>
      <c r="J33" s="59"/>
      <c r="K33" s="59"/>
      <c r="L33" s="77"/>
    </row>
    <row r="34" spans="1:12">
      <c r="A34" s="14"/>
      <c r="B34" s="65" t="str">
        <f>IF(H34&lt;0,IF(J34&gt;0,"Operating Income (Loss)","Operating Loss"),IF(H34&gt;0,IF(J34&gt;=0,"Operating Income","Operating Income (Loss)"),IF(J34&lt;0,"Operating Loss",IF(J34&gt;0,"Operating Income","Operating Income (Loss)"))))</f>
        <v>Operating Income (Loss)</v>
      </c>
      <c r="C34" s="35"/>
      <c r="D34" s="14"/>
      <c r="E34" s="14"/>
      <c r="F34" s="14"/>
      <c r="G34" s="15"/>
      <c r="H34" s="66">
        <f>H20-H32</f>
        <v>-355954212</v>
      </c>
      <c r="I34" s="67"/>
      <c r="J34" s="66">
        <f>J20-J32</f>
        <v>774797</v>
      </c>
      <c r="K34" s="66">
        <f>K20-K32</f>
        <v>-355179415</v>
      </c>
      <c r="L34" s="68"/>
    </row>
    <row r="35" spans="1:12">
      <c r="A35" s="14"/>
      <c r="B35" s="14"/>
      <c r="C35" s="14"/>
      <c r="D35" s="14"/>
      <c r="E35" s="14"/>
      <c r="F35" s="14"/>
      <c r="G35" s="15"/>
      <c r="H35" s="78"/>
      <c r="I35" s="78"/>
      <c r="J35" s="78"/>
      <c r="K35" s="78"/>
      <c r="L35" s="79"/>
    </row>
    <row r="36" spans="1:12">
      <c r="A36" s="29" t="s">
        <v>56</v>
      </c>
      <c r="B36" s="35"/>
      <c r="C36" s="14"/>
      <c r="D36" s="14"/>
      <c r="E36" s="14"/>
      <c r="F36" s="14"/>
      <c r="G36" s="15"/>
      <c r="H36" s="16"/>
      <c r="I36" s="17"/>
      <c r="J36" s="16"/>
      <c r="K36" s="16"/>
      <c r="L36" s="18"/>
    </row>
    <row r="37" spans="1:12">
      <c r="A37" s="36" t="s">
        <v>59</v>
      </c>
      <c r="B37" s="35"/>
      <c r="C37" s="14"/>
      <c r="D37" s="14"/>
      <c r="E37" s="35"/>
      <c r="F37" s="14"/>
      <c r="G37" s="15"/>
      <c r="H37" s="80">
        <v>174722235.81</v>
      </c>
      <c r="I37" s="49"/>
      <c r="J37" s="80">
        <v>0</v>
      </c>
      <c r="K37" s="80">
        <f t="shared" ref="K37:K45" si="1">ROUND(J37,0)+ROUND(H37,0)</f>
        <v>174722236</v>
      </c>
      <c r="L37" s="81"/>
    </row>
    <row r="38" spans="1:12">
      <c r="A38" s="36" t="s">
        <v>61</v>
      </c>
      <c r="B38" s="35"/>
      <c r="C38" s="14"/>
      <c r="D38" s="14"/>
      <c r="E38" s="35"/>
      <c r="F38" s="14"/>
      <c r="G38" s="15"/>
      <c r="H38" s="80">
        <v>0</v>
      </c>
      <c r="I38" s="49"/>
      <c r="J38" s="80">
        <v>0</v>
      </c>
      <c r="K38" s="80">
        <f t="shared" si="1"/>
        <v>0</v>
      </c>
      <c r="L38" s="81"/>
    </row>
    <row r="39" spans="1:12">
      <c r="A39" s="36" t="s">
        <v>63</v>
      </c>
      <c r="B39" s="35"/>
      <c r="C39" s="14"/>
      <c r="D39" s="14"/>
      <c r="E39" s="35"/>
      <c r="F39" s="14"/>
      <c r="G39" s="15"/>
      <c r="H39" s="80">
        <v>181141663.63999999</v>
      </c>
      <c r="I39" s="49"/>
      <c r="J39" s="80">
        <v>0</v>
      </c>
      <c r="K39" s="80">
        <f t="shared" si="1"/>
        <v>181141664</v>
      </c>
      <c r="L39" s="81"/>
    </row>
    <row r="40" spans="1:12">
      <c r="A40" s="36" t="s">
        <v>66</v>
      </c>
      <c r="B40" s="35"/>
      <c r="C40" s="14"/>
      <c r="D40" s="14"/>
      <c r="E40" s="35"/>
      <c r="F40" s="14"/>
      <c r="G40" s="15"/>
      <c r="H40" s="80">
        <v>9773860.3599999994</v>
      </c>
      <c r="I40" s="49"/>
      <c r="J40" s="80">
        <f>1419078-403464</f>
        <v>1015614</v>
      </c>
      <c r="K40" s="80">
        <f t="shared" si="1"/>
        <v>10789474</v>
      </c>
      <c r="L40" s="81"/>
    </row>
    <row r="41" spans="1:12">
      <c r="A41" s="36" t="str">
        <f>IF(H41&lt;0,IF(J41&gt;0,"Net Gain (Loss) on Investments","Net Loss on Investments"),IF(H41&gt;0,IF(J41&gt;=0,"Net Gain on Investments","Net Gain (Loss) on Investments"),IF(J41&lt;0,"Net Loss on Investments",IF(J41&gt;0,"Net Gain on Investments","Net Gain (Loss) on Investments"))))</f>
        <v>Net Gain (Loss) on Investments</v>
      </c>
      <c r="B41" s="35"/>
      <c r="C41" s="14"/>
      <c r="D41" s="14"/>
      <c r="E41" s="35"/>
      <c r="F41" s="14"/>
      <c r="G41" s="15"/>
      <c r="H41" s="80">
        <v>-3308920.79</v>
      </c>
      <c r="I41" s="49"/>
      <c r="J41" s="80">
        <f>6308365-J40</f>
        <v>5292751</v>
      </c>
      <c r="K41" s="80">
        <f t="shared" si="1"/>
        <v>1983830</v>
      </c>
      <c r="L41" s="81"/>
    </row>
    <row r="42" spans="1:12">
      <c r="A42" s="36" t="s">
        <v>69</v>
      </c>
      <c r="B42" s="35"/>
      <c r="C42" s="14"/>
      <c r="D42" s="14"/>
      <c r="E42" s="35"/>
      <c r="F42" s="14"/>
      <c r="G42" s="15"/>
      <c r="H42" s="80">
        <v>27042362.330000002</v>
      </c>
      <c r="I42" s="49"/>
      <c r="J42" s="80">
        <v>0</v>
      </c>
      <c r="K42" s="80">
        <f t="shared" si="1"/>
        <v>27042362</v>
      </c>
      <c r="L42" s="81"/>
    </row>
    <row r="43" spans="1:12">
      <c r="A43" s="36" t="str">
        <f>IF(H43&lt;0,IF(J43&gt;0,"Gain (Loss) on Disposal of Capital Assets","Loss on Disposal of Capital Assets"),IF(H43&gt;0,IF(J43&gt;=0,"Gain on Disposal of Capital Assets","Gain (Loss) on Disposal of Capital Assets"),IF(J43&lt;0,"Loss on Disposal of Capital Assets",IF(J43&gt;0,"Gain on Disposal of Capital Assets","Gain (Loss) on Disposal of Capital Assets"))))</f>
        <v>Gain (Loss) on Disposal of Capital Assets</v>
      </c>
      <c r="B43" s="35"/>
      <c r="C43" s="14"/>
      <c r="D43" s="14"/>
      <c r="E43" s="35"/>
      <c r="F43" s="14"/>
      <c r="G43" s="15"/>
      <c r="H43" s="80">
        <v>0</v>
      </c>
      <c r="I43" s="49"/>
      <c r="J43" s="80">
        <v>0</v>
      </c>
      <c r="K43" s="80">
        <f t="shared" si="1"/>
        <v>0</v>
      </c>
      <c r="L43" s="81"/>
    </row>
    <row r="44" spans="1:12">
      <c r="A44" s="36" t="s">
        <v>73</v>
      </c>
      <c r="B44" s="35"/>
      <c r="C44" s="35"/>
      <c r="D44" s="35"/>
      <c r="E44" s="35"/>
      <c r="F44" s="35"/>
      <c r="G44" s="35"/>
      <c r="H44" s="80">
        <v>-276793.62</v>
      </c>
      <c r="I44" s="49"/>
      <c r="J44" s="80">
        <v>0</v>
      </c>
      <c r="K44" s="80">
        <f t="shared" si="1"/>
        <v>-276794</v>
      </c>
      <c r="L44" s="81"/>
    </row>
    <row r="45" spans="1:12">
      <c r="A45" s="36" t="s">
        <v>75</v>
      </c>
      <c r="B45" s="35"/>
      <c r="C45" s="14"/>
      <c r="D45" s="14"/>
      <c r="E45" s="35"/>
      <c r="F45" s="14"/>
      <c r="G45" s="15"/>
      <c r="H45" s="82"/>
      <c r="I45" s="49"/>
      <c r="J45" s="82">
        <v>0</v>
      </c>
      <c r="K45" s="82">
        <f t="shared" si="1"/>
        <v>0</v>
      </c>
      <c r="L45" s="81"/>
    </row>
    <row r="46" spans="1:12">
      <c r="A46" s="35"/>
      <c r="B46" s="35"/>
      <c r="C46" s="35"/>
      <c r="D46" s="35"/>
      <c r="E46" s="35"/>
      <c r="F46" s="35"/>
      <c r="G46" s="35"/>
      <c r="H46" s="83"/>
      <c r="I46" s="84"/>
      <c r="J46" s="83"/>
      <c r="K46" s="83"/>
      <c r="L46" s="85"/>
    </row>
    <row r="47" spans="1:12">
      <c r="A47" s="29" t="s">
        <v>77</v>
      </c>
      <c r="B47" s="35"/>
      <c r="C47" s="14"/>
      <c r="D47" s="14"/>
      <c r="E47" s="14"/>
      <c r="F47" s="14"/>
      <c r="G47" s="15"/>
      <c r="H47" s="66">
        <f t="array" ref="H47">SUM(ROUND(H37:H45,0))</f>
        <v>389094407</v>
      </c>
      <c r="I47" s="59"/>
      <c r="J47" s="66">
        <f t="array" ref="J47">SUM(ROUND(J37:J45,0))</f>
        <v>6308365</v>
      </c>
      <c r="K47" s="66">
        <f t="array" ref="K47">SUM(ROUND(K37:K45,0))</f>
        <v>395402772</v>
      </c>
      <c r="L47" s="68"/>
    </row>
    <row r="48" spans="1:12">
      <c r="A48" s="86"/>
      <c r="B48" s="87"/>
      <c r="C48" s="15"/>
      <c r="D48" s="15"/>
      <c r="E48" s="15"/>
      <c r="F48" s="15"/>
      <c r="G48" s="15"/>
      <c r="H48" s="59"/>
      <c r="I48" s="59"/>
      <c r="J48" s="59"/>
      <c r="K48" s="59"/>
      <c r="L48" s="77"/>
    </row>
    <row r="49" spans="1:12">
      <c r="A49" s="65" t="str">
        <f>IF(H50&lt;0,IF(J50&gt;0,"Income (Loss) Before Other Revenues,","Loss Before Other Revenues,"),IF(H50&gt;0,IF(J50&gt;=0,"Income Before Other Revenues,","Income (Loss) Before Other Revenues,"),IF(J59&lt;0,"Loss Before Other Revenues,",IF(J59&gt;0,"Income Before Other Revenues,","Income (Loss) Before Other Revenues,"))))</f>
        <v>Income Before Other Revenues,</v>
      </c>
      <c r="B49" s="35"/>
      <c r="C49" s="35"/>
      <c r="D49" s="14"/>
      <c r="E49" s="14"/>
      <c r="F49" s="14"/>
      <c r="G49" s="15"/>
      <c r="H49" s="35"/>
      <c r="I49" s="35"/>
      <c r="J49" s="35"/>
      <c r="K49" s="35"/>
      <c r="L49" s="37"/>
    </row>
    <row r="50" spans="1:12">
      <c r="A50" s="14"/>
      <c r="B50" s="29" t="s">
        <v>78</v>
      </c>
      <c r="C50" s="14"/>
      <c r="D50" s="14"/>
      <c r="E50" s="14"/>
      <c r="F50" s="14"/>
      <c r="G50" s="15"/>
      <c r="H50" s="66">
        <f>H34+H47</f>
        <v>33140195</v>
      </c>
      <c r="I50" s="59"/>
      <c r="J50" s="66">
        <f>J34+J47</f>
        <v>7083162</v>
      </c>
      <c r="K50" s="66">
        <f>K34+K47</f>
        <v>40223357</v>
      </c>
      <c r="L50" s="68"/>
    </row>
    <row r="51" spans="1:12">
      <c r="A51" s="14"/>
      <c r="B51" s="29"/>
      <c r="C51" s="14"/>
      <c r="D51" s="14"/>
      <c r="E51" s="14"/>
      <c r="F51" s="14"/>
      <c r="G51" s="15"/>
      <c r="H51" s="17"/>
      <c r="I51" s="17"/>
      <c r="J51" s="17"/>
      <c r="K51" s="17"/>
      <c r="L51" s="18"/>
    </row>
    <row r="52" spans="1:12">
      <c r="A52" s="36" t="s">
        <v>80</v>
      </c>
      <c r="B52" s="35"/>
      <c r="C52" s="14"/>
      <c r="D52" s="14"/>
      <c r="E52" s="14"/>
      <c r="F52" s="35"/>
      <c r="G52" s="15"/>
      <c r="H52" s="80">
        <v>9329179.5</v>
      </c>
      <c r="I52" s="49"/>
      <c r="J52" s="80">
        <v>0</v>
      </c>
      <c r="K52" s="80">
        <f>ROUND(J52,0)+ROUND(H52,0)</f>
        <v>9329180</v>
      </c>
      <c r="L52" s="81"/>
    </row>
    <row r="53" spans="1:12">
      <c r="A53" s="36" t="s">
        <v>83</v>
      </c>
      <c r="B53" s="35"/>
      <c r="C53" s="14"/>
      <c r="D53" s="14"/>
      <c r="E53" s="14"/>
      <c r="F53" s="35"/>
      <c r="G53" s="15"/>
      <c r="H53" s="50">
        <v>21018560.399999999</v>
      </c>
      <c r="I53" s="230"/>
      <c r="J53" s="50">
        <v>0</v>
      </c>
      <c r="K53" s="50">
        <f>ROUND(J53,0)+ROUND(H53,0)</f>
        <v>21018560</v>
      </c>
      <c r="L53" s="51"/>
    </row>
    <row r="54" spans="1:12">
      <c r="A54" s="14" t="s">
        <v>86</v>
      </c>
      <c r="B54" s="35"/>
      <c r="C54" s="14"/>
      <c r="D54" s="14"/>
      <c r="E54" s="14"/>
      <c r="F54" s="35"/>
      <c r="G54" s="15"/>
      <c r="H54" s="89">
        <v>0</v>
      </c>
      <c r="I54" s="230"/>
      <c r="J54" s="89">
        <v>0</v>
      </c>
      <c r="K54" s="89">
        <f>ROUND(J54,0)+ROUND(H54,0)</f>
        <v>0</v>
      </c>
      <c r="L54" s="51"/>
    </row>
    <row r="55" spans="1:12">
      <c r="A55" s="76" t="str">
        <f>IF(H55&lt;0,IF(J55&gt;0,"Other Revenues (Expenses)","Other Expenses"),IF(H55&gt;0,IF(J55&gt;=0,"Other Revenues","Other Revenues (Expenses)"),IF(J55&lt;0,"Other Expenses",IF(J55&gt;0,"Other Revenues","Other Revenues (Expenses)"))))</f>
        <v>Other Revenues (Expenses)</v>
      </c>
      <c r="B55" s="35"/>
      <c r="C55" s="14"/>
      <c r="D55" s="14"/>
      <c r="E55" s="14"/>
      <c r="F55" s="35"/>
      <c r="G55" s="15"/>
      <c r="H55" s="58">
        <v>0</v>
      </c>
      <c r="I55" s="230"/>
      <c r="J55" s="58">
        <v>0</v>
      </c>
      <c r="K55" s="58">
        <f>ROUND(J55,0)+ROUND(H55,0)</f>
        <v>0</v>
      </c>
      <c r="L55" s="51"/>
    </row>
    <row r="56" spans="1:12">
      <c r="A56" s="35"/>
      <c r="B56" s="35"/>
      <c r="C56" s="14"/>
      <c r="D56" s="14"/>
      <c r="E56" s="14"/>
      <c r="F56" s="14"/>
      <c r="G56" s="15"/>
      <c r="H56" s="83"/>
      <c r="I56" s="84"/>
      <c r="J56" s="83"/>
      <c r="K56" s="83"/>
      <c r="L56" s="85"/>
    </row>
    <row r="57" spans="1:12">
      <c r="A57" s="29" t="s">
        <v>89</v>
      </c>
      <c r="B57" s="35"/>
      <c r="C57" s="35"/>
      <c r="D57" s="14"/>
      <c r="E57" s="14"/>
      <c r="F57" s="14"/>
      <c r="G57" s="15"/>
      <c r="H57" s="90">
        <f t="array" ref="H57">SUM(ROUND(H52:H55,0))</f>
        <v>30347740</v>
      </c>
      <c r="I57" s="59"/>
      <c r="J57" s="90">
        <f t="array" ref="J57">SUM(ROUND(J52:J55,0))</f>
        <v>0</v>
      </c>
      <c r="K57" s="90">
        <f t="array" ref="K57">SUM(ROUND(K52:K55,0))</f>
        <v>30347740</v>
      </c>
      <c r="L57" s="91"/>
    </row>
    <row r="58" spans="1:12">
      <c r="A58" s="29"/>
      <c r="B58" s="35"/>
      <c r="C58" s="35"/>
      <c r="D58" s="14"/>
      <c r="E58" s="14"/>
      <c r="F58" s="14"/>
      <c r="G58" s="15"/>
      <c r="H58" s="59"/>
      <c r="I58" s="59"/>
      <c r="J58" s="59"/>
      <c r="K58" s="59"/>
      <c r="L58" s="77"/>
    </row>
    <row r="59" spans="1:12">
      <c r="A59" s="65" t="str">
        <f>IF(H59&lt;0,IF(J59&gt;0,"Increase (Decrease) in Net Position","Decrease in Net Position"),IF(H59&gt;0,IF(J59&gt;=0,"Increase in Net Position","Increase (Decrease) in Net Position"),IF(J59&lt;0,"Decrease in Net Position",IF(J59&gt;0,"Increase in Net Position","Increase (Decrease) in Net Position"))))</f>
        <v>Increase in Net Position</v>
      </c>
      <c r="B59" s="35"/>
      <c r="C59" s="35"/>
      <c r="D59" s="14"/>
      <c r="E59" s="14"/>
      <c r="F59" s="14"/>
      <c r="G59" s="15"/>
      <c r="H59" s="90">
        <f>H50+H57</f>
        <v>63487935</v>
      </c>
      <c r="I59" s="92"/>
      <c r="J59" s="90">
        <f>J50+J57</f>
        <v>7083162</v>
      </c>
      <c r="K59" s="90">
        <f>K50+K57</f>
        <v>70571097</v>
      </c>
      <c r="L59" s="91"/>
    </row>
    <row r="60" spans="1:12">
      <c r="A60" s="93"/>
      <c r="B60" s="35"/>
      <c r="C60" s="35"/>
      <c r="D60" s="14"/>
      <c r="E60" s="14"/>
      <c r="F60" s="14"/>
      <c r="G60" s="15"/>
      <c r="H60" s="94"/>
      <c r="I60" s="94"/>
      <c r="J60" s="94"/>
      <c r="K60" s="94"/>
      <c r="L60" s="95"/>
    </row>
    <row r="61" spans="1:12">
      <c r="A61" s="14" t="s">
        <v>91</v>
      </c>
      <c r="B61" s="35"/>
      <c r="C61" s="14"/>
      <c r="D61" s="14"/>
      <c r="E61" s="14"/>
      <c r="F61" s="14"/>
      <c r="G61" s="15"/>
      <c r="H61" s="96">
        <f>VLOOKUP($A$1,[19]VLOOKUPS!A44:D71,2,FALSE)</f>
        <v>1363606850</v>
      </c>
      <c r="I61" s="49"/>
      <c r="J61" s="96">
        <f>VLOOKUP($A$1,[19]VLOOKUPS!A44:D71,3,FALSE)</f>
        <v>125521527</v>
      </c>
      <c r="K61" s="89">
        <f>ROUND(J61,0)+ROUND(H61,0)</f>
        <v>1489128377</v>
      </c>
      <c r="L61" s="97"/>
    </row>
    <row r="62" spans="1:12">
      <c r="A62" s="14" t="s">
        <v>94</v>
      </c>
      <c r="B62" s="35"/>
      <c r="C62" s="14"/>
      <c r="D62" s="14"/>
      <c r="E62" s="14"/>
      <c r="F62" s="14"/>
      <c r="G62" s="15"/>
      <c r="H62" s="82">
        <v>-105184350</v>
      </c>
      <c r="I62" s="49"/>
      <c r="J62" s="82">
        <v>0</v>
      </c>
      <c r="K62" s="82">
        <f>ROUND(J62,0)+ROUND(H62,0)</f>
        <v>-105184350</v>
      </c>
      <c r="L62" s="81"/>
    </row>
    <row r="63" spans="1:12">
      <c r="A63" s="36"/>
      <c r="B63" s="36"/>
      <c r="C63" s="36"/>
      <c r="D63" s="36"/>
      <c r="E63" s="36"/>
      <c r="F63" s="98"/>
      <c r="G63" s="36"/>
      <c r="H63" s="92"/>
      <c r="I63" s="99"/>
      <c r="J63" s="99"/>
      <c r="K63" s="99"/>
      <c r="L63" s="100"/>
    </row>
    <row r="64" spans="1:12">
      <c r="A64" s="101" t="s">
        <v>95</v>
      </c>
      <c r="B64" s="36"/>
      <c r="C64" s="36"/>
      <c r="D64" s="36"/>
      <c r="E64" s="36"/>
      <c r="F64" s="60"/>
      <c r="G64" s="60"/>
      <c r="H64" s="90">
        <f t="array" ref="H64">SUM(ROUND(H61:H62,0))</f>
        <v>1258422500</v>
      </c>
      <c r="I64" s="92"/>
      <c r="J64" s="90">
        <f t="array" ref="J64">SUM(ROUND(J61:J62,0))</f>
        <v>125521527</v>
      </c>
      <c r="K64" s="90">
        <f t="array" ref="K64">SUM(ROUND(K61:K62,0))</f>
        <v>1383944027</v>
      </c>
      <c r="L64" s="91"/>
    </row>
    <row r="65" spans="1:12">
      <c r="A65" s="36"/>
      <c r="B65" s="36"/>
      <c r="C65" s="36"/>
      <c r="D65" s="36"/>
      <c r="E65" s="36"/>
      <c r="F65" s="102"/>
      <c r="G65" s="36"/>
      <c r="H65" s="102"/>
      <c r="I65" s="60"/>
      <c r="J65" s="60"/>
      <c r="K65" s="60"/>
      <c r="L65" s="61"/>
    </row>
    <row r="66" spans="1:12" ht="13.5" thickBot="1">
      <c r="A66" s="29" t="s">
        <v>96</v>
      </c>
      <c r="B66" s="35"/>
      <c r="C66" s="14"/>
      <c r="D66" s="14"/>
      <c r="E66" s="14"/>
      <c r="F66" s="14"/>
      <c r="G66" s="103"/>
      <c r="H66" s="104">
        <f>H59+H64</f>
        <v>1321910435</v>
      </c>
      <c r="I66" s="105"/>
      <c r="J66" s="104">
        <f>J59+J64</f>
        <v>132604689</v>
      </c>
      <c r="K66" s="104">
        <f>K59+K64</f>
        <v>1454515124</v>
      </c>
      <c r="L66" s="46"/>
    </row>
    <row r="67" spans="1:12" ht="13.5" thickTop="1">
      <c r="A67" s="14"/>
      <c r="B67" s="14"/>
      <c r="C67" s="14"/>
      <c r="D67" s="14"/>
      <c r="E67" s="14"/>
      <c r="F67" s="14"/>
      <c r="G67" s="15"/>
      <c r="H67" s="107"/>
      <c r="I67" s="15"/>
      <c r="J67" s="107"/>
      <c r="K67" s="107"/>
      <c r="L67" s="108"/>
    </row>
    <row r="68" spans="1:12">
      <c r="A68" s="35" t="s">
        <v>97</v>
      </c>
      <c r="B68" s="35"/>
      <c r="C68" s="35"/>
      <c r="D68" s="35"/>
      <c r="E68" s="35"/>
      <c r="F68" s="35"/>
      <c r="G68" s="87"/>
      <c r="H68" s="35"/>
      <c r="I68" s="87"/>
      <c r="J68" s="35"/>
      <c r="K68" s="35"/>
      <c r="L68" s="37"/>
    </row>
    <row r="69" spans="1:12">
      <c r="G69" s="6"/>
      <c r="H69" s="109">
        <f>H66-[19]SNP!K119</f>
        <v>-4</v>
      </c>
      <c r="I69" s="110"/>
      <c r="J69" s="111">
        <f>J66-[19]SNP!M119</f>
        <v>0</v>
      </c>
      <c r="K69" s="111">
        <f>K66-[19]SNP!N119</f>
        <v>-4</v>
      </c>
      <c r="L69" s="112"/>
    </row>
    <row r="70" spans="1:12">
      <c r="G70" s="113" t="s">
        <v>98</v>
      </c>
      <c r="H70" s="114"/>
      <c r="I70" s="115"/>
      <c r="J70" s="114"/>
      <c r="K70" s="114"/>
      <c r="L70" s="114"/>
    </row>
  </sheetData>
  <sheetProtection formatColumns="0" formatRows="0"/>
  <conditionalFormatting sqref="H69 J69">
    <cfRule type="cellIs" dxfId="209" priority="14" operator="notEqual">
      <formula>0</formula>
    </cfRule>
    <cfRule type="cellIs" dxfId="208" priority="15" operator="equal">
      <formula>0</formula>
    </cfRule>
  </conditionalFormatting>
  <conditionalFormatting sqref="H11:H15 J24:J30 J37:J45 H37:H45 J62 H62 J17:J18 H25:H29 H17:H18 D17:E17 J11:J15 J52:J55 H52:H55 D11:E11">
    <cfRule type="containsBlanks" dxfId="207" priority="12">
      <formula>LEN(TRIM(D11))=0</formula>
    </cfRule>
    <cfRule type="cellIs" dxfId="206" priority="13" operator="notEqual">
      <formula>0</formula>
    </cfRule>
  </conditionalFormatting>
  <conditionalFormatting sqref="H11">
    <cfRule type="cellIs" dxfId="205" priority="11" operator="notEqual">
      <formula>H20</formula>
    </cfRule>
  </conditionalFormatting>
  <conditionalFormatting sqref="J11">
    <cfRule type="cellIs" dxfId="204" priority="10" operator="notEqual">
      <formula>J20</formula>
    </cfRule>
  </conditionalFormatting>
  <conditionalFormatting sqref="K69">
    <cfRule type="cellIs" dxfId="203" priority="8" operator="notEqual">
      <formula>0</formula>
    </cfRule>
    <cfRule type="cellIs" dxfId="202" priority="9" operator="equal">
      <formula>0</formula>
    </cfRule>
  </conditionalFormatting>
  <conditionalFormatting sqref="K24:K30 K37:K45 K62 K17:K18 K11:K15 K52:K55">
    <cfRule type="containsBlanks" dxfId="201" priority="6">
      <formula>LEN(TRIM(K11))=0</formula>
    </cfRule>
    <cfRule type="cellIs" dxfId="200" priority="7" operator="notEqual">
      <formula>0</formula>
    </cfRule>
  </conditionalFormatting>
  <conditionalFormatting sqref="K11">
    <cfRule type="cellIs" dxfId="199" priority="5" operator="notEqual">
      <formula>K20</formula>
    </cfRule>
  </conditionalFormatting>
  <conditionalFormatting sqref="H24">
    <cfRule type="containsBlanks" dxfId="198" priority="3">
      <formula>LEN(TRIM(H24))=0</formula>
    </cfRule>
    <cfRule type="cellIs" dxfId="197" priority="4" operator="notEqual">
      <formula>0</formula>
    </cfRule>
  </conditionalFormatting>
  <conditionalFormatting sqref="K61">
    <cfRule type="containsBlanks" dxfId="196" priority="1">
      <formula>LEN(TRIM(K61))=0</formula>
    </cfRule>
    <cfRule type="cellIs" dxfId="195" priority="2" operator="notEqual">
      <formula>0</formula>
    </cfRule>
  </conditionalFormatting>
  <printOptions horizontalCentered="1"/>
  <pageMargins left="0.7" right="0.7" top="0.75" bottom="0.75" header="0.5" footer="0.5"/>
  <pageSetup scale="53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  <pageSetUpPr fitToPage="1"/>
  </sheetPr>
  <dimension ref="A1:R70"/>
  <sheetViews>
    <sheetView zoomScale="90" zoomScaleNormal="90" zoomScaleSheetLayoutView="70" workbookViewId="0"/>
  </sheetViews>
  <sheetFormatPr defaultColWidth="11.140625" defaultRowHeight="12.75"/>
  <cols>
    <col min="1" max="6" width="11.140625" style="6"/>
    <col min="7" max="7" width="11.140625" style="11"/>
    <col min="8" max="8" width="15.5703125" style="6" customWidth="1"/>
    <col min="9" max="9" width="14.42578125" style="11" customWidth="1"/>
    <col min="10" max="10" width="14.7109375" style="6" customWidth="1"/>
    <col min="11" max="11" width="13.140625" style="6" customWidth="1"/>
    <col min="12" max="12" width="11.140625" style="6"/>
    <col min="13" max="13" width="11.140625" style="10"/>
    <col min="14" max="18" width="11.140625" style="5"/>
    <col min="19" max="16384" width="11.140625" style="6"/>
  </cols>
  <sheetData>
    <row r="1" spans="1:12">
      <c r="A1" s="260" t="str">
        <f>'[20]Contact Information'!$C$5</f>
        <v>NORTH FLORIDA COMMUNITY COLLEGE</v>
      </c>
      <c r="B1" s="260"/>
      <c r="C1" s="260"/>
      <c r="D1" s="260"/>
      <c r="E1" s="260"/>
      <c r="F1" s="260"/>
      <c r="G1" s="260"/>
      <c r="H1" s="260"/>
      <c r="I1" s="260"/>
      <c r="J1" s="260"/>
      <c r="K1" s="247"/>
      <c r="L1" s="3"/>
    </row>
    <row r="2" spans="1:12">
      <c r="A2" s="256" t="s">
        <v>0</v>
      </c>
      <c r="B2" s="256"/>
      <c r="C2" s="256"/>
      <c r="D2" s="256"/>
      <c r="E2" s="256"/>
      <c r="F2" s="256"/>
      <c r="G2" s="256"/>
      <c r="H2" s="256"/>
      <c r="I2" s="256"/>
      <c r="J2" s="256"/>
      <c r="K2" s="245"/>
      <c r="L2" s="7"/>
    </row>
    <row r="3" spans="1:12">
      <c r="A3" s="86" t="s">
        <v>1</v>
      </c>
      <c r="B3" s="86"/>
      <c r="C3" s="86"/>
      <c r="D3" s="86"/>
      <c r="E3" s="86"/>
      <c r="F3" s="86"/>
      <c r="G3" s="86"/>
      <c r="H3" s="86"/>
      <c r="I3" s="86"/>
      <c r="J3" s="86"/>
      <c r="K3" s="248"/>
      <c r="L3" s="9" t="s">
        <v>2</v>
      </c>
    </row>
    <row r="4" spans="1:12">
      <c r="A4" s="261" t="s">
        <v>297</v>
      </c>
      <c r="B4" s="261"/>
      <c r="C4" s="261"/>
      <c r="D4" s="261"/>
      <c r="E4" s="261"/>
      <c r="F4" s="261"/>
      <c r="G4" s="261"/>
      <c r="H4" s="261"/>
      <c r="I4" s="261"/>
      <c r="J4" s="261"/>
      <c r="K4" s="249"/>
      <c r="L4" s="11" t="str">
        <f>'[20]Contact Information'!$C$3</f>
        <v>2015.v02</v>
      </c>
    </row>
    <row r="5" spans="1:12">
      <c r="A5" s="14"/>
      <c r="B5" s="14"/>
      <c r="C5" s="14"/>
      <c r="D5" s="14"/>
      <c r="E5" s="14"/>
      <c r="F5" s="14"/>
      <c r="G5" s="15"/>
      <c r="H5" s="16"/>
      <c r="I5" s="17"/>
      <c r="J5" s="16"/>
      <c r="K5" s="16"/>
      <c r="L5" s="18"/>
    </row>
    <row r="6" spans="1:12">
      <c r="A6" s="14"/>
      <c r="B6" s="14"/>
      <c r="C6" s="14"/>
      <c r="D6" s="14"/>
      <c r="E6" s="14"/>
      <c r="F6" s="14"/>
      <c r="G6" s="15"/>
      <c r="H6" s="249" t="s">
        <v>5</v>
      </c>
      <c r="I6" s="21"/>
      <c r="J6" s="22" t="s">
        <v>6</v>
      </c>
      <c r="K6" s="22" t="s">
        <v>7</v>
      </c>
      <c r="L6" s="23"/>
    </row>
    <row r="7" spans="1:12">
      <c r="A7" s="14"/>
      <c r="B7" s="14"/>
      <c r="C7" s="14"/>
      <c r="D7" s="14"/>
      <c r="E7" s="14"/>
      <c r="F7" s="14"/>
      <c r="G7" s="15"/>
      <c r="H7" s="24"/>
      <c r="I7" s="25"/>
      <c r="J7" s="26" t="str">
        <f>[20]SNP!$M$9</f>
        <v>Unit</v>
      </c>
      <c r="K7" s="26"/>
      <c r="L7" s="27"/>
    </row>
    <row r="8" spans="1:12">
      <c r="A8" s="29" t="s">
        <v>9</v>
      </c>
      <c r="B8" s="14"/>
      <c r="C8" s="14"/>
      <c r="D8" s="14"/>
      <c r="E8" s="14"/>
      <c r="F8" s="14"/>
      <c r="G8" s="15"/>
      <c r="H8" s="25"/>
      <c r="I8" s="25"/>
      <c r="J8" s="25"/>
      <c r="K8" s="25"/>
      <c r="L8" s="30"/>
    </row>
    <row r="9" spans="1:12">
      <c r="A9" s="14" t="s">
        <v>12</v>
      </c>
      <c r="B9" s="14"/>
      <c r="C9" s="14"/>
      <c r="D9" s="14"/>
      <c r="E9" s="14"/>
      <c r="F9" s="14"/>
      <c r="G9" s="15"/>
      <c r="H9" s="17"/>
      <c r="I9" s="17"/>
      <c r="J9" s="17"/>
      <c r="K9" s="17"/>
      <c r="L9" s="18"/>
    </row>
    <row r="10" spans="1:12">
      <c r="A10" s="35"/>
      <c r="B10" s="36" t="s">
        <v>14</v>
      </c>
      <c r="C10" s="14"/>
      <c r="D10" s="14"/>
      <c r="E10" s="14"/>
      <c r="F10" s="14"/>
      <c r="G10" s="35"/>
      <c r="H10" s="35"/>
      <c r="I10" s="17"/>
      <c r="J10" s="35"/>
      <c r="K10" s="35"/>
      <c r="L10" s="37"/>
    </row>
    <row r="11" spans="1:12">
      <c r="A11" s="35"/>
      <c r="B11" s="44" t="s">
        <v>19</v>
      </c>
      <c r="C11" s="35"/>
      <c r="D11" s="263">
        <v>1464614</v>
      </c>
      <c r="E11" s="263"/>
      <c r="F11" s="45"/>
      <c r="G11" s="36"/>
      <c r="H11" s="228">
        <v>894060</v>
      </c>
      <c r="I11" s="229"/>
      <c r="J11" s="228">
        <v>0</v>
      </c>
      <c r="K11" s="228">
        <f>ROUND(J11,0)+ROUND(H11,0)</f>
        <v>894060</v>
      </c>
      <c r="L11" s="46"/>
    </row>
    <row r="12" spans="1:12">
      <c r="A12" s="35"/>
      <c r="B12" s="36" t="s">
        <v>22</v>
      </c>
      <c r="C12" s="14"/>
      <c r="D12" s="48"/>
      <c r="E12" s="49"/>
      <c r="F12" s="15"/>
      <c r="G12" s="35"/>
      <c r="H12" s="50">
        <v>1150721</v>
      </c>
      <c r="I12" s="230"/>
      <c r="J12" s="50">
        <v>0</v>
      </c>
      <c r="K12" s="50">
        <f>ROUND(J12,0)+ROUND(H12,0)</f>
        <v>1150721</v>
      </c>
      <c r="L12" s="51"/>
    </row>
    <row r="13" spans="1:12">
      <c r="A13" s="35"/>
      <c r="B13" s="36" t="s">
        <v>24</v>
      </c>
      <c r="C13" s="14"/>
      <c r="D13" s="48"/>
      <c r="E13" s="48"/>
      <c r="F13" s="14"/>
      <c r="G13" s="35"/>
      <c r="H13" s="50">
        <v>217655</v>
      </c>
      <c r="I13" s="230"/>
      <c r="J13" s="50">
        <v>0</v>
      </c>
      <c r="K13" s="50">
        <f>ROUND(J13,0)+ROUND(H13,0)</f>
        <v>217655</v>
      </c>
      <c r="L13" s="51"/>
    </row>
    <row r="14" spans="1:12">
      <c r="A14" s="35"/>
      <c r="B14" s="36" t="s">
        <v>26</v>
      </c>
      <c r="C14" s="14"/>
      <c r="D14" s="48"/>
      <c r="E14" s="48"/>
      <c r="F14" s="14"/>
      <c r="G14" s="35"/>
      <c r="H14" s="50">
        <v>142928</v>
      </c>
      <c r="I14" s="230"/>
      <c r="J14" s="50">
        <v>380888</v>
      </c>
      <c r="K14" s="50">
        <f>ROUND(J14,0)+ROUND(H14,0)</f>
        <v>523816</v>
      </c>
      <c r="L14" s="51"/>
    </row>
    <row r="15" spans="1:12">
      <c r="A15" s="35"/>
      <c r="B15" s="36" t="s">
        <v>28</v>
      </c>
      <c r="C15" s="14"/>
      <c r="D15" s="48"/>
      <c r="E15" s="48"/>
      <c r="F15" s="35"/>
      <c r="G15" s="35"/>
      <c r="H15" s="50">
        <v>55772</v>
      </c>
      <c r="I15" s="230"/>
      <c r="J15" s="50">
        <v>0</v>
      </c>
      <c r="K15" s="50">
        <f>ROUND(J15,0)+ROUND(H15,0)</f>
        <v>55772</v>
      </c>
      <c r="L15" s="51"/>
    </row>
    <row r="16" spans="1:12">
      <c r="A16" s="35"/>
      <c r="B16" s="36" t="s">
        <v>29</v>
      </c>
      <c r="C16" s="14"/>
      <c r="D16" s="54"/>
      <c r="E16" s="49"/>
      <c r="F16" s="55"/>
      <c r="G16" s="35"/>
      <c r="H16" s="35"/>
      <c r="I16" s="230"/>
      <c r="J16" s="35"/>
      <c r="K16" s="35"/>
      <c r="L16" s="37"/>
    </row>
    <row r="17" spans="1:12">
      <c r="A17" s="35"/>
      <c r="B17" s="44" t="s">
        <v>19</v>
      </c>
      <c r="C17" s="35"/>
      <c r="D17" s="263">
        <v>317235</v>
      </c>
      <c r="E17" s="263"/>
      <c r="F17" s="55"/>
      <c r="G17" s="35"/>
      <c r="H17" s="50">
        <v>92629</v>
      </c>
      <c r="I17" s="230"/>
      <c r="J17" s="50">
        <v>0</v>
      </c>
      <c r="K17" s="50">
        <f>ROUND(J17,0)+ROUND(H17,0)</f>
        <v>92629</v>
      </c>
      <c r="L17" s="51"/>
    </row>
    <row r="18" spans="1:12">
      <c r="A18" s="35"/>
      <c r="B18" s="57" t="s">
        <v>33</v>
      </c>
      <c r="C18" s="14"/>
      <c r="D18" s="14"/>
      <c r="E18" s="14"/>
      <c r="F18" s="14"/>
      <c r="G18" s="36"/>
      <c r="H18" s="58">
        <v>45817</v>
      </c>
      <c r="I18" s="230"/>
      <c r="J18" s="58">
        <v>0</v>
      </c>
      <c r="K18" s="58">
        <f>ROUND(J18,0)+ROUND(H18,0)</f>
        <v>45817</v>
      </c>
      <c r="L18" s="51"/>
    </row>
    <row r="19" spans="1:12">
      <c r="A19" s="36"/>
      <c r="B19" s="36"/>
      <c r="C19" s="36"/>
      <c r="D19" s="36"/>
      <c r="E19" s="36"/>
      <c r="F19" s="59"/>
      <c r="G19" s="59"/>
      <c r="H19" s="59"/>
      <c r="I19" s="60"/>
      <c r="J19" s="60"/>
      <c r="K19" s="60"/>
      <c r="L19" s="61"/>
    </row>
    <row r="20" spans="1:12">
      <c r="A20" s="35"/>
      <c r="B20" s="65" t="s">
        <v>35</v>
      </c>
      <c r="C20" s="35"/>
      <c r="D20" s="14"/>
      <c r="E20" s="14"/>
      <c r="F20" s="14"/>
      <c r="G20" s="15"/>
      <c r="H20" s="66">
        <f t="array" ref="H20">SUM(ROUND(H11:H18,0))</f>
        <v>2599582</v>
      </c>
      <c r="I20" s="67"/>
      <c r="J20" s="66">
        <f t="array" ref="J20">SUM(ROUND(J11:J18,0))</f>
        <v>380888</v>
      </c>
      <c r="K20" s="66">
        <f t="array" ref="K20">SUM(ROUND(K11:K18,0))</f>
        <v>2980470</v>
      </c>
      <c r="L20" s="68"/>
    </row>
    <row r="21" spans="1:12">
      <c r="A21" s="14"/>
      <c r="B21" s="14"/>
      <c r="C21" s="14"/>
      <c r="D21" s="14"/>
      <c r="E21" s="14"/>
      <c r="F21" s="14"/>
      <c r="G21" s="15"/>
      <c r="H21" s="17"/>
      <c r="I21" s="17"/>
      <c r="J21" s="17"/>
      <c r="K21" s="17"/>
      <c r="L21" s="18"/>
    </row>
    <row r="22" spans="1:12">
      <c r="A22" s="29" t="s">
        <v>36</v>
      </c>
      <c r="B22" s="14"/>
      <c r="C22" s="14"/>
      <c r="D22" s="14"/>
      <c r="E22" s="14"/>
      <c r="F22" s="14"/>
      <c r="G22" s="15"/>
      <c r="H22" s="16"/>
      <c r="I22" s="17"/>
      <c r="J22" s="16"/>
      <c r="K22" s="16"/>
      <c r="L22" s="18"/>
    </row>
    <row r="23" spans="1:12">
      <c r="A23" s="14" t="s">
        <v>37</v>
      </c>
      <c r="B23" s="14"/>
      <c r="C23" s="14"/>
      <c r="D23" s="14"/>
      <c r="E23" s="35"/>
      <c r="F23" s="14"/>
      <c r="G23" s="15"/>
      <c r="H23" s="16"/>
      <c r="I23" s="17"/>
      <c r="J23" s="16"/>
      <c r="K23" s="16"/>
      <c r="L23" s="18"/>
    </row>
    <row r="24" spans="1:12">
      <c r="A24" s="44"/>
      <c r="B24" s="36" t="s">
        <v>40</v>
      </c>
      <c r="C24" s="14"/>
      <c r="D24" s="14"/>
      <c r="E24" s="35"/>
      <c r="F24" s="14"/>
      <c r="G24" s="15"/>
      <c r="H24" s="50">
        <f>7290408-147657</f>
        <v>7142751</v>
      </c>
      <c r="I24" s="230"/>
      <c r="J24" s="50">
        <v>129188</v>
      </c>
      <c r="K24" s="50">
        <f t="shared" ref="K24:K30" si="0">ROUND(J24,0)+ROUND(H24,0)</f>
        <v>7271939</v>
      </c>
      <c r="L24" s="51"/>
    </row>
    <row r="25" spans="1:12">
      <c r="A25" s="44"/>
      <c r="B25" s="36" t="s">
        <v>42</v>
      </c>
      <c r="C25" s="14"/>
      <c r="D25" s="14"/>
      <c r="E25" s="35"/>
      <c r="F25" s="14"/>
      <c r="G25" s="15"/>
      <c r="H25" s="50">
        <v>1335815</v>
      </c>
      <c r="I25" s="230"/>
      <c r="J25" s="50">
        <v>199909</v>
      </c>
      <c r="K25" s="50">
        <f t="shared" si="0"/>
        <v>1535724</v>
      </c>
      <c r="L25" s="51"/>
    </row>
    <row r="26" spans="1:12">
      <c r="A26" s="44"/>
      <c r="B26" s="36" t="s">
        <v>44</v>
      </c>
      <c r="C26" s="14"/>
      <c r="D26" s="14"/>
      <c r="E26" s="35"/>
      <c r="F26" s="14"/>
      <c r="G26" s="15"/>
      <c r="H26" s="50">
        <v>595702</v>
      </c>
      <c r="I26" s="230"/>
      <c r="J26" s="50">
        <f>115+640+12000</f>
        <v>12755</v>
      </c>
      <c r="K26" s="50">
        <f t="shared" si="0"/>
        <v>608457</v>
      </c>
      <c r="L26" s="51"/>
    </row>
    <row r="27" spans="1:12">
      <c r="A27" s="44"/>
      <c r="B27" s="36" t="s">
        <v>46</v>
      </c>
      <c r="C27" s="14"/>
      <c r="D27" s="14"/>
      <c r="E27" s="35"/>
      <c r="F27" s="14"/>
      <c r="G27" s="15"/>
      <c r="H27" s="50">
        <v>1352518</v>
      </c>
      <c r="I27" s="230"/>
      <c r="J27" s="50">
        <v>7250</v>
      </c>
      <c r="K27" s="50">
        <f t="shared" si="0"/>
        <v>1359768</v>
      </c>
      <c r="L27" s="51"/>
    </row>
    <row r="28" spans="1:12">
      <c r="A28" s="44"/>
      <c r="B28" s="36" t="s">
        <v>48</v>
      </c>
      <c r="C28" s="14"/>
      <c r="D28" s="14"/>
      <c r="E28" s="35"/>
      <c r="F28" s="14"/>
      <c r="G28" s="15"/>
      <c r="H28" s="50">
        <f>687594+24.69</f>
        <v>687618.69</v>
      </c>
      <c r="I28" s="230"/>
      <c r="J28" s="50">
        <f>11760+912</f>
        <v>12672</v>
      </c>
      <c r="K28" s="50">
        <f t="shared" si="0"/>
        <v>700291</v>
      </c>
      <c r="L28" s="51"/>
    </row>
    <row r="29" spans="1:12">
      <c r="A29" s="44"/>
      <c r="B29" s="36" t="s">
        <v>50</v>
      </c>
      <c r="C29" s="14"/>
      <c r="D29" s="14"/>
      <c r="E29" s="35"/>
      <c r="F29" s="14"/>
      <c r="G29" s="15"/>
      <c r="H29" s="50">
        <v>1418451</v>
      </c>
      <c r="I29" s="230"/>
      <c r="J29" s="50">
        <f>98+67+131+1128+5660+846+3422</f>
        <v>11352</v>
      </c>
      <c r="K29" s="50">
        <f t="shared" si="0"/>
        <v>1429803</v>
      </c>
      <c r="L29" s="51"/>
    </row>
    <row r="30" spans="1:12">
      <c r="A30" s="44"/>
      <c r="B30" s="36" t="s">
        <v>53</v>
      </c>
      <c r="C30" s="14"/>
      <c r="D30" s="14"/>
      <c r="E30" s="35"/>
      <c r="F30" s="14"/>
      <c r="G30" s="15"/>
      <c r="H30" s="231">
        <f>'[20]Accounts by GL'!O481</f>
        <v>817703.1100000001</v>
      </c>
      <c r="I30" s="230"/>
      <c r="J30" s="58">
        <v>0</v>
      </c>
      <c r="K30" s="58">
        <f t="shared" si="0"/>
        <v>817703</v>
      </c>
      <c r="L30" s="51"/>
    </row>
    <row r="31" spans="1:12">
      <c r="A31" s="44"/>
      <c r="B31" s="36"/>
      <c r="C31" s="14"/>
      <c r="D31" s="14"/>
      <c r="E31" s="35"/>
      <c r="F31" s="14"/>
      <c r="G31" s="15"/>
      <c r="H31" s="73"/>
      <c r="I31" s="73"/>
      <c r="J31" s="73"/>
      <c r="K31" s="73"/>
      <c r="L31" s="74"/>
    </row>
    <row r="32" spans="1:12">
      <c r="A32" s="14"/>
      <c r="B32" s="65" t="s">
        <v>55</v>
      </c>
      <c r="C32" s="35"/>
      <c r="D32" s="14"/>
      <c r="E32" s="14"/>
      <c r="F32" s="14"/>
      <c r="G32" s="15"/>
      <c r="H32" s="66">
        <f t="array" ref="H32">SUM(ROUND(H24:H30,0))</f>
        <v>13350559</v>
      </c>
      <c r="I32" s="59"/>
      <c r="J32" s="66">
        <f t="array" ref="J32">SUM(ROUND(J24:J30,0))</f>
        <v>373126</v>
      </c>
      <c r="K32" s="66">
        <f t="array" ref="K32">SUM(ROUND(K24:K30,0))</f>
        <v>13723685</v>
      </c>
      <c r="L32" s="68"/>
    </row>
    <row r="33" spans="1:12">
      <c r="A33" s="44"/>
      <c r="B33" s="76"/>
      <c r="C33" s="14"/>
      <c r="D33" s="14"/>
      <c r="E33" s="35"/>
      <c r="F33" s="14"/>
      <c r="G33" s="15"/>
      <c r="H33" s="59"/>
      <c r="I33" s="59"/>
      <c r="J33" s="59"/>
      <c r="K33" s="59"/>
      <c r="L33" s="77"/>
    </row>
    <row r="34" spans="1:12">
      <c r="A34" s="14"/>
      <c r="B34" s="65" t="str">
        <f>IF(H34&lt;0,IF(J34&gt;0,"Operating Income (Loss)","Operating Loss"),IF(H34&gt;0,IF(J34&gt;=0,"Operating Income","Operating Income (Loss)"),IF(J34&lt;0,"Operating Loss",IF(J34&gt;0,"Operating Income","Operating Income (Loss)"))))</f>
        <v>Operating Income (Loss)</v>
      </c>
      <c r="C34" s="35"/>
      <c r="D34" s="14"/>
      <c r="E34" s="14"/>
      <c r="F34" s="14"/>
      <c r="G34" s="15"/>
      <c r="H34" s="66">
        <f>H20-H32</f>
        <v>-10750977</v>
      </c>
      <c r="I34" s="67"/>
      <c r="J34" s="66">
        <f>J20-J32</f>
        <v>7762</v>
      </c>
      <c r="K34" s="66">
        <f>K20-K32</f>
        <v>-10743215</v>
      </c>
      <c r="L34" s="68"/>
    </row>
    <row r="35" spans="1:12">
      <c r="A35" s="14"/>
      <c r="B35" s="14"/>
      <c r="C35" s="14"/>
      <c r="D35" s="14"/>
      <c r="E35" s="14"/>
      <c r="F35" s="14"/>
      <c r="G35" s="15"/>
      <c r="H35" s="78"/>
      <c r="I35" s="78"/>
      <c r="J35" s="78"/>
      <c r="K35" s="78"/>
      <c r="L35" s="79"/>
    </row>
    <row r="36" spans="1:12">
      <c r="A36" s="29" t="s">
        <v>56</v>
      </c>
      <c r="B36" s="35"/>
      <c r="C36" s="14"/>
      <c r="D36" s="14"/>
      <c r="E36" s="14"/>
      <c r="F36" s="14"/>
      <c r="G36" s="15"/>
      <c r="H36" s="16"/>
      <c r="I36" s="17"/>
      <c r="J36" s="16"/>
      <c r="K36" s="16"/>
      <c r="L36" s="18"/>
    </row>
    <row r="37" spans="1:12">
      <c r="A37" s="36" t="s">
        <v>59</v>
      </c>
      <c r="B37" s="35"/>
      <c r="C37" s="14"/>
      <c r="D37" s="14"/>
      <c r="E37" s="35"/>
      <c r="F37" s="14"/>
      <c r="G37" s="15"/>
      <c r="H37" s="80">
        <v>7366379</v>
      </c>
      <c r="I37" s="49"/>
      <c r="J37" s="80">
        <v>0</v>
      </c>
      <c r="K37" s="80">
        <f t="shared" ref="K37:K45" si="1">ROUND(J37,0)+ROUND(H37,0)</f>
        <v>7366379</v>
      </c>
      <c r="L37" s="81"/>
    </row>
    <row r="38" spans="1:12">
      <c r="A38" s="36" t="s">
        <v>61</v>
      </c>
      <c r="B38" s="35"/>
      <c r="C38" s="14"/>
      <c r="D38" s="14"/>
      <c r="E38" s="35"/>
      <c r="F38" s="14"/>
      <c r="G38" s="15"/>
      <c r="H38" s="80">
        <v>2488385</v>
      </c>
      <c r="I38" s="49"/>
      <c r="J38" s="80">
        <v>0</v>
      </c>
      <c r="K38" s="80">
        <f t="shared" si="1"/>
        <v>2488385</v>
      </c>
      <c r="L38" s="81"/>
    </row>
    <row r="39" spans="1:12">
      <c r="A39" s="36" t="s">
        <v>63</v>
      </c>
      <c r="B39" s="35"/>
      <c r="C39" s="14"/>
      <c r="D39" s="14"/>
      <c r="E39" s="35"/>
      <c r="F39" s="14"/>
      <c r="G39" s="15"/>
      <c r="H39" s="80">
        <v>0</v>
      </c>
      <c r="I39" s="49"/>
      <c r="J39" s="80">
        <v>0</v>
      </c>
      <c r="K39" s="80">
        <f t="shared" si="1"/>
        <v>0</v>
      </c>
      <c r="L39" s="81"/>
    </row>
    <row r="40" spans="1:12">
      <c r="A40" s="36" t="s">
        <v>66</v>
      </c>
      <c r="B40" s="35"/>
      <c r="C40" s="14"/>
      <c r="D40" s="14"/>
      <c r="E40" s="35"/>
      <c r="F40" s="14"/>
      <c r="G40" s="15"/>
      <c r="H40" s="80">
        <f>7727+292.98</f>
        <v>8019.98</v>
      </c>
      <c r="I40" s="49"/>
      <c r="J40" s="80">
        <v>132330</v>
      </c>
      <c r="K40" s="80">
        <f t="shared" si="1"/>
        <v>140350</v>
      </c>
      <c r="L40" s="81"/>
    </row>
    <row r="41" spans="1:12">
      <c r="A41" s="36" t="str">
        <f>IF(H41&lt;0,IF(J41&gt;0,"Net Gain (Loss) on Investments","Net Loss on Investments"),IF(H41&gt;0,IF(J41&gt;=0,"Net Gain on Investments","Net Gain (Loss) on Investments"),IF(J41&lt;0,"Net Loss on Investments",IF(J41&gt;0,"Net Gain on Investments","Net Gain (Loss) on Investments"))))</f>
        <v>Net Gain (Loss) on Investments</v>
      </c>
      <c r="B41" s="35"/>
      <c r="C41" s="14"/>
      <c r="D41" s="14"/>
      <c r="E41" s="35"/>
      <c r="F41" s="14"/>
      <c r="G41" s="15"/>
      <c r="H41" s="80">
        <v>0</v>
      </c>
      <c r="I41" s="49"/>
      <c r="J41" s="80">
        <v>0</v>
      </c>
      <c r="K41" s="80">
        <f t="shared" si="1"/>
        <v>0</v>
      </c>
      <c r="L41" s="81"/>
    </row>
    <row r="42" spans="1:12">
      <c r="A42" s="36" t="s">
        <v>69</v>
      </c>
      <c r="B42" s="35"/>
      <c r="C42" s="14"/>
      <c r="D42" s="14"/>
      <c r="E42" s="35"/>
      <c r="F42" s="14"/>
      <c r="G42" s="15"/>
      <c r="H42" s="80">
        <v>0</v>
      </c>
      <c r="I42" s="49"/>
      <c r="J42" s="80">
        <v>0</v>
      </c>
      <c r="K42" s="80">
        <f t="shared" si="1"/>
        <v>0</v>
      </c>
      <c r="L42" s="81"/>
    </row>
    <row r="43" spans="1:12">
      <c r="A43" s="36" t="str">
        <f>IF(H43&lt;0,IF(J43&gt;0,"Gain (Loss) on Disposal of Capital Assets","Loss on Disposal of Capital Assets"),IF(H43&gt;0,IF(J43&gt;=0,"Gain on Disposal of Capital Assets","Gain (Loss) on Disposal of Capital Assets"),IF(J43&lt;0,"Loss on Disposal of Capital Assets",IF(J43&gt;0,"Gain on Disposal of Capital Assets","Gain (Loss) on Disposal of Capital Assets"))))</f>
        <v>Gain (Loss) on Disposal of Capital Assets</v>
      </c>
      <c r="B43" s="35"/>
      <c r="C43" s="14"/>
      <c r="D43" s="14"/>
      <c r="E43" s="35"/>
      <c r="F43" s="14"/>
      <c r="G43" s="15"/>
      <c r="H43" s="80">
        <v>0</v>
      </c>
      <c r="I43" s="49"/>
      <c r="J43" s="80">
        <v>0</v>
      </c>
      <c r="K43" s="80">
        <f t="shared" si="1"/>
        <v>0</v>
      </c>
      <c r="L43" s="81"/>
    </row>
    <row r="44" spans="1:12">
      <c r="A44" s="36" t="s">
        <v>73</v>
      </c>
      <c r="B44" s="35"/>
      <c r="C44" s="35"/>
      <c r="D44" s="35"/>
      <c r="E44" s="35"/>
      <c r="F44" s="35"/>
      <c r="G44" s="35"/>
      <c r="H44" s="80">
        <v>0</v>
      </c>
      <c r="I44" s="49"/>
      <c r="J44" s="80">
        <v>0</v>
      </c>
      <c r="K44" s="80">
        <f t="shared" si="1"/>
        <v>0</v>
      </c>
      <c r="L44" s="81"/>
    </row>
    <row r="45" spans="1:12">
      <c r="A45" s="36" t="s">
        <v>75</v>
      </c>
      <c r="B45" s="35"/>
      <c r="C45" s="14"/>
      <c r="D45" s="14"/>
      <c r="E45" s="35"/>
      <c r="F45" s="14"/>
      <c r="G45" s="15"/>
      <c r="H45" s="82">
        <v>0</v>
      </c>
      <c r="I45" s="49"/>
      <c r="J45" s="82">
        <v>0</v>
      </c>
      <c r="K45" s="82">
        <f t="shared" si="1"/>
        <v>0</v>
      </c>
      <c r="L45" s="81"/>
    </row>
    <row r="46" spans="1:12">
      <c r="A46" s="35"/>
      <c r="B46" s="35"/>
      <c r="C46" s="35"/>
      <c r="D46" s="35"/>
      <c r="E46" s="35"/>
      <c r="F46" s="35"/>
      <c r="G46" s="35"/>
      <c r="H46" s="83"/>
      <c r="I46" s="84"/>
      <c r="J46" s="83"/>
      <c r="K46" s="83"/>
      <c r="L46" s="85"/>
    </row>
    <row r="47" spans="1:12">
      <c r="A47" s="29" t="s">
        <v>77</v>
      </c>
      <c r="B47" s="35"/>
      <c r="C47" s="14"/>
      <c r="D47" s="14"/>
      <c r="E47" s="14"/>
      <c r="F47" s="14"/>
      <c r="G47" s="15"/>
      <c r="H47" s="66">
        <f t="array" ref="H47">SUM(ROUND(H37:H45,0))</f>
        <v>9862784</v>
      </c>
      <c r="I47" s="59"/>
      <c r="J47" s="66">
        <f t="array" ref="J47">SUM(ROUND(J37:J45,0))</f>
        <v>132330</v>
      </c>
      <c r="K47" s="66">
        <f t="array" ref="K47">SUM(ROUND(K37:K45,0))</f>
        <v>9995114</v>
      </c>
      <c r="L47" s="68"/>
    </row>
    <row r="48" spans="1:12">
      <c r="A48" s="86"/>
      <c r="B48" s="87"/>
      <c r="C48" s="15"/>
      <c r="D48" s="15"/>
      <c r="E48" s="15"/>
      <c r="F48" s="15"/>
      <c r="G48" s="15"/>
      <c r="H48" s="59"/>
      <c r="I48" s="59"/>
      <c r="J48" s="59"/>
      <c r="K48" s="59"/>
      <c r="L48" s="77"/>
    </row>
    <row r="49" spans="1:12">
      <c r="A49" s="65" t="str">
        <f>IF(H50&lt;0,IF(J50&gt;0,"Income (Loss) Before Other Revenues,","Loss Before Other Revenues,"),IF(H50&gt;0,IF(J50&gt;=0,"Income Before Other Revenues,","Income (Loss) Before Other Revenues,"),IF(J59&lt;0,"Loss Before Other Revenues,",IF(J59&gt;0,"Income Before Other Revenues,","Income (Loss) Before Other Revenues,"))))</f>
        <v>Income (Loss) Before Other Revenues,</v>
      </c>
      <c r="B49" s="35"/>
      <c r="C49" s="35"/>
      <c r="D49" s="14"/>
      <c r="E49" s="14"/>
      <c r="F49" s="14"/>
      <c r="G49" s="15"/>
      <c r="H49" s="35"/>
      <c r="I49" s="35"/>
      <c r="J49" s="35"/>
      <c r="K49" s="35"/>
      <c r="L49" s="37"/>
    </row>
    <row r="50" spans="1:12">
      <c r="A50" s="14"/>
      <c r="B50" s="29" t="s">
        <v>78</v>
      </c>
      <c r="C50" s="14"/>
      <c r="D50" s="14"/>
      <c r="E50" s="14"/>
      <c r="F50" s="14"/>
      <c r="G50" s="15"/>
      <c r="H50" s="66">
        <f>H34+H47</f>
        <v>-888193</v>
      </c>
      <c r="I50" s="59"/>
      <c r="J50" s="66">
        <f>J34+J47</f>
        <v>140092</v>
      </c>
      <c r="K50" s="66">
        <f>K34+K47</f>
        <v>-748101</v>
      </c>
      <c r="L50" s="68"/>
    </row>
    <row r="51" spans="1:12">
      <c r="A51" s="14"/>
      <c r="B51" s="29"/>
      <c r="C51" s="14"/>
      <c r="D51" s="14"/>
      <c r="E51" s="14"/>
      <c r="F51" s="14"/>
      <c r="G51" s="15"/>
      <c r="H51" s="17"/>
      <c r="I51" s="17"/>
      <c r="J51" s="17"/>
      <c r="K51" s="17"/>
      <c r="L51" s="18"/>
    </row>
    <row r="52" spans="1:12">
      <c r="A52" s="36" t="s">
        <v>80</v>
      </c>
      <c r="B52" s="35"/>
      <c r="C52" s="14"/>
      <c r="D52" s="14"/>
      <c r="E52" s="14"/>
      <c r="F52" s="35"/>
      <c r="G52" s="15"/>
      <c r="H52" s="80">
        <f>128577+44024.5</f>
        <v>172601.5</v>
      </c>
      <c r="I52" s="49"/>
      <c r="J52" s="80">
        <v>0</v>
      </c>
      <c r="K52" s="80">
        <f>ROUND(J52,0)+ROUND(H52,0)</f>
        <v>172602</v>
      </c>
      <c r="L52" s="81"/>
    </row>
    <row r="53" spans="1:12">
      <c r="A53" s="36" t="s">
        <v>83</v>
      </c>
      <c r="B53" s="35"/>
      <c r="C53" s="14"/>
      <c r="D53" s="14"/>
      <c r="E53" s="14"/>
      <c r="F53" s="35"/>
      <c r="G53" s="15"/>
      <c r="H53" s="50">
        <v>181195</v>
      </c>
      <c r="I53" s="230"/>
      <c r="J53" s="50">
        <v>0</v>
      </c>
      <c r="K53" s="50">
        <f>ROUND(J53,0)+ROUND(H53,0)</f>
        <v>181195</v>
      </c>
      <c r="L53" s="51"/>
    </row>
    <row r="54" spans="1:12">
      <c r="A54" s="14" t="s">
        <v>86</v>
      </c>
      <c r="B54" s="35"/>
      <c r="C54" s="14"/>
      <c r="D54" s="14"/>
      <c r="E54" s="14"/>
      <c r="F54" s="35"/>
      <c r="G54" s="15"/>
      <c r="H54" s="89">
        <v>0</v>
      </c>
      <c r="I54" s="230"/>
      <c r="J54" s="89">
        <v>0</v>
      </c>
      <c r="K54" s="89">
        <f>ROUND(J54,0)+ROUND(H54,0)</f>
        <v>0</v>
      </c>
      <c r="L54" s="51"/>
    </row>
    <row r="55" spans="1:12">
      <c r="A55" s="76" t="str">
        <f>IF(H55&lt;0,IF(J55&gt;0,"Other Revenues (Expenses)","Other Expenses"),IF(H55&gt;0,IF(J55&gt;=0,"Other Revenues","Other Revenues (Expenses)"),IF(J55&lt;0,"Other Expenses",IF(J55&gt;0,"Other Revenues","Other Revenues (Expenses)"))))</f>
        <v>Other Revenues (Expenses)</v>
      </c>
      <c r="B55" s="35"/>
      <c r="C55" s="14"/>
      <c r="D55" s="14"/>
      <c r="E55" s="14"/>
      <c r="F55" s="35"/>
      <c r="G55" s="15"/>
      <c r="H55" s="58">
        <v>0</v>
      </c>
      <c r="I55" s="230"/>
      <c r="J55" s="58">
        <v>0</v>
      </c>
      <c r="K55" s="58">
        <f>ROUND(J55,0)+ROUND(H55,0)</f>
        <v>0</v>
      </c>
      <c r="L55" s="51"/>
    </row>
    <row r="56" spans="1:12">
      <c r="A56" s="35"/>
      <c r="B56" s="35"/>
      <c r="C56" s="14"/>
      <c r="D56" s="14"/>
      <c r="E56" s="14"/>
      <c r="F56" s="14"/>
      <c r="G56" s="15"/>
      <c r="H56" s="83"/>
      <c r="I56" s="84"/>
      <c r="J56" s="83"/>
      <c r="K56" s="83"/>
      <c r="L56" s="85"/>
    </row>
    <row r="57" spans="1:12">
      <c r="A57" s="29" t="s">
        <v>89</v>
      </c>
      <c r="B57" s="35"/>
      <c r="C57" s="35"/>
      <c r="D57" s="14"/>
      <c r="E57" s="14"/>
      <c r="F57" s="14"/>
      <c r="G57" s="15"/>
      <c r="H57" s="90">
        <f t="array" ref="H57">SUM(ROUND(H52:H55,0))</f>
        <v>353797</v>
      </c>
      <c r="I57" s="59"/>
      <c r="J57" s="90">
        <f t="array" ref="J57">SUM(ROUND(J52:J55,0))</f>
        <v>0</v>
      </c>
      <c r="K57" s="90">
        <f t="array" ref="K57">SUM(ROUND(K52:K55,0))</f>
        <v>353797</v>
      </c>
      <c r="L57" s="91"/>
    </row>
    <row r="58" spans="1:12">
      <c r="A58" s="29"/>
      <c r="B58" s="35"/>
      <c r="C58" s="35"/>
      <c r="D58" s="14"/>
      <c r="E58" s="14"/>
      <c r="F58" s="14"/>
      <c r="G58" s="15"/>
      <c r="H58" s="59"/>
      <c r="I58" s="59"/>
      <c r="J58" s="59"/>
      <c r="K58" s="59"/>
      <c r="L58" s="77"/>
    </row>
    <row r="59" spans="1:12">
      <c r="A59" s="65" t="str">
        <f>IF(H59&lt;0,IF(J59&gt;0,"Increase (Decrease) in Net Position","Decrease in Net Position"),IF(H59&gt;0,IF(J59&gt;=0,"Increase in Net Position","Increase (Decrease) in Net Position"),IF(J59&lt;0,"Decrease in Net Position",IF(J59&gt;0,"Increase in Net Position","Increase (Decrease) in Net Position"))))</f>
        <v>Increase (Decrease) in Net Position</v>
      </c>
      <c r="B59" s="35"/>
      <c r="C59" s="35"/>
      <c r="D59" s="14"/>
      <c r="E59" s="14"/>
      <c r="F59" s="14"/>
      <c r="G59" s="15"/>
      <c r="H59" s="90">
        <f>H50+H57</f>
        <v>-534396</v>
      </c>
      <c r="I59" s="92"/>
      <c r="J59" s="90">
        <f>J50+J57</f>
        <v>140092</v>
      </c>
      <c r="K59" s="90">
        <f>K50+K57</f>
        <v>-394304</v>
      </c>
      <c r="L59" s="91"/>
    </row>
    <row r="60" spans="1:12">
      <c r="A60" s="93"/>
      <c r="B60" s="35"/>
      <c r="C60" s="35"/>
      <c r="D60" s="14"/>
      <c r="E60" s="14"/>
      <c r="F60" s="14"/>
      <c r="G60" s="15"/>
      <c r="H60" s="94"/>
      <c r="I60" s="94"/>
      <c r="J60" s="94"/>
      <c r="K60" s="94"/>
      <c r="L60" s="95"/>
    </row>
    <row r="61" spans="1:12">
      <c r="A61" s="14" t="s">
        <v>91</v>
      </c>
      <c r="B61" s="35"/>
      <c r="C61" s="14"/>
      <c r="D61" s="14"/>
      <c r="E61" s="14"/>
      <c r="F61" s="14"/>
      <c r="G61" s="15"/>
      <c r="H61" s="96">
        <f>VLOOKUP($A$1,[20]VLOOKUPS!A44:D71,2,FALSE)</f>
        <v>28783665</v>
      </c>
      <c r="I61" s="49"/>
      <c r="J61" s="96">
        <f>VLOOKUP($A$1,[20]VLOOKUPS!A44:D71,3,FALSE)</f>
        <v>3592212</v>
      </c>
      <c r="K61" s="89">
        <f>ROUND(J61,0)+ROUND(H61,0)</f>
        <v>32375877</v>
      </c>
      <c r="L61" s="97"/>
    </row>
    <row r="62" spans="1:12">
      <c r="A62" s="14" t="s">
        <v>94</v>
      </c>
      <c r="B62" s="35"/>
      <c r="C62" s="14"/>
      <c r="D62" s="14"/>
      <c r="E62" s="14"/>
      <c r="F62" s="14"/>
      <c r="G62" s="15"/>
      <c r="H62" s="82">
        <f>-1707723-1288567</f>
        <v>-2996290</v>
      </c>
      <c r="I62" s="49"/>
      <c r="J62" s="82">
        <v>0</v>
      </c>
      <c r="K62" s="82">
        <f>ROUND(J62,0)+ROUND(H62,0)</f>
        <v>-2996290</v>
      </c>
      <c r="L62" s="81"/>
    </row>
    <row r="63" spans="1:12">
      <c r="A63" s="36"/>
      <c r="B63" s="36"/>
      <c r="C63" s="36"/>
      <c r="D63" s="36"/>
      <c r="E63" s="36"/>
      <c r="F63" s="98"/>
      <c r="G63" s="36"/>
      <c r="H63" s="92"/>
      <c r="I63" s="99"/>
      <c r="J63" s="99"/>
      <c r="K63" s="99"/>
      <c r="L63" s="100"/>
    </row>
    <row r="64" spans="1:12">
      <c r="A64" s="101" t="s">
        <v>95</v>
      </c>
      <c r="B64" s="36"/>
      <c r="C64" s="36"/>
      <c r="D64" s="36"/>
      <c r="E64" s="36"/>
      <c r="F64" s="60"/>
      <c r="G64" s="60"/>
      <c r="H64" s="90">
        <f t="array" ref="H64">SUM(ROUND(H61:H62,0))</f>
        <v>25787375</v>
      </c>
      <c r="I64" s="92"/>
      <c r="J64" s="90">
        <f t="array" ref="J64">SUM(ROUND(J61:J62,0))</f>
        <v>3592212</v>
      </c>
      <c r="K64" s="90">
        <f t="array" ref="K64">SUM(ROUND(K61:K62,0))</f>
        <v>29379587</v>
      </c>
      <c r="L64" s="91"/>
    </row>
    <row r="65" spans="1:12">
      <c r="A65" s="36"/>
      <c r="B65" s="36"/>
      <c r="C65" s="36"/>
      <c r="D65" s="36"/>
      <c r="E65" s="36"/>
      <c r="F65" s="102"/>
      <c r="G65" s="36"/>
      <c r="H65" s="102"/>
      <c r="I65" s="60"/>
      <c r="J65" s="60"/>
      <c r="K65" s="60"/>
      <c r="L65" s="61"/>
    </row>
    <row r="66" spans="1:12" ht="13.5" thickBot="1">
      <c r="A66" s="29" t="s">
        <v>96</v>
      </c>
      <c r="B66" s="35"/>
      <c r="C66" s="14"/>
      <c r="D66" s="14"/>
      <c r="E66" s="14"/>
      <c r="F66" s="14"/>
      <c r="G66" s="103"/>
      <c r="H66" s="104">
        <f>H59+H64</f>
        <v>25252979</v>
      </c>
      <c r="I66" s="105"/>
      <c r="J66" s="104">
        <f>J59+J64</f>
        <v>3732304</v>
      </c>
      <c r="K66" s="104">
        <f>K59+K64</f>
        <v>28985283</v>
      </c>
      <c r="L66" s="46"/>
    </row>
    <row r="67" spans="1:12" ht="13.5" thickTop="1">
      <c r="A67" s="14"/>
      <c r="B67" s="14"/>
      <c r="C67" s="14"/>
      <c r="D67" s="14"/>
      <c r="E67" s="14"/>
      <c r="F67" s="14"/>
      <c r="G67" s="15"/>
      <c r="H67" s="107"/>
      <c r="I67" s="15"/>
      <c r="J67" s="107"/>
      <c r="K67" s="107"/>
      <c r="L67" s="108"/>
    </row>
    <row r="68" spans="1:12">
      <c r="A68" s="35" t="s">
        <v>97</v>
      </c>
      <c r="B68" s="35"/>
      <c r="C68" s="35"/>
      <c r="D68" s="35"/>
      <c r="E68" s="35"/>
      <c r="F68" s="35"/>
      <c r="G68" s="87"/>
      <c r="H68" s="35"/>
      <c r="I68" s="87"/>
      <c r="J68" s="35"/>
      <c r="K68" s="35"/>
      <c r="L68" s="37"/>
    </row>
    <row r="69" spans="1:12">
      <c r="G69" s="6"/>
      <c r="H69" s="109">
        <f>H66-[20]SNP!K119</f>
        <v>0</v>
      </c>
      <c r="I69" s="110"/>
      <c r="J69" s="111">
        <f>J66-[20]SNP!M119</f>
        <v>0</v>
      </c>
      <c r="K69" s="111">
        <f>K66-[20]SNP!N119</f>
        <v>0</v>
      </c>
      <c r="L69" s="112"/>
    </row>
    <row r="70" spans="1:12">
      <c r="G70" s="113" t="s">
        <v>98</v>
      </c>
      <c r="H70" s="114"/>
      <c r="I70" s="115"/>
      <c r="J70" s="114"/>
      <c r="K70" s="114"/>
      <c r="L70" s="114"/>
    </row>
  </sheetData>
  <sheetProtection formatColumns="0" formatRows="0"/>
  <conditionalFormatting sqref="H69 J69">
    <cfRule type="cellIs" dxfId="194" priority="14" operator="notEqual">
      <formula>0</formula>
    </cfRule>
    <cfRule type="cellIs" dxfId="193" priority="15" operator="equal">
      <formula>0</formula>
    </cfRule>
  </conditionalFormatting>
  <conditionalFormatting sqref="H11:H15 D11:E11 J24:J30 J37:J45 H37:H45 J62 H62 J17:J18 H25:H29 H17:H18 D17:E17 J11:J15 J52:J55 H52:H55">
    <cfRule type="containsBlanks" dxfId="192" priority="12">
      <formula>LEN(TRIM(D11))=0</formula>
    </cfRule>
    <cfRule type="cellIs" dxfId="191" priority="13" operator="notEqual">
      <formula>0</formula>
    </cfRule>
  </conditionalFormatting>
  <conditionalFormatting sqref="H11">
    <cfRule type="cellIs" dxfId="190" priority="11" operator="notEqual">
      <formula>H20</formula>
    </cfRule>
  </conditionalFormatting>
  <conditionalFormatting sqref="J11">
    <cfRule type="cellIs" dxfId="189" priority="10" operator="notEqual">
      <formula>J20</formula>
    </cfRule>
  </conditionalFormatting>
  <conditionalFormatting sqref="K69">
    <cfRule type="cellIs" dxfId="188" priority="8" operator="notEqual">
      <formula>0</formula>
    </cfRule>
    <cfRule type="cellIs" dxfId="187" priority="9" operator="equal">
      <formula>0</formula>
    </cfRule>
  </conditionalFormatting>
  <conditionalFormatting sqref="K24:K30 K37:K45 K62 K17:K18 K11:K15 K52:K55">
    <cfRule type="containsBlanks" dxfId="186" priority="6">
      <formula>LEN(TRIM(K11))=0</formula>
    </cfRule>
    <cfRule type="cellIs" dxfId="185" priority="7" operator="notEqual">
      <formula>0</formula>
    </cfRule>
  </conditionalFormatting>
  <conditionalFormatting sqref="K11">
    <cfRule type="cellIs" dxfId="184" priority="5" operator="notEqual">
      <formula>K20</formula>
    </cfRule>
  </conditionalFormatting>
  <conditionalFormatting sqref="H24">
    <cfRule type="containsBlanks" dxfId="183" priority="3">
      <formula>LEN(TRIM(H24))=0</formula>
    </cfRule>
    <cfRule type="cellIs" dxfId="182" priority="4" operator="notEqual">
      <formula>0</formula>
    </cfRule>
  </conditionalFormatting>
  <conditionalFormatting sqref="K61">
    <cfRule type="containsBlanks" dxfId="181" priority="1">
      <formula>LEN(TRIM(K61))=0</formula>
    </cfRule>
    <cfRule type="cellIs" dxfId="180" priority="2" operator="notEqual">
      <formula>0</formula>
    </cfRule>
  </conditionalFormatting>
  <printOptions horizontalCentered="1"/>
  <pageMargins left="0.7" right="0.7" top="0.75" bottom="0.75" header="0.5" footer="0.5"/>
  <pageSetup scale="53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  <pageSetUpPr fitToPage="1"/>
  </sheetPr>
  <dimension ref="A1:R70"/>
  <sheetViews>
    <sheetView zoomScale="90" zoomScaleNormal="90" zoomScaleSheetLayoutView="70" workbookViewId="0"/>
  </sheetViews>
  <sheetFormatPr defaultColWidth="11.140625" defaultRowHeight="12.75"/>
  <cols>
    <col min="1" max="6" width="11.140625" style="6"/>
    <col min="7" max="7" width="11.140625" style="11"/>
    <col min="8" max="8" width="15.140625" style="6" customWidth="1"/>
    <col min="9" max="9" width="11.140625" style="11"/>
    <col min="10" max="10" width="13.85546875" style="6" customWidth="1"/>
    <col min="11" max="11" width="16.140625" style="6" customWidth="1"/>
    <col min="12" max="12" width="11.140625" style="6"/>
    <col min="13" max="13" width="11.140625" style="10"/>
    <col min="14" max="18" width="11.140625" style="5"/>
    <col min="19" max="16384" width="11.140625" style="6"/>
  </cols>
  <sheetData>
    <row r="1" spans="1:12">
      <c r="A1" s="260" t="str">
        <f>'[21]Contact Information'!$C$5</f>
        <v>NORTHWEST FLORIDA STATE COLLEGE</v>
      </c>
      <c r="B1" s="260"/>
      <c r="C1" s="260"/>
      <c r="D1" s="260"/>
      <c r="E1" s="260"/>
      <c r="F1" s="260"/>
      <c r="G1" s="260"/>
      <c r="H1" s="260"/>
      <c r="I1" s="260"/>
      <c r="J1" s="260"/>
      <c r="K1" s="247"/>
      <c r="L1" s="3"/>
    </row>
    <row r="2" spans="1:12">
      <c r="A2" s="256" t="s">
        <v>0</v>
      </c>
      <c r="B2" s="256"/>
      <c r="C2" s="256"/>
      <c r="D2" s="256"/>
      <c r="E2" s="256"/>
      <c r="F2" s="256"/>
      <c r="G2" s="256"/>
      <c r="H2" s="256"/>
      <c r="I2" s="256"/>
      <c r="J2" s="256"/>
      <c r="K2" s="245"/>
      <c r="L2" s="7"/>
    </row>
    <row r="3" spans="1:12">
      <c r="A3" s="86" t="s">
        <v>1</v>
      </c>
      <c r="B3" s="86"/>
      <c r="C3" s="86"/>
      <c r="D3" s="86"/>
      <c r="E3" s="86"/>
      <c r="F3" s="86"/>
      <c r="G3" s="86"/>
      <c r="H3" s="86"/>
      <c r="I3" s="86"/>
      <c r="J3" s="86"/>
      <c r="K3" s="248"/>
      <c r="L3" s="9" t="s">
        <v>2</v>
      </c>
    </row>
    <row r="4" spans="1:12">
      <c r="A4" s="261" t="s">
        <v>297</v>
      </c>
      <c r="B4" s="261"/>
      <c r="C4" s="261"/>
      <c r="D4" s="261"/>
      <c r="E4" s="261"/>
      <c r="F4" s="261"/>
      <c r="G4" s="261"/>
      <c r="H4" s="261"/>
      <c r="I4" s="261"/>
      <c r="J4" s="261"/>
      <c r="K4" s="249"/>
      <c r="L4" s="11" t="str">
        <f>'[21]Contact Information'!$C$3</f>
        <v>2015.v02</v>
      </c>
    </row>
    <row r="5" spans="1:12">
      <c r="A5" s="14"/>
      <c r="B5" s="14"/>
      <c r="C5" s="14"/>
      <c r="D5" s="14"/>
      <c r="E5" s="14"/>
      <c r="F5" s="14"/>
      <c r="G5" s="15"/>
      <c r="H5" s="16"/>
      <c r="I5" s="17"/>
      <c r="J5" s="16"/>
      <c r="K5" s="16"/>
      <c r="L5" s="18"/>
    </row>
    <row r="6" spans="1:12">
      <c r="A6" s="14"/>
      <c r="B6" s="14"/>
      <c r="C6" s="14"/>
      <c r="D6" s="14"/>
      <c r="E6" s="14"/>
      <c r="F6" s="14"/>
      <c r="G6" s="15"/>
      <c r="H6" s="249" t="s">
        <v>5</v>
      </c>
      <c r="I6" s="21"/>
      <c r="J6" s="22" t="s">
        <v>6</v>
      </c>
      <c r="K6" s="22" t="s">
        <v>7</v>
      </c>
      <c r="L6" s="23"/>
    </row>
    <row r="7" spans="1:12">
      <c r="A7" s="14"/>
      <c r="B7" s="14"/>
      <c r="C7" s="14"/>
      <c r="D7" s="14"/>
      <c r="E7" s="14"/>
      <c r="F7" s="14"/>
      <c r="G7" s="15"/>
      <c r="H7" s="24"/>
      <c r="I7" s="25"/>
      <c r="J7" s="26" t="str">
        <f>[21]SNP!$M$9</f>
        <v>Unit</v>
      </c>
      <c r="K7" s="26"/>
      <c r="L7" s="27"/>
    </row>
    <row r="8" spans="1:12">
      <c r="A8" s="29" t="s">
        <v>9</v>
      </c>
      <c r="B8" s="14"/>
      <c r="C8" s="14"/>
      <c r="D8" s="14"/>
      <c r="E8" s="14"/>
      <c r="F8" s="14"/>
      <c r="G8" s="15"/>
      <c r="H8" s="25"/>
      <c r="I8" s="25"/>
      <c r="J8" s="25"/>
      <c r="K8" s="25"/>
      <c r="L8" s="30"/>
    </row>
    <row r="9" spans="1:12">
      <c r="A9" s="14" t="s">
        <v>12</v>
      </c>
      <c r="B9" s="14"/>
      <c r="C9" s="14"/>
      <c r="D9" s="14"/>
      <c r="E9" s="14"/>
      <c r="F9" s="14"/>
      <c r="G9" s="15"/>
      <c r="H9" s="17"/>
      <c r="I9" s="17"/>
      <c r="J9" s="17"/>
      <c r="K9" s="17"/>
      <c r="L9" s="18"/>
    </row>
    <row r="10" spans="1:12">
      <c r="A10" s="35"/>
      <c r="B10" s="36" t="s">
        <v>14</v>
      </c>
      <c r="C10" s="14"/>
      <c r="D10" s="14"/>
      <c r="E10" s="14"/>
      <c r="F10" s="14"/>
      <c r="G10" s="35"/>
      <c r="H10" s="35"/>
      <c r="I10" s="17"/>
      <c r="J10" s="35"/>
      <c r="K10" s="35"/>
      <c r="L10" s="37"/>
    </row>
    <row r="11" spans="1:12">
      <c r="A11" s="35"/>
      <c r="B11" s="44" t="s">
        <v>19</v>
      </c>
      <c r="C11" s="35"/>
      <c r="D11" s="263">
        <v>4177338.48</v>
      </c>
      <c r="E11" s="263"/>
      <c r="F11" s="45"/>
      <c r="G11" s="36"/>
      <c r="H11" s="228">
        <f>10807922.54-1712047.31</f>
        <v>9095875.2299999986</v>
      </c>
      <c r="I11" s="229"/>
      <c r="J11" s="228">
        <v>0</v>
      </c>
      <c r="K11" s="228">
        <f>ROUND(J11,0)+ROUND(H11,0)</f>
        <v>9095875</v>
      </c>
      <c r="L11" s="46"/>
    </row>
    <row r="12" spans="1:12">
      <c r="A12" s="35"/>
      <c r="B12" s="36" t="s">
        <v>22</v>
      </c>
      <c r="C12" s="14"/>
      <c r="D12" s="48"/>
      <c r="E12" s="49"/>
      <c r="F12" s="15"/>
      <c r="G12" s="35"/>
      <c r="H12" s="50">
        <v>1392054.27</v>
      </c>
      <c r="I12" s="230"/>
      <c r="J12" s="50">
        <v>0</v>
      </c>
      <c r="K12" s="50">
        <f>ROUND(J12,0)+ROUND(H12,0)</f>
        <v>1392054</v>
      </c>
      <c r="L12" s="51"/>
    </row>
    <row r="13" spans="1:12">
      <c r="A13" s="35"/>
      <c r="B13" s="36" t="s">
        <v>24</v>
      </c>
      <c r="C13" s="14"/>
      <c r="D13" s="48"/>
      <c r="E13" s="48"/>
      <c r="F13" s="14"/>
      <c r="G13" s="35"/>
      <c r="H13" s="50">
        <v>1049168.03</v>
      </c>
      <c r="I13" s="230"/>
      <c r="J13" s="50">
        <v>0</v>
      </c>
      <c r="K13" s="50">
        <f>ROUND(J13,0)+ROUND(H13,0)</f>
        <v>1049168</v>
      </c>
      <c r="L13" s="51"/>
    </row>
    <row r="14" spans="1:12">
      <c r="A14" s="35"/>
      <c r="B14" s="36" t="s">
        <v>26</v>
      </c>
      <c r="C14" s="14"/>
      <c r="D14" s="48"/>
      <c r="E14" s="48"/>
      <c r="F14" s="14"/>
      <c r="G14" s="35"/>
      <c r="H14" s="50">
        <v>54700.04</v>
      </c>
      <c r="I14" s="230"/>
      <c r="J14" s="50">
        <v>0</v>
      </c>
      <c r="K14" s="50">
        <f>ROUND(J14,0)+ROUND(H14,0)</f>
        <v>54700</v>
      </c>
      <c r="L14" s="51"/>
    </row>
    <row r="15" spans="1:12">
      <c r="A15" s="35"/>
      <c r="B15" s="36" t="s">
        <v>28</v>
      </c>
      <c r="C15" s="14"/>
      <c r="D15" s="48"/>
      <c r="E15" s="48"/>
      <c r="F15" s="35"/>
      <c r="G15" s="35"/>
      <c r="H15" s="50">
        <v>385789.43</v>
      </c>
      <c r="I15" s="230"/>
      <c r="J15" s="50">
        <v>0</v>
      </c>
      <c r="K15" s="50">
        <f>ROUND(J15,0)+ROUND(H15,0)</f>
        <v>385789</v>
      </c>
      <c r="L15" s="51"/>
    </row>
    <row r="16" spans="1:12">
      <c r="A16" s="35"/>
      <c r="B16" s="36" t="s">
        <v>29</v>
      </c>
      <c r="C16" s="14"/>
      <c r="D16" s="54"/>
      <c r="E16" s="49"/>
      <c r="F16" s="55"/>
      <c r="G16" s="35"/>
      <c r="H16" s="35"/>
      <c r="I16" s="230"/>
      <c r="J16" s="35"/>
      <c r="K16" s="35"/>
      <c r="L16" s="37"/>
    </row>
    <row r="17" spans="1:12">
      <c r="A17" s="35"/>
      <c r="B17" s="44" t="s">
        <v>19</v>
      </c>
      <c r="C17" s="35"/>
      <c r="D17" s="263">
        <v>0</v>
      </c>
      <c r="E17" s="263"/>
      <c r="F17" s="55"/>
      <c r="G17" s="35"/>
      <c r="H17" s="50">
        <v>436199.05</v>
      </c>
      <c r="I17" s="230"/>
      <c r="J17" s="50">
        <v>0</v>
      </c>
      <c r="K17" s="50">
        <f>ROUND(J17,0)+ROUND(H17,0)</f>
        <v>436199</v>
      </c>
      <c r="L17" s="51"/>
    </row>
    <row r="18" spans="1:12">
      <c r="A18" s="35"/>
      <c r="B18" s="57" t="s">
        <v>33</v>
      </c>
      <c r="C18" s="14"/>
      <c r="D18" s="14"/>
      <c r="E18" s="14"/>
      <c r="F18" s="14"/>
      <c r="G18" s="36"/>
      <c r="H18" s="58">
        <v>1268482.6599999999</v>
      </c>
      <c r="I18" s="230"/>
      <c r="J18" s="58">
        <v>677500</v>
      </c>
      <c r="K18" s="58">
        <f>ROUND(J18,0)+ROUND(H18,0)</f>
        <v>1945983</v>
      </c>
      <c r="L18" s="51"/>
    </row>
    <row r="19" spans="1:12">
      <c r="A19" s="36"/>
      <c r="B19" s="36"/>
      <c r="C19" s="36"/>
      <c r="D19" s="36"/>
      <c r="E19" s="36"/>
      <c r="F19" s="59"/>
      <c r="G19" s="59"/>
      <c r="H19" s="59"/>
      <c r="I19" s="60"/>
      <c r="J19" s="60"/>
      <c r="K19" s="60"/>
      <c r="L19" s="61"/>
    </row>
    <row r="20" spans="1:12">
      <c r="A20" s="35"/>
      <c r="B20" s="65" t="s">
        <v>35</v>
      </c>
      <c r="C20" s="35"/>
      <c r="D20" s="14"/>
      <c r="E20" s="14"/>
      <c r="F20" s="14"/>
      <c r="G20" s="15"/>
      <c r="H20" s="66">
        <f t="array" ref="H20">SUM(ROUND(H11:H18,0))</f>
        <v>13682268</v>
      </c>
      <c r="I20" s="67"/>
      <c r="J20" s="66">
        <f t="array" ref="J20">SUM(ROUND(J11:J18,0))</f>
        <v>677500</v>
      </c>
      <c r="K20" s="66">
        <f t="array" ref="K20">SUM(ROUND(K11:K18,0))</f>
        <v>14359768</v>
      </c>
      <c r="L20" s="68"/>
    </row>
    <row r="21" spans="1:12">
      <c r="A21" s="14"/>
      <c r="B21" s="14"/>
      <c r="C21" s="14"/>
      <c r="D21" s="14"/>
      <c r="E21" s="14"/>
      <c r="F21" s="14"/>
      <c r="G21" s="15"/>
      <c r="H21" s="17"/>
      <c r="I21" s="17"/>
      <c r="J21" s="17"/>
      <c r="K21" s="17"/>
      <c r="L21" s="18"/>
    </row>
    <row r="22" spans="1:12">
      <c r="A22" s="29" t="s">
        <v>36</v>
      </c>
      <c r="B22" s="14"/>
      <c r="C22" s="14"/>
      <c r="D22" s="14"/>
      <c r="E22" s="14"/>
      <c r="F22" s="14"/>
      <c r="G22" s="15"/>
      <c r="H22" s="16"/>
      <c r="I22" s="17"/>
      <c r="J22" s="16"/>
      <c r="K22" s="16"/>
      <c r="L22" s="18"/>
    </row>
    <row r="23" spans="1:12">
      <c r="A23" s="14" t="s">
        <v>37</v>
      </c>
      <c r="B23" s="14"/>
      <c r="C23" s="14"/>
      <c r="D23" s="14"/>
      <c r="E23" s="35"/>
      <c r="F23" s="14"/>
      <c r="G23" s="15"/>
      <c r="H23" s="16"/>
      <c r="I23" s="17"/>
      <c r="J23" s="16"/>
      <c r="K23" s="16"/>
      <c r="L23" s="18"/>
    </row>
    <row r="24" spans="1:12">
      <c r="A24" s="44"/>
      <c r="B24" s="36" t="s">
        <v>40</v>
      </c>
      <c r="C24" s="14"/>
      <c r="D24" s="14"/>
      <c r="E24" s="35"/>
      <c r="F24" s="14"/>
      <c r="G24" s="15"/>
      <c r="H24" s="50">
        <f>27079553.57+186798-941273+278191-186909</f>
        <v>26416360.57</v>
      </c>
      <c r="I24" s="230"/>
      <c r="J24" s="50">
        <v>0</v>
      </c>
      <c r="K24" s="50">
        <f t="shared" ref="K24:K30" si="0">ROUND(J24,0)+ROUND(H24,0)</f>
        <v>26416361</v>
      </c>
      <c r="L24" s="51"/>
    </row>
    <row r="25" spans="1:12">
      <c r="A25" s="44"/>
      <c r="B25" s="36" t="s">
        <v>42</v>
      </c>
      <c r="C25" s="14"/>
      <c r="D25" s="14"/>
      <c r="E25" s="35"/>
      <c r="F25" s="14"/>
      <c r="G25" s="15"/>
      <c r="H25" s="50">
        <v>6819834.5999999996</v>
      </c>
      <c r="I25" s="230"/>
      <c r="J25" s="50">
        <v>436790</v>
      </c>
      <c r="K25" s="50">
        <f t="shared" si="0"/>
        <v>7256625</v>
      </c>
      <c r="L25" s="51"/>
    </row>
    <row r="26" spans="1:12">
      <c r="A26" s="44"/>
      <c r="B26" s="36" t="s">
        <v>44</v>
      </c>
      <c r="C26" s="14"/>
      <c r="D26" s="14"/>
      <c r="E26" s="35"/>
      <c r="F26" s="14"/>
      <c r="G26" s="15"/>
      <c r="H26" s="50">
        <v>2709986.64</v>
      </c>
      <c r="I26" s="230"/>
      <c r="J26" s="50">
        <v>106869</v>
      </c>
      <c r="K26" s="50">
        <f t="shared" si="0"/>
        <v>2816856</v>
      </c>
      <c r="L26" s="51"/>
    </row>
    <row r="27" spans="1:12">
      <c r="A27" s="44"/>
      <c r="B27" s="36" t="s">
        <v>46</v>
      </c>
      <c r="C27" s="14"/>
      <c r="D27" s="14"/>
      <c r="E27" s="35"/>
      <c r="F27" s="14"/>
      <c r="G27" s="15"/>
      <c r="H27" s="50">
        <v>2399933.92</v>
      </c>
      <c r="I27" s="230"/>
      <c r="J27" s="50">
        <v>0</v>
      </c>
      <c r="K27" s="50">
        <f t="shared" si="0"/>
        <v>2399934</v>
      </c>
      <c r="L27" s="51"/>
    </row>
    <row r="28" spans="1:12">
      <c r="A28" s="44"/>
      <c r="B28" s="36" t="s">
        <v>48</v>
      </c>
      <c r="C28" s="14"/>
      <c r="D28" s="14"/>
      <c r="E28" s="35"/>
      <c r="F28" s="14"/>
      <c r="G28" s="15"/>
      <c r="H28" s="50">
        <v>3028377.5</v>
      </c>
      <c r="I28" s="230"/>
      <c r="J28" s="50">
        <v>1564834</v>
      </c>
      <c r="K28" s="50">
        <f t="shared" si="0"/>
        <v>4593212</v>
      </c>
      <c r="L28" s="51"/>
    </row>
    <row r="29" spans="1:12">
      <c r="A29" s="44"/>
      <c r="B29" s="36" t="s">
        <v>50</v>
      </c>
      <c r="C29" s="14"/>
      <c r="D29" s="14"/>
      <c r="E29" s="35"/>
      <c r="F29" s="14"/>
      <c r="G29" s="15"/>
      <c r="H29" s="50">
        <v>3353391</v>
      </c>
      <c r="I29" s="230"/>
      <c r="J29" s="50">
        <v>14678</v>
      </c>
      <c r="K29" s="50">
        <f t="shared" si="0"/>
        <v>3368069</v>
      </c>
      <c r="L29" s="51"/>
    </row>
    <row r="30" spans="1:12">
      <c r="A30" s="44"/>
      <c r="B30" s="36" t="s">
        <v>53</v>
      </c>
      <c r="C30" s="14"/>
      <c r="D30" s="14"/>
      <c r="E30" s="35"/>
      <c r="F30" s="14"/>
      <c r="G30" s="15"/>
      <c r="H30" s="231">
        <f>'[21]Accounts by GL'!O481</f>
        <v>6194627.75</v>
      </c>
      <c r="I30" s="230"/>
      <c r="J30" s="58">
        <v>180543</v>
      </c>
      <c r="K30" s="58">
        <f t="shared" si="0"/>
        <v>6375171</v>
      </c>
      <c r="L30" s="51"/>
    </row>
    <row r="31" spans="1:12">
      <c r="A31" s="44"/>
      <c r="B31" s="36"/>
      <c r="C31" s="14"/>
      <c r="D31" s="14"/>
      <c r="E31" s="35"/>
      <c r="F31" s="14"/>
      <c r="G31" s="15"/>
      <c r="H31" s="73"/>
      <c r="I31" s="73"/>
      <c r="J31" s="73"/>
      <c r="K31" s="73"/>
      <c r="L31" s="74"/>
    </row>
    <row r="32" spans="1:12">
      <c r="A32" s="14"/>
      <c r="B32" s="65" t="s">
        <v>55</v>
      </c>
      <c r="C32" s="35"/>
      <c r="D32" s="14"/>
      <c r="E32" s="14"/>
      <c r="F32" s="14"/>
      <c r="G32" s="15"/>
      <c r="H32" s="66">
        <f t="array" ref="H32">SUM(ROUND(H24:H30,0))</f>
        <v>50922514</v>
      </c>
      <c r="I32" s="59"/>
      <c r="J32" s="66">
        <f t="array" ref="J32">SUM(ROUND(J24:J30,0))</f>
        <v>2303714</v>
      </c>
      <c r="K32" s="66">
        <f t="array" ref="K32">SUM(ROUND(K24:K30,0))</f>
        <v>53226228</v>
      </c>
      <c r="L32" s="68"/>
    </row>
    <row r="33" spans="1:12">
      <c r="A33" s="44"/>
      <c r="B33" s="76"/>
      <c r="C33" s="14"/>
      <c r="D33" s="14"/>
      <c r="E33" s="35"/>
      <c r="F33" s="14"/>
      <c r="G33" s="15"/>
      <c r="H33" s="59"/>
      <c r="I33" s="59"/>
      <c r="J33" s="59"/>
      <c r="K33" s="59"/>
      <c r="L33" s="77"/>
    </row>
    <row r="34" spans="1:12">
      <c r="A34" s="14"/>
      <c r="B34" s="65" t="str">
        <f>IF(H34&lt;0,IF(J34&gt;0,"Operating Income (Loss)","Operating Loss"),IF(H34&gt;0,IF(J34&gt;=0,"Operating Income","Operating Income (Loss)"),IF(J34&lt;0,"Operating Loss",IF(J34&gt;0,"Operating Income","Operating Income (Loss)"))))</f>
        <v>Operating Loss</v>
      </c>
      <c r="C34" s="35"/>
      <c r="D34" s="14"/>
      <c r="E34" s="14"/>
      <c r="F34" s="14"/>
      <c r="G34" s="15"/>
      <c r="H34" s="66">
        <f>H20-H32</f>
        <v>-37240246</v>
      </c>
      <c r="I34" s="67"/>
      <c r="J34" s="66">
        <f>J20-J32</f>
        <v>-1626214</v>
      </c>
      <c r="K34" s="66">
        <f>K20-K32</f>
        <v>-38866460</v>
      </c>
      <c r="L34" s="68"/>
    </row>
    <row r="35" spans="1:12">
      <c r="A35" s="14"/>
      <c r="B35" s="14"/>
      <c r="C35" s="14"/>
      <c r="D35" s="14"/>
      <c r="E35" s="14"/>
      <c r="F35" s="14"/>
      <c r="G35" s="15"/>
      <c r="H35" s="78"/>
      <c r="I35" s="78"/>
      <c r="J35" s="78"/>
      <c r="K35" s="78"/>
      <c r="L35" s="79"/>
    </row>
    <row r="36" spans="1:12">
      <c r="A36" s="29" t="s">
        <v>56</v>
      </c>
      <c r="B36" s="35"/>
      <c r="C36" s="14"/>
      <c r="D36" s="14"/>
      <c r="E36" s="14"/>
      <c r="F36" s="14"/>
      <c r="G36" s="15"/>
      <c r="H36" s="16"/>
      <c r="I36" s="17"/>
      <c r="J36" s="16"/>
      <c r="K36" s="16"/>
      <c r="L36" s="18"/>
    </row>
    <row r="37" spans="1:12">
      <c r="A37" s="36" t="s">
        <v>59</v>
      </c>
      <c r="B37" s="35"/>
      <c r="C37" s="14"/>
      <c r="D37" s="14"/>
      <c r="E37" s="35"/>
      <c r="F37" s="14"/>
      <c r="G37" s="15"/>
      <c r="H37" s="80">
        <v>19289761.239999998</v>
      </c>
      <c r="I37" s="49"/>
      <c r="J37" s="80">
        <v>0</v>
      </c>
      <c r="K37" s="80">
        <f t="shared" ref="K37:K45" si="1">ROUND(J37,0)+ROUND(H37,0)</f>
        <v>19289761</v>
      </c>
      <c r="L37" s="81"/>
    </row>
    <row r="38" spans="1:12">
      <c r="A38" s="36" t="s">
        <v>61</v>
      </c>
      <c r="B38" s="35"/>
      <c r="C38" s="14"/>
      <c r="D38" s="14"/>
      <c r="E38" s="35"/>
      <c r="F38" s="14"/>
      <c r="G38" s="15"/>
      <c r="H38" s="80">
        <v>9763560.2100000009</v>
      </c>
      <c r="I38" s="49"/>
      <c r="J38" s="80">
        <v>0</v>
      </c>
      <c r="K38" s="80">
        <f t="shared" si="1"/>
        <v>9763560</v>
      </c>
      <c r="L38" s="81"/>
    </row>
    <row r="39" spans="1:12">
      <c r="A39" s="36" t="s">
        <v>63</v>
      </c>
      <c r="B39" s="35"/>
      <c r="C39" s="14"/>
      <c r="D39" s="14"/>
      <c r="E39" s="35"/>
      <c r="F39" s="14"/>
      <c r="G39" s="15"/>
      <c r="H39" s="80">
        <f>12531547.72-9763560</f>
        <v>2767987.7200000007</v>
      </c>
      <c r="I39" s="49"/>
      <c r="J39" s="80">
        <v>550292</v>
      </c>
      <c r="K39" s="80">
        <f t="shared" si="1"/>
        <v>3318280</v>
      </c>
      <c r="L39" s="81"/>
    </row>
    <row r="40" spans="1:12">
      <c r="A40" s="36" t="s">
        <v>66</v>
      </c>
      <c r="B40" s="35"/>
      <c r="C40" s="14"/>
      <c r="D40" s="14"/>
      <c r="E40" s="35"/>
      <c r="F40" s="14"/>
      <c r="G40" s="15"/>
      <c r="H40" s="80">
        <v>24132.23</v>
      </c>
      <c r="I40" s="49"/>
      <c r="J40" s="80">
        <v>1632422</v>
      </c>
      <c r="K40" s="80">
        <f t="shared" si="1"/>
        <v>1656554</v>
      </c>
      <c r="L40" s="81"/>
    </row>
    <row r="41" spans="1:12">
      <c r="A41" s="36" t="str">
        <f>IF(H41&lt;0,IF(J41&gt;0,"Net Gain (Loss) on Investments","Net Loss on Investments"),IF(H41&gt;0,IF(J41&gt;=0,"Net Gain on Investments","Net Gain (Loss) on Investments"),IF(J41&lt;0,"Net Loss on Investments",IF(J41&gt;0,"Net Gain on Investments","Net Gain (Loss) on Investments"))))</f>
        <v>Net Loss on Investments</v>
      </c>
      <c r="B41" s="35"/>
      <c r="C41" s="14"/>
      <c r="D41" s="14"/>
      <c r="E41" s="35"/>
      <c r="F41" s="14"/>
      <c r="G41" s="15"/>
      <c r="H41" s="80">
        <v>0</v>
      </c>
      <c r="I41" s="49"/>
      <c r="J41" s="80">
        <f>932953-1327313</f>
        <v>-394360</v>
      </c>
      <c r="K41" s="80">
        <f t="shared" si="1"/>
        <v>-394360</v>
      </c>
      <c r="L41" s="81"/>
    </row>
    <row r="42" spans="1:12">
      <c r="A42" s="36" t="s">
        <v>69</v>
      </c>
      <c r="B42" s="35"/>
      <c r="C42" s="14"/>
      <c r="D42" s="14"/>
      <c r="E42" s="35"/>
      <c r="F42" s="14"/>
      <c r="G42" s="15"/>
      <c r="H42" s="80">
        <v>6259.26</v>
      </c>
      <c r="I42" s="49"/>
      <c r="J42" s="80">
        <v>46870</v>
      </c>
      <c r="K42" s="80">
        <f t="shared" si="1"/>
        <v>53129</v>
      </c>
      <c r="L42" s="81"/>
    </row>
    <row r="43" spans="1:12">
      <c r="A43" s="36" t="str">
        <f>IF(H43&lt;0,IF(J43&gt;0,"Gain (Loss) on Disposal of Capital Assets","Loss on Disposal of Capital Assets"),IF(H43&gt;0,IF(J43&gt;=0,"Gain on Disposal of Capital Assets","Gain (Loss) on Disposal of Capital Assets"),IF(J43&lt;0,"Loss on Disposal of Capital Assets",IF(J43&gt;0,"Gain on Disposal of Capital Assets","Gain (Loss) on Disposal of Capital Assets"))))</f>
        <v>Gain (Loss) on Disposal of Capital Assets</v>
      </c>
      <c r="B43" s="35"/>
      <c r="C43" s="14"/>
      <c r="D43" s="14"/>
      <c r="E43" s="35"/>
      <c r="F43" s="14"/>
      <c r="G43" s="15"/>
      <c r="H43" s="80">
        <v>0</v>
      </c>
      <c r="I43" s="49"/>
      <c r="J43" s="80">
        <v>0</v>
      </c>
      <c r="K43" s="80">
        <f t="shared" si="1"/>
        <v>0</v>
      </c>
      <c r="L43" s="81"/>
    </row>
    <row r="44" spans="1:12">
      <c r="A44" s="36" t="s">
        <v>73</v>
      </c>
      <c r="B44" s="35"/>
      <c r="C44" s="35"/>
      <c r="D44" s="35"/>
      <c r="E44" s="35"/>
      <c r="F44" s="35"/>
      <c r="G44" s="35"/>
      <c r="H44" s="80">
        <v>-105845.36</v>
      </c>
      <c r="I44" s="49"/>
      <c r="J44" s="80">
        <v>0</v>
      </c>
      <c r="K44" s="80">
        <f t="shared" si="1"/>
        <v>-105845</v>
      </c>
      <c r="L44" s="81"/>
    </row>
    <row r="45" spans="1:12">
      <c r="A45" s="36" t="s">
        <v>75</v>
      </c>
      <c r="B45" s="35"/>
      <c r="C45" s="14"/>
      <c r="D45" s="14"/>
      <c r="E45" s="35"/>
      <c r="F45" s="14"/>
      <c r="G45" s="15"/>
      <c r="H45" s="82">
        <v>0</v>
      </c>
      <c r="I45" s="49"/>
      <c r="J45" s="82">
        <v>0</v>
      </c>
      <c r="K45" s="82">
        <f t="shared" si="1"/>
        <v>0</v>
      </c>
      <c r="L45" s="81"/>
    </row>
    <row r="46" spans="1:12">
      <c r="A46" s="35"/>
      <c r="B46" s="35"/>
      <c r="C46" s="35"/>
      <c r="D46" s="35"/>
      <c r="E46" s="35"/>
      <c r="F46" s="35"/>
      <c r="G46" s="35"/>
      <c r="H46" s="83"/>
      <c r="I46" s="84"/>
      <c r="J46" s="83"/>
      <c r="K46" s="83"/>
      <c r="L46" s="85"/>
    </row>
    <row r="47" spans="1:12">
      <c r="A47" s="29" t="s">
        <v>77</v>
      </c>
      <c r="B47" s="35"/>
      <c r="C47" s="14"/>
      <c r="D47" s="14"/>
      <c r="E47" s="14"/>
      <c r="F47" s="14"/>
      <c r="G47" s="15"/>
      <c r="H47" s="66">
        <f t="array" ref="H47">SUM(ROUND(H37:H45,0))</f>
        <v>31745855</v>
      </c>
      <c r="I47" s="59"/>
      <c r="J47" s="66">
        <f t="array" ref="J47">SUM(ROUND(J37:J45,0))</f>
        <v>1835224</v>
      </c>
      <c r="K47" s="66">
        <f t="array" ref="K47">SUM(ROUND(K37:K45,0))</f>
        <v>33581079</v>
      </c>
      <c r="L47" s="68"/>
    </row>
    <row r="48" spans="1:12">
      <c r="A48" s="86"/>
      <c r="B48" s="87"/>
      <c r="C48" s="15"/>
      <c r="D48" s="15"/>
      <c r="E48" s="15"/>
      <c r="F48" s="15"/>
      <c r="G48" s="15"/>
      <c r="H48" s="59"/>
      <c r="I48" s="59"/>
      <c r="J48" s="59"/>
      <c r="K48" s="59"/>
      <c r="L48" s="77"/>
    </row>
    <row r="49" spans="1:12">
      <c r="A49" s="65" t="str">
        <f>IF(H50&lt;0,IF(J50&gt;0,"Income (Loss) Before Other Revenues,","Loss Before Other Revenues,"),IF(H50&gt;0,IF(J50&gt;=0,"Income Before Other Revenues,","Income (Loss) Before Other Revenues,"),IF(J59&lt;0,"Loss Before Other Revenues,",IF(J59&gt;0,"Income Before Other Revenues,","Income (Loss) Before Other Revenues,"))))</f>
        <v>Income (Loss) Before Other Revenues,</v>
      </c>
      <c r="B49" s="35"/>
      <c r="C49" s="35"/>
      <c r="D49" s="14"/>
      <c r="E49" s="14"/>
      <c r="F49" s="14"/>
      <c r="G49" s="15"/>
      <c r="H49" s="35"/>
      <c r="I49" s="35"/>
      <c r="J49" s="35"/>
      <c r="K49" s="35"/>
      <c r="L49" s="37"/>
    </row>
    <row r="50" spans="1:12">
      <c r="A50" s="14"/>
      <c r="B50" s="29" t="s">
        <v>78</v>
      </c>
      <c r="C50" s="14"/>
      <c r="D50" s="14"/>
      <c r="E50" s="14"/>
      <c r="F50" s="14"/>
      <c r="G50" s="15"/>
      <c r="H50" s="66">
        <f>H34+H47</f>
        <v>-5494391</v>
      </c>
      <c r="I50" s="59"/>
      <c r="J50" s="66">
        <f>J34+J47</f>
        <v>209010</v>
      </c>
      <c r="K50" s="66">
        <f>K34+K47</f>
        <v>-5285381</v>
      </c>
      <c r="L50" s="68"/>
    </row>
    <row r="51" spans="1:12">
      <c r="A51" s="14"/>
      <c r="B51" s="29"/>
      <c r="C51" s="14"/>
      <c r="D51" s="14"/>
      <c r="E51" s="14"/>
      <c r="F51" s="14"/>
      <c r="G51" s="15"/>
      <c r="H51" s="17"/>
      <c r="I51" s="17"/>
      <c r="J51" s="17"/>
      <c r="K51" s="17"/>
      <c r="L51" s="18"/>
    </row>
    <row r="52" spans="1:12">
      <c r="A52" s="36" t="s">
        <v>80</v>
      </c>
      <c r="B52" s="35"/>
      <c r="C52" s="14"/>
      <c r="D52" s="14"/>
      <c r="E52" s="14"/>
      <c r="F52" s="35"/>
      <c r="G52" s="15"/>
      <c r="H52" s="80">
        <v>536803.91</v>
      </c>
      <c r="I52" s="49"/>
      <c r="J52" s="80">
        <v>0</v>
      </c>
      <c r="K52" s="80">
        <f>ROUND(J52,0)+ROUND(H52,0)</f>
        <v>536804</v>
      </c>
      <c r="L52" s="81"/>
    </row>
    <row r="53" spans="1:12">
      <c r="A53" s="36" t="s">
        <v>83</v>
      </c>
      <c r="B53" s="35"/>
      <c r="C53" s="14"/>
      <c r="D53" s="14"/>
      <c r="E53" s="14"/>
      <c r="F53" s="35"/>
      <c r="G53" s="15"/>
      <c r="H53" s="50">
        <f>260453.32+1712047.31</f>
        <v>1972500.6300000001</v>
      </c>
      <c r="I53" s="230"/>
      <c r="J53" s="50">
        <v>0</v>
      </c>
      <c r="K53" s="50">
        <f>ROUND(J53,0)+ROUND(H53,0)</f>
        <v>1972501</v>
      </c>
      <c r="L53" s="51"/>
    </row>
    <row r="54" spans="1:12">
      <c r="A54" s="14" t="s">
        <v>86</v>
      </c>
      <c r="B54" s="35"/>
      <c r="C54" s="14"/>
      <c r="D54" s="14"/>
      <c r="E54" s="14"/>
      <c r="F54" s="35"/>
      <c r="G54" s="15"/>
      <c r="H54" s="89">
        <v>0</v>
      </c>
      <c r="I54" s="230"/>
      <c r="J54" s="89">
        <v>530023</v>
      </c>
      <c r="K54" s="89">
        <f>ROUND(J54,0)+ROUND(H54,0)</f>
        <v>530023</v>
      </c>
      <c r="L54" s="51"/>
    </row>
    <row r="55" spans="1:12">
      <c r="A55" s="76" t="str">
        <f>IF(H55&lt;0,IF(J55&gt;0,"Other Revenues (Expenses)","Other Expenses"),IF(H55&gt;0,IF(J55&gt;=0,"Other Revenues","Other Revenues (Expenses)"),IF(J55&lt;0,"Other Expenses",IF(J55&gt;0,"Other Revenues","Other Revenues (Expenses)"))))</f>
        <v>Other Revenues (Expenses)</v>
      </c>
      <c r="B55" s="35"/>
      <c r="C55" s="14"/>
      <c r="D55" s="14"/>
      <c r="E55" s="14"/>
      <c r="F55" s="35"/>
      <c r="G55" s="15"/>
      <c r="H55" s="58">
        <v>0</v>
      </c>
      <c r="I55" s="230"/>
      <c r="J55" s="58">
        <v>0</v>
      </c>
      <c r="K55" s="58">
        <f>ROUND(J55,0)+ROUND(H55,0)</f>
        <v>0</v>
      </c>
      <c r="L55" s="51"/>
    </row>
    <row r="56" spans="1:12">
      <c r="A56" s="35"/>
      <c r="B56" s="35"/>
      <c r="C56" s="14"/>
      <c r="D56" s="14"/>
      <c r="E56" s="14"/>
      <c r="F56" s="14"/>
      <c r="G56" s="15"/>
      <c r="H56" s="83"/>
      <c r="I56" s="84"/>
      <c r="J56" s="83"/>
      <c r="K56" s="83"/>
      <c r="L56" s="85"/>
    </row>
    <row r="57" spans="1:12">
      <c r="A57" s="29" t="s">
        <v>89</v>
      </c>
      <c r="B57" s="35"/>
      <c r="C57" s="35"/>
      <c r="D57" s="14"/>
      <c r="E57" s="14"/>
      <c r="F57" s="14"/>
      <c r="G57" s="15"/>
      <c r="H57" s="90">
        <f t="array" ref="H57">SUM(ROUND(H52:H55,0))</f>
        <v>2509305</v>
      </c>
      <c r="I57" s="59"/>
      <c r="J57" s="90">
        <f t="array" ref="J57">SUM(ROUND(J52:J55,0))</f>
        <v>530023</v>
      </c>
      <c r="K57" s="90">
        <f t="array" ref="K57">SUM(ROUND(K52:K55,0))</f>
        <v>3039328</v>
      </c>
      <c r="L57" s="91"/>
    </row>
    <row r="58" spans="1:12">
      <c r="A58" s="29"/>
      <c r="B58" s="35"/>
      <c r="C58" s="35"/>
      <c r="D58" s="14"/>
      <c r="E58" s="14"/>
      <c r="F58" s="14"/>
      <c r="G58" s="15"/>
      <c r="H58" s="59"/>
      <c r="I58" s="59"/>
      <c r="J58" s="59"/>
      <c r="K58" s="59"/>
      <c r="L58" s="77"/>
    </row>
    <row r="59" spans="1:12">
      <c r="A59" s="65" t="str">
        <f>IF(H59&lt;0,IF(J59&gt;0,"Increase (Decrease) in Net Position","Decrease in Net Position"),IF(H59&gt;0,IF(J59&gt;=0,"Increase in Net Position","Increase (Decrease) in Net Position"),IF(J59&lt;0,"Decrease in Net Position",IF(J59&gt;0,"Increase in Net Position","Increase (Decrease) in Net Position"))))</f>
        <v>Increase (Decrease) in Net Position</v>
      </c>
      <c r="B59" s="35"/>
      <c r="C59" s="35"/>
      <c r="D59" s="14"/>
      <c r="E59" s="14"/>
      <c r="F59" s="14"/>
      <c r="G59" s="15"/>
      <c r="H59" s="90">
        <f>H50+H57</f>
        <v>-2985086</v>
      </c>
      <c r="I59" s="92"/>
      <c r="J59" s="90">
        <f>J50+J57</f>
        <v>739033</v>
      </c>
      <c r="K59" s="90">
        <f>K50+K57</f>
        <v>-2246053</v>
      </c>
      <c r="L59" s="91"/>
    </row>
    <row r="60" spans="1:12">
      <c r="A60" s="93"/>
      <c r="B60" s="35"/>
      <c r="C60" s="35"/>
      <c r="D60" s="14"/>
      <c r="E60" s="14"/>
      <c r="F60" s="14"/>
      <c r="G60" s="15"/>
      <c r="H60" s="94"/>
      <c r="I60" s="94"/>
      <c r="J60" s="94"/>
      <c r="K60" s="94"/>
      <c r="L60" s="95"/>
    </row>
    <row r="61" spans="1:12">
      <c r="A61" s="14" t="s">
        <v>91</v>
      </c>
      <c r="B61" s="35"/>
      <c r="C61" s="14"/>
      <c r="D61" s="14"/>
      <c r="E61" s="14"/>
      <c r="F61" s="14"/>
      <c r="G61" s="15"/>
      <c r="H61" s="96">
        <f>VLOOKUP($A$1,[21]VLOOKUPS!A44:D71,2,FALSE)</f>
        <v>132330581</v>
      </c>
      <c r="I61" s="49"/>
      <c r="J61" s="96">
        <f>VLOOKUP($A$1,[21]VLOOKUPS!A44:D71,3,FALSE)</f>
        <v>43200907</v>
      </c>
      <c r="K61" s="89">
        <f>ROUND(J61,0)+ROUND(H61,0)</f>
        <v>175531488</v>
      </c>
      <c r="L61" s="97"/>
    </row>
    <row r="62" spans="1:12">
      <c r="A62" s="14" t="s">
        <v>94</v>
      </c>
      <c r="B62" s="35"/>
      <c r="C62" s="14"/>
      <c r="D62" s="14"/>
      <c r="E62" s="14"/>
      <c r="F62" s="14"/>
      <c r="G62" s="15"/>
      <c r="H62" s="82">
        <v>-10365861.58</v>
      </c>
      <c r="I62" s="49"/>
      <c r="J62" s="82">
        <f>46948058-43200907</f>
        <v>3747151</v>
      </c>
      <c r="K62" s="82">
        <f>ROUND(J62,0)+ROUND(H62,0)</f>
        <v>-6618711</v>
      </c>
      <c r="L62" s="81"/>
    </row>
    <row r="63" spans="1:12">
      <c r="A63" s="36"/>
      <c r="B63" s="36"/>
      <c r="C63" s="36"/>
      <c r="D63" s="36"/>
      <c r="E63" s="36"/>
      <c r="F63" s="98"/>
      <c r="G63" s="36"/>
      <c r="H63" s="92"/>
      <c r="I63" s="99"/>
      <c r="J63" s="99"/>
      <c r="K63" s="99"/>
      <c r="L63" s="100"/>
    </row>
    <row r="64" spans="1:12">
      <c r="A64" s="101" t="s">
        <v>95</v>
      </c>
      <c r="B64" s="36"/>
      <c r="C64" s="36"/>
      <c r="D64" s="36"/>
      <c r="E64" s="36"/>
      <c r="F64" s="60"/>
      <c r="G64" s="60"/>
      <c r="H64" s="90">
        <f t="array" ref="H64">SUM(ROUND(H61:H62,0))</f>
        <v>121964719</v>
      </c>
      <c r="I64" s="92"/>
      <c r="J64" s="90">
        <f t="array" ref="J64">SUM(ROUND(J61:J62,0))</f>
        <v>46948058</v>
      </c>
      <c r="K64" s="90">
        <f t="array" ref="K64">SUM(ROUND(K61:K62,0))</f>
        <v>168912777</v>
      </c>
      <c r="L64" s="91"/>
    </row>
    <row r="65" spans="1:12">
      <c r="A65" s="36"/>
      <c r="B65" s="36"/>
      <c r="C65" s="36"/>
      <c r="D65" s="36"/>
      <c r="E65" s="36"/>
      <c r="F65" s="102"/>
      <c r="G65" s="36"/>
      <c r="H65" s="102"/>
      <c r="I65" s="60"/>
      <c r="J65" s="60"/>
      <c r="K65" s="60"/>
      <c r="L65" s="61"/>
    </row>
    <row r="66" spans="1:12" ht="13.5" thickBot="1">
      <c r="A66" s="29" t="s">
        <v>96</v>
      </c>
      <c r="B66" s="35"/>
      <c r="C66" s="14"/>
      <c r="D66" s="14"/>
      <c r="E66" s="14"/>
      <c r="F66" s="14"/>
      <c r="G66" s="103"/>
      <c r="H66" s="104">
        <f>H59+H64</f>
        <v>118979633</v>
      </c>
      <c r="I66" s="105"/>
      <c r="J66" s="104">
        <f>J59+J64</f>
        <v>47687091</v>
      </c>
      <c r="K66" s="104">
        <f>K59+K64</f>
        <v>166666724</v>
      </c>
      <c r="L66" s="46"/>
    </row>
    <row r="67" spans="1:12" ht="13.5" thickTop="1">
      <c r="A67" s="14"/>
      <c r="B67" s="14"/>
      <c r="C67" s="14"/>
      <c r="D67" s="14"/>
      <c r="E67" s="14"/>
      <c r="F67" s="14"/>
      <c r="G67" s="15"/>
      <c r="H67" s="107"/>
      <c r="I67" s="15"/>
      <c r="J67" s="107"/>
      <c r="K67" s="107"/>
      <c r="L67" s="108"/>
    </row>
    <row r="68" spans="1:12">
      <c r="A68" s="35" t="s">
        <v>97</v>
      </c>
      <c r="B68" s="35"/>
      <c r="C68" s="35"/>
      <c r="D68" s="35"/>
      <c r="E68" s="35"/>
      <c r="F68" s="35"/>
      <c r="G68" s="87"/>
      <c r="H68" s="35"/>
      <c r="I68" s="87"/>
      <c r="J68" s="35"/>
      <c r="K68" s="35"/>
      <c r="L68" s="37"/>
    </row>
    <row r="69" spans="1:12">
      <c r="G69" s="6"/>
      <c r="H69" s="109">
        <f>H66-[21]SNP!K119</f>
        <v>0</v>
      </c>
      <c r="I69" s="110"/>
      <c r="J69" s="111">
        <f>J66-[21]SNP!M119</f>
        <v>0</v>
      </c>
      <c r="K69" s="111">
        <f>K66-[21]SNP!N119</f>
        <v>0</v>
      </c>
      <c r="L69" s="112"/>
    </row>
    <row r="70" spans="1:12">
      <c r="G70" s="113" t="s">
        <v>98</v>
      </c>
      <c r="H70" s="114"/>
      <c r="I70" s="115"/>
      <c r="J70" s="114"/>
      <c r="K70" s="114"/>
      <c r="L70" s="114"/>
    </row>
  </sheetData>
  <sheetProtection formatColumns="0" formatRows="0"/>
  <conditionalFormatting sqref="H69 J69">
    <cfRule type="cellIs" dxfId="179" priority="14" operator="notEqual">
      <formula>0</formula>
    </cfRule>
    <cfRule type="cellIs" dxfId="178" priority="15" operator="equal">
      <formula>0</formula>
    </cfRule>
  </conditionalFormatting>
  <conditionalFormatting sqref="H11:H15 D11:E11 J24:J30 J37:J45 H37:H45 J62 H62 J17:J18 H25:H29 H17:H18 D17:E17 J11:J15 J52:J55 H52:H55">
    <cfRule type="containsBlanks" dxfId="177" priority="12">
      <formula>LEN(TRIM(D11))=0</formula>
    </cfRule>
    <cfRule type="cellIs" dxfId="176" priority="13" operator="notEqual">
      <formula>0</formula>
    </cfRule>
  </conditionalFormatting>
  <conditionalFormatting sqref="H11">
    <cfRule type="cellIs" dxfId="175" priority="11" operator="notEqual">
      <formula>H20</formula>
    </cfRule>
  </conditionalFormatting>
  <conditionalFormatting sqref="J11">
    <cfRule type="cellIs" dxfId="174" priority="10" operator="notEqual">
      <formula>J20</formula>
    </cfRule>
  </conditionalFormatting>
  <conditionalFormatting sqref="K69">
    <cfRule type="cellIs" dxfId="173" priority="8" operator="notEqual">
      <formula>0</formula>
    </cfRule>
    <cfRule type="cellIs" dxfId="172" priority="9" operator="equal">
      <formula>0</formula>
    </cfRule>
  </conditionalFormatting>
  <conditionalFormatting sqref="K24:K30 K37:K45 K62 K17:K18 K11:K15 K52:K55">
    <cfRule type="containsBlanks" dxfId="171" priority="6">
      <formula>LEN(TRIM(K11))=0</formula>
    </cfRule>
    <cfRule type="cellIs" dxfId="170" priority="7" operator="notEqual">
      <formula>0</formula>
    </cfRule>
  </conditionalFormatting>
  <conditionalFormatting sqref="K11">
    <cfRule type="cellIs" dxfId="169" priority="5" operator="notEqual">
      <formula>K20</formula>
    </cfRule>
  </conditionalFormatting>
  <conditionalFormatting sqref="H24">
    <cfRule type="containsBlanks" dxfId="168" priority="3">
      <formula>LEN(TRIM(H24))=0</formula>
    </cfRule>
    <cfRule type="cellIs" dxfId="167" priority="4" operator="notEqual">
      <formula>0</formula>
    </cfRule>
  </conditionalFormatting>
  <conditionalFormatting sqref="K61">
    <cfRule type="containsBlanks" dxfId="166" priority="1">
      <formula>LEN(TRIM(K61))=0</formula>
    </cfRule>
    <cfRule type="cellIs" dxfId="165" priority="2" operator="notEqual">
      <formula>0</formula>
    </cfRule>
  </conditionalFormatting>
  <printOptions horizontalCentered="1"/>
  <pageMargins left="0.7" right="0.7" top="0.75" bottom="0.75" header="0.5" footer="0.5"/>
  <pageSetup scale="53" orientation="portrait" horizontalDpi="4294967294" verticalDpi="4294967294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1:U127"/>
  <sheetViews>
    <sheetView tabSelected="1" topLeftCell="C1" zoomScale="80" zoomScaleNormal="80" zoomScaleSheetLayoutView="70" workbookViewId="0">
      <selection activeCell="C1" sqref="C1"/>
    </sheetView>
  </sheetViews>
  <sheetFormatPr defaultColWidth="11.140625" defaultRowHeight="12.75"/>
  <cols>
    <col min="1" max="1" width="8.5703125" style="1" hidden="1" customWidth="1"/>
    <col min="2" max="2" width="5.7109375" style="20" hidden="1" customWidth="1"/>
    <col min="3" max="3" width="2" style="6" customWidth="1"/>
    <col min="4" max="4" width="9.140625" style="6" customWidth="1"/>
    <col min="5" max="5" width="14.5703125" style="6" customWidth="1"/>
    <col min="6" max="6" width="16" style="6" customWidth="1"/>
    <col min="7" max="7" width="15.28515625" style="6" customWidth="1"/>
    <col min="8" max="8" width="9.140625" style="6" customWidth="1"/>
    <col min="9" max="9" width="9.140625" style="11" customWidth="1"/>
    <col min="10" max="10" width="18" style="6" customWidth="1"/>
    <col min="11" max="11" width="0.7109375" style="11" customWidth="1"/>
    <col min="12" max="12" width="17.42578125" style="6" customWidth="1"/>
    <col min="13" max="13" width="16" style="6" customWidth="1"/>
    <col min="14" max="14" width="11.28515625" style="6" customWidth="1"/>
    <col min="15" max="15" width="24" style="10" hidden="1" customWidth="1"/>
    <col min="16" max="16" width="1.28515625" style="5" hidden="1" customWidth="1"/>
    <col min="17" max="17" width="18.85546875" style="5" hidden="1" customWidth="1"/>
    <col min="18" max="18" width="17.7109375" style="5" hidden="1" customWidth="1"/>
    <col min="19" max="19" width="18.7109375" style="5" hidden="1" customWidth="1"/>
    <col min="20" max="20" width="13.7109375" style="5" hidden="1" customWidth="1"/>
    <col min="21" max="21" width="18.7109375" style="239" bestFit="1" customWidth="1"/>
    <col min="22" max="16384" width="11.140625" style="6"/>
  </cols>
  <sheetData>
    <row r="1" spans="1:21">
      <c r="B1" s="2"/>
      <c r="C1" s="260" t="s">
        <v>130</v>
      </c>
      <c r="D1" s="260"/>
      <c r="E1" s="260"/>
      <c r="F1" s="260"/>
      <c r="G1" s="260"/>
      <c r="H1" s="260"/>
      <c r="I1" s="260"/>
      <c r="J1" s="260"/>
      <c r="K1" s="260"/>
      <c r="L1" s="260"/>
      <c r="M1" s="247"/>
      <c r="N1" s="3"/>
      <c r="O1" s="4"/>
    </row>
    <row r="2" spans="1:21">
      <c r="B2" s="2"/>
      <c r="C2" s="256" t="s">
        <v>0</v>
      </c>
      <c r="D2" s="256"/>
      <c r="E2" s="256"/>
      <c r="F2" s="256"/>
      <c r="G2" s="256"/>
      <c r="H2" s="256"/>
      <c r="I2" s="256"/>
      <c r="J2" s="256"/>
      <c r="K2" s="256"/>
      <c r="L2" s="256"/>
      <c r="M2" s="245"/>
      <c r="N2" s="7"/>
      <c r="O2" s="8"/>
    </row>
    <row r="3" spans="1:21" ht="12.75" customHeight="1">
      <c r="B3" s="2"/>
      <c r="C3" s="86" t="s">
        <v>1</v>
      </c>
      <c r="D3" s="86"/>
      <c r="E3" s="86"/>
      <c r="F3" s="86"/>
      <c r="G3" s="86"/>
      <c r="H3" s="86"/>
      <c r="I3" s="86"/>
      <c r="J3" s="86"/>
      <c r="K3" s="86"/>
      <c r="L3" s="86"/>
      <c r="M3" s="248"/>
      <c r="N3" s="9" t="s">
        <v>2</v>
      </c>
      <c r="Q3" s="251" t="s">
        <v>3</v>
      </c>
      <c r="R3" s="251"/>
      <c r="S3" s="251"/>
      <c r="T3" s="251"/>
    </row>
    <row r="4" spans="1:21">
      <c r="B4" s="2"/>
      <c r="C4" s="261" t="s">
        <v>4</v>
      </c>
      <c r="D4" s="261"/>
      <c r="E4" s="261"/>
      <c r="F4" s="261"/>
      <c r="G4" s="261"/>
      <c r="H4" s="261"/>
      <c r="I4" s="261"/>
      <c r="J4" s="261"/>
      <c r="K4" s="261"/>
      <c r="L4" s="261"/>
      <c r="M4" s="249"/>
      <c r="N4" s="11" t="str">
        <f>'[4]Contact Information'!$C$3</f>
        <v>2014.v03</v>
      </c>
      <c r="Q4" s="251"/>
      <c r="R4" s="251"/>
      <c r="S4" s="251"/>
      <c r="T4" s="251"/>
    </row>
    <row r="5" spans="1:21">
      <c r="A5" s="12"/>
      <c r="B5" s="13"/>
      <c r="C5" s="14"/>
      <c r="D5" s="14"/>
      <c r="E5" s="14"/>
      <c r="F5" s="14"/>
      <c r="G5" s="14"/>
      <c r="H5" s="14"/>
      <c r="I5" s="15"/>
      <c r="J5" s="16"/>
      <c r="K5" s="17"/>
      <c r="L5" s="16"/>
      <c r="M5" s="16"/>
      <c r="N5" s="18"/>
      <c r="O5" s="19"/>
      <c r="Q5" s="251"/>
      <c r="R5" s="251"/>
      <c r="S5" s="251"/>
      <c r="T5" s="251"/>
    </row>
    <row r="6" spans="1:21">
      <c r="C6" s="14"/>
      <c r="D6" s="14"/>
      <c r="E6" s="14"/>
      <c r="F6" s="14"/>
      <c r="G6" s="14"/>
      <c r="H6" s="14"/>
      <c r="I6" s="15"/>
      <c r="J6" s="249" t="s">
        <v>5</v>
      </c>
      <c r="K6" s="21"/>
      <c r="L6" s="22" t="s">
        <v>6</v>
      </c>
      <c r="M6" s="22" t="s">
        <v>7</v>
      </c>
      <c r="N6" s="23"/>
      <c r="O6" s="19"/>
      <c r="Q6" s="251"/>
      <c r="R6" s="251"/>
      <c r="S6" s="251"/>
      <c r="T6" s="251"/>
    </row>
    <row r="7" spans="1:21">
      <c r="C7" s="14"/>
      <c r="D7" s="14"/>
      <c r="E7" s="14"/>
      <c r="F7" s="14"/>
      <c r="G7" s="14"/>
      <c r="H7" s="14"/>
      <c r="I7" s="15"/>
      <c r="J7" s="24"/>
      <c r="K7" s="25"/>
      <c r="L7" s="26" t="str">
        <f>[4]SNP!$M$9</f>
        <v>Unit</v>
      </c>
      <c r="M7" s="26"/>
      <c r="N7" s="27"/>
      <c r="O7" s="28" t="s">
        <v>8</v>
      </c>
      <c r="Q7" s="251"/>
      <c r="R7" s="251"/>
      <c r="S7" s="251"/>
      <c r="T7" s="251"/>
    </row>
    <row r="8" spans="1:21">
      <c r="C8" s="29" t="s">
        <v>9</v>
      </c>
      <c r="D8" s="14"/>
      <c r="E8" s="14"/>
      <c r="F8" s="14"/>
      <c r="G8" s="14"/>
      <c r="H8" s="14"/>
      <c r="I8" s="15"/>
      <c r="J8" s="25"/>
      <c r="K8" s="25"/>
      <c r="L8" s="25"/>
      <c r="M8" s="25"/>
      <c r="N8" s="30"/>
      <c r="O8" s="31"/>
      <c r="Q8" s="251"/>
      <c r="R8" s="251"/>
      <c r="S8" s="251"/>
      <c r="T8" s="251"/>
    </row>
    <row r="9" spans="1:21">
      <c r="A9" s="32" t="s">
        <v>10</v>
      </c>
      <c r="B9" s="33" t="s">
        <v>11</v>
      </c>
      <c r="C9" s="14" t="s">
        <v>12</v>
      </c>
      <c r="D9" s="14"/>
      <c r="E9" s="14"/>
      <c r="F9" s="14"/>
      <c r="G9" s="14"/>
      <c r="H9" s="14"/>
      <c r="I9" s="15"/>
      <c r="J9" s="17"/>
      <c r="K9" s="17"/>
      <c r="L9" s="17"/>
      <c r="M9" s="17"/>
      <c r="N9" s="18"/>
      <c r="O9" s="31"/>
      <c r="Q9" s="262" t="s">
        <v>13</v>
      </c>
      <c r="R9" s="262"/>
      <c r="S9" s="262"/>
      <c r="T9" s="262"/>
    </row>
    <row r="10" spans="1:21" s="43" customFormat="1">
      <c r="A10" s="1"/>
      <c r="B10" s="34"/>
      <c r="C10" s="35"/>
      <c r="D10" s="36" t="s">
        <v>14</v>
      </c>
      <c r="E10" s="14"/>
      <c r="F10" s="14"/>
      <c r="G10" s="14"/>
      <c r="H10" s="14"/>
      <c r="I10" s="35"/>
      <c r="J10" s="35"/>
      <c r="K10" s="17"/>
      <c r="L10" s="35"/>
      <c r="M10" s="35"/>
      <c r="N10" s="37"/>
      <c r="O10" s="31"/>
      <c r="P10" s="38"/>
      <c r="Q10" s="39" t="s">
        <v>5</v>
      </c>
      <c r="R10" s="40" t="s">
        <v>15</v>
      </c>
      <c r="S10" s="41" t="s">
        <v>16</v>
      </c>
      <c r="T10" s="42" t="s">
        <v>15</v>
      </c>
      <c r="U10" s="238"/>
    </row>
    <row r="11" spans="1:21" s="43" customFormat="1">
      <c r="A11" s="1" t="s">
        <v>17</v>
      </c>
      <c r="B11" s="34" t="s">
        <v>18</v>
      </c>
      <c r="C11" s="35"/>
      <c r="D11" s="44" t="s">
        <v>19</v>
      </c>
      <c r="E11" s="35"/>
      <c r="F11" s="263">
        <f>SUM(EASTERNFL:VALENCIA!F11:G11)</f>
        <v>237403355.43000004</v>
      </c>
      <c r="G11" s="263"/>
      <c r="H11" s="45"/>
      <c r="I11" s="36"/>
      <c r="J11" s="129">
        <f>SUM(EASTERNFL:VALENCIA!J11)</f>
        <v>313882973.11000001</v>
      </c>
      <c r="K11" s="129"/>
      <c r="L11" s="129">
        <f>SUM(EASTERNFL:VALENCIA!L11)</f>
        <v>0</v>
      </c>
      <c r="M11" s="129">
        <f>ROUND(L11,0)+ROUND(J11,0)</f>
        <v>313882973</v>
      </c>
      <c r="N11" s="46"/>
      <c r="O11" s="31"/>
      <c r="P11" s="38"/>
      <c r="Q11" s="47">
        <f>J11</f>
        <v>313882973.11000001</v>
      </c>
      <c r="R11" s="47">
        <f>ROUND(Q11,0)-Q11</f>
        <v>-0.11000001430511475</v>
      </c>
      <c r="S11" s="47">
        <f>L11</f>
        <v>0</v>
      </c>
      <c r="T11" s="47">
        <f>ROUND(S11,0)-S11</f>
        <v>0</v>
      </c>
      <c r="U11" s="238"/>
    </row>
    <row r="12" spans="1:21" s="43" customFormat="1">
      <c r="A12" s="1" t="s">
        <v>20</v>
      </c>
      <c r="B12" s="34" t="s">
        <v>21</v>
      </c>
      <c r="C12" s="35"/>
      <c r="D12" s="36" t="s">
        <v>22</v>
      </c>
      <c r="E12" s="14"/>
      <c r="F12" s="48"/>
      <c r="G12" s="49"/>
      <c r="H12" s="15"/>
      <c r="I12" s="35"/>
      <c r="J12" s="129">
        <f>SUM(EASTERNFL:VALENCIA!J12)</f>
        <v>47644097.329999998</v>
      </c>
      <c r="K12" s="129"/>
      <c r="L12" s="129">
        <f>SUM(EASTERNFL:VALENCIA!L12)</f>
        <v>0</v>
      </c>
      <c r="M12" s="130">
        <f t="shared" ref="M12:M15" si="0">ROUND(L12,0)+ROUND(J12,0)</f>
        <v>47644097</v>
      </c>
      <c r="N12" s="51"/>
      <c r="O12" s="31"/>
      <c r="P12" s="38"/>
      <c r="Q12" s="47">
        <f t="shared" ref="Q12:Q18" si="1">J12</f>
        <v>47644097.329999998</v>
      </c>
      <c r="R12" s="47">
        <f t="shared" ref="R12:R18" si="2">ROUND(Q12,0)-Q12</f>
        <v>-0.32999999821186066</v>
      </c>
      <c r="S12" s="47">
        <f t="shared" ref="S12:S18" si="3">L12</f>
        <v>0</v>
      </c>
      <c r="T12" s="47">
        <f t="shared" ref="T12:T18" si="4">ROUND(S12,0)-S12</f>
        <v>0</v>
      </c>
      <c r="U12" s="238"/>
    </row>
    <row r="13" spans="1:21" s="43" customFormat="1">
      <c r="A13" s="1" t="s">
        <v>23</v>
      </c>
      <c r="B13" s="34" t="s">
        <v>21</v>
      </c>
      <c r="C13" s="35"/>
      <c r="D13" s="36" t="s">
        <v>24</v>
      </c>
      <c r="E13" s="14"/>
      <c r="F13" s="48"/>
      <c r="G13" s="48"/>
      <c r="H13" s="14"/>
      <c r="I13" s="35"/>
      <c r="J13" s="129">
        <f>SUM(EASTERNFL:VALENCIA!J13)</f>
        <v>22402550.689999998</v>
      </c>
      <c r="K13" s="129"/>
      <c r="L13" s="129">
        <f>SUM(EASTERNFL:VALENCIA!L13)</f>
        <v>506824</v>
      </c>
      <c r="M13" s="130">
        <f t="shared" si="0"/>
        <v>22909375</v>
      </c>
      <c r="N13" s="51"/>
      <c r="O13" s="31"/>
      <c r="P13" s="38"/>
      <c r="Q13" s="47">
        <f t="shared" si="1"/>
        <v>22402550.689999998</v>
      </c>
      <c r="R13" s="47">
        <f t="shared" si="2"/>
        <v>0.31000000238418579</v>
      </c>
      <c r="S13" s="47">
        <f t="shared" si="3"/>
        <v>506824</v>
      </c>
      <c r="T13" s="47">
        <f t="shared" si="4"/>
        <v>0</v>
      </c>
      <c r="U13" s="238"/>
    </row>
    <row r="14" spans="1:21" s="43" customFormat="1">
      <c r="A14" s="1" t="s">
        <v>25</v>
      </c>
      <c r="B14" s="34" t="s">
        <v>21</v>
      </c>
      <c r="C14" s="35"/>
      <c r="D14" s="36" t="s">
        <v>26</v>
      </c>
      <c r="E14" s="14"/>
      <c r="F14" s="48"/>
      <c r="G14" s="48"/>
      <c r="H14" s="14"/>
      <c r="I14" s="35"/>
      <c r="J14" s="129">
        <f>SUM(EASTERNFL:VALENCIA!J14)</f>
        <v>25883057.860000003</v>
      </c>
      <c r="K14" s="129"/>
      <c r="L14" s="129">
        <f>SUM(EASTERNFL:VALENCIA!L14)</f>
        <v>10905649.470000001</v>
      </c>
      <c r="M14" s="130">
        <f t="shared" si="0"/>
        <v>36788707</v>
      </c>
      <c r="N14" s="51"/>
      <c r="O14" s="31"/>
      <c r="P14" s="38"/>
      <c r="Q14" s="47">
        <f t="shared" si="1"/>
        <v>25883057.860000003</v>
      </c>
      <c r="R14" s="47">
        <f t="shared" si="2"/>
        <v>0.13999999687075615</v>
      </c>
      <c r="S14" s="47">
        <f t="shared" si="3"/>
        <v>10905649.470000001</v>
      </c>
      <c r="T14" s="47">
        <f t="shared" si="4"/>
        <v>-0.47000000067055225</v>
      </c>
      <c r="U14" s="238"/>
    </row>
    <row r="15" spans="1:21" s="43" customFormat="1">
      <c r="A15" s="1" t="s">
        <v>27</v>
      </c>
      <c r="B15" s="34" t="s">
        <v>18</v>
      </c>
      <c r="C15" s="35"/>
      <c r="D15" s="36" t="s">
        <v>28</v>
      </c>
      <c r="E15" s="14"/>
      <c r="F15" s="48"/>
      <c r="G15" s="48"/>
      <c r="H15" s="35"/>
      <c r="I15" s="35"/>
      <c r="J15" s="129">
        <f>SUM(EASTERNFL:VALENCIA!J15)</f>
        <v>8454706.8000000007</v>
      </c>
      <c r="K15" s="129"/>
      <c r="L15" s="129">
        <f>SUM(EASTERNFL:VALENCIA!L15)</f>
        <v>0</v>
      </c>
      <c r="M15" s="130">
        <f t="shared" si="0"/>
        <v>8454707</v>
      </c>
      <c r="N15" s="51"/>
      <c r="O15" s="31"/>
      <c r="P15" s="38"/>
      <c r="Q15" s="47">
        <f t="shared" si="1"/>
        <v>8454706.8000000007</v>
      </c>
      <c r="R15" s="47">
        <f t="shared" si="2"/>
        <v>0.19999999925494194</v>
      </c>
      <c r="S15" s="47">
        <f t="shared" si="3"/>
        <v>0</v>
      </c>
      <c r="T15" s="47">
        <f t="shared" si="4"/>
        <v>0</v>
      </c>
      <c r="U15" s="238"/>
    </row>
    <row r="16" spans="1:21" s="43" customFormat="1">
      <c r="A16" s="52"/>
      <c r="B16" s="53"/>
      <c r="C16" s="35"/>
      <c r="D16" s="36" t="s">
        <v>29</v>
      </c>
      <c r="E16" s="14"/>
      <c r="F16" s="54"/>
      <c r="G16" s="49"/>
      <c r="H16" s="55"/>
      <c r="I16" s="35"/>
      <c r="J16" s="129">
        <f>SUM(EASTERNFL:VALENCIA!J16)</f>
        <v>0</v>
      </c>
      <c r="K16" s="129"/>
      <c r="L16" s="129">
        <f>SUM(EASTERNFL:VALENCIA!L16)</f>
        <v>0</v>
      </c>
      <c r="M16" s="35"/>
      <c r="N16" s="37"/>
      <c r="O16" s="31"/>
      <c r="P16" s="38"/>
      <c r="Q16" s="47"/>
      <c r="R16" s="47"/>
      <c r="S16" s="47"/>
      <c r="T16" s="47"/>
      <c r="U16" s="238"/>
    </row>
    <row r="17" spans="1:21" s="43" customFormat="1">
      <c r="A17" s="52" t="s">
        <v>30</v>
      </c>
      <c r="B17" s="53" t="s">
        <v>18</v>
      </c>
      <c r="C17" s="35"/>
      <c r="D17" s="44" t="s">
        <v>19</v>
      </c>
      <c r="E17" s="35"/>
      <c r="F17" s="263">
        <f>SUM(EASTERNFL:VALENCIA!F17:G17)</f>
        <v>10252068</v>
      </c>
      <c r="G17" s="263"/>
      <c r="H17" s="55"/>
      <c r="I17" s="35"/>
      <c r="J17" s="129">
        <f>SUM(EASTERNFL:VALENCIA!J17)</f>
        <v>51766696.490000002</v>
      </c>
      <c r="K17" s="129"/>
      <c r="L17" s="129">
        <f>SUM(EASTERNFL:VALENCIA!L17)</f>
        <v>0</v>
      </c>
      <c r="M17" s="130">
        <f t="shared" ref="M17:M18" si="5">ROUND(L17,0)+ROUND(J17,0)</f>
        <v>51766696</v>
      </c>
      <c r="N17" s="51"/>
      <c r="O17" s="31"/>
      <c r="P17" s="38"/>
      <c r="Q17" s="47">
        <f t="shared" si="1"/>
        <v>51766696.490000002</v>
      </c>
      <c r="R17" s="47">
        <f t="shared" si="2"/>
        <v>-0.49000000208616257</v>
      </c>
      <c r="S17" s="47">
        <f t="shared" si="3"/>
        <v>0</v>
      </c>
      <c r="T17" s="47">
        <f t="shared" si="4"/>
        <v>0</v>
      </c>
      <c r="U17" s="238"/>
    </row>
    <row r="18" spans="1:21" s="43" customFormat="1">
      <c r="A18" s="52" t="s">
        <v>31</v>
      </c>
      <c r="B18" s="56" t="s">
        <v>32</v>
      </c>
      <c r="C18" s="35"/>
      <c r="D18" s="57" t="s">
        <v>33</v>
      </c>
      <c r="E18" s="14"/>
      <c r="F18" s="14"/>
      <c r="G18" s="14"/>
      <c r="H18" s="14"/>
      <c r="I18" s="36"/>
      <c r="J18" s="131">
        <f>SUM(EASTERNFL:VALENCIA!J18)</f>
        <v>34313640.269999996</v>
      </c>
      <c r="K18" s="129"/>
      <c r="L18" s="131">
        <f>SUM(EASTERNFL:VALENCIA!L18)</f>
        <v>22715608.739999998</v>
      </c>
      <c r="M18" s="132">
        <f t="shared" si="5"/>
        <v>57029249</v>
      </c>
      <c r="N18" s="51"/>
      <c r="O18" s="31"/>
      <c r="P18" s="38"/>
      <c r="Q18" s="47">
        <f t="shared" si="1"/>
        <v>34313640.269999996</v>
      </c>
      <c r="R18" s="47">
        <f t="shared" si="2"/>
        <v>-0.26999999582767487</v>
      </c>
      <c r="S18" s="47">
        <f t="shared" si="3"/>
        <v>22715608.739999998</v>
      </c>
      <c r="T18" s="47">
        <f t="shared" si="4"/>
        <v>0.26000000163912773</v>
      </c>
      <c r="U18" s="238"/>
    </row>
    <row r="19" spans="1:21" s="64" customFormat="1">
      <c r="A19" s="52"/>
      <c r="B19" s="56"/>
      <c r="C19" s="36"/>
      <c r="D19" s="36"/>
      <c r="E19" s="36"/>
      <c r="F19" s="36"/>
      <c r="G19" s="36"/>
      <c r="H19" s="59"/>
      <c r="I19" s="59"/>
      <c r="J19" s="59"/>
      <c r="K19" s="60"/>
      <c r="L19" s="60"/>
      <c r="M19" s="60"/>
      <c r="N19" s="61"/>
      <c r="O19" s="31"/>
      <c r="P19" s="62"/>
      <c r="Q19" s="63"/>
      <c r="R19" s="63"/>
      <c r="S19" s="63"/>
      <c r="T19" s="63"/>
      <c r="U19" s="238"/>
    </row>
    <row r="20" spans="1:21" s="43" customFormat="1">
      <c r="A20" s="52" t="s">
        <v>34</v>
      </c>
      <c r="B20" s="56"/>
      <c r="C20" s="35"/>
      <c r="D20" s="65" t="s">
        <v>35</v>
      </c>
      <c r="E20" s="35"/>
      <c r="F20" s="14"/>
      <c r="G20" s="14"/>
      <c r="H20" s="14"/>
      <c r="I20" s="15"/>
      <c r="J20" s="66">
        <f t="array" ref="J20">SUM(ROUND(J11:J18,0))</f>
        <v>504347722</v>
      </c>
      <c r="K20" s="67"/>
      <c r="L20" s="66">
        <f t="array" ref="L20">SUM(ROUND(L11:L18,0))</f>
        <v>34128082</v>
      </c>
      <c r="M20" s="66">
        <f t="array" ref="M20">SUM(ROUND(M11:M18,0))</f>
        <v>538475804</v>
      </c>
      <c r="N20" s="68"/>
      <c r="O20" s="31"/>
      <c r="P20" s="38"/>
      <c r="Q20" s="69">
        <f>SUM(Q11:Q18)</f>
        <v>504347722.55000001</v>
      </c>
      <c r="R20" s="69">
        <f>J20-Q20</f>
        <v>-0.55000001192092896</v>
      </c>
      <c r="S20" s="69">
        <f>SUM(S11:S18)</f>
        <v>34128082.210000001</v>
      </c>
      <c r="T20" s="69">
        <f>L20-S20</f>
        <v>-0.21000000089406967</v>
      </c>
      <c r="U20" s="238"/>
    </row>
    <row r="21" spans="1:21" s="43" customFormat="1">
      <c r="A21" s="52"/>
      <c r="B21" s="56"/>
      <c r="C21" s="14"/>
      <c r="D21" s="14"/>
      <c r="E21" s="14"/>
      <c r="F21" s="14"/>
      <c r="G21" s="14"/>
      <c r="H21" s="14"/>
      <c r="I21" s="15"/>
      <c r="J21" s="17"/>
      <c r="K21" s="17"/>
      <c r="L21" s="17"/>
      <c r="M21" s="17"/>
      <c r="N21" s="18"/>
      <c r="O21" s="31"/>
      <c r="P21" s="38"/>
      <c r="Q21" s="47"/>
      <c r="R21" s="47"/>
      <c r="S21" s="47"/>
      <c r="T21" s="47"/>
      <c r="U21" s="238"/>
    </row>
    <row r="22" spans="1:21" s="43" customFormat="1">
      <c r="A22" s="70"/>
      <c r="B22" s="71"/>
      <c r="C22" s="29" t="s">
        <v>36</v>
      </c>
      <c r="D22" s="14"/>
      <c r="E22" s="14"/>
      <c r="F22" s="14"/>
      <c r="G22" s="14"/>
      <c r="H22" s="14"/>
      <c r="I22" s="15"/>
      <c r="J22" s="16"/>
      <c r="K22" s="17"/>
      <c r="L22" s="16"/>
      <c r="M22" s="16"/>
      <c r="N22" s="18"/>
      <c r="O22" s="31"/>
      <c r="P22" s="38"/>
      <c r="Q22" s="47">
        <f t="shared" ref="Q22:Q30" si="6">J22</f>
        <v>0</v>
      </c>
      <c r="R22" s="47">
        <f t="shared" ref="R22:R30" si="7">ROUND(Q22,0)-Q22</f>
        <v>0</v>
      </c>
      <c r="S22" s="47">
        <f t="shared" ref="S22:S30" si="8">L22</f>
        <v>0</v>
      </c>
      <c r="T22" s="47">
        <f t="shared" ref="T22:T30" si="9">ROUND(S22,0)-S22</f>
        <v>0</v>
      </c>
      <c r="U22" s="238"/>
    </row>
    <row r="23" spans="1:21" s="43" customFormat="1">
      <c r="A23" s="52"/>
      <c r="B23" s="53"/>
      <c r="C23" s="14" t="s">
        <v>37</v>
      </c>
      <c r="D23" s="14"/>
      <c r="E23" s="14"/>
      <c r="F23" s="14"/>
      <c r="G23" s="35"/>
      <c r="H23" s="14"/>
      <c r="I23" s="15"/>
      <c r="J23" s="16"/>
      <c r="K23" s="17"/>
      <c r="L23" s="16"/>
      <c r="M23" s="16"/>
      <c r="N23" s="18"/>
      <c r="O23" s="31"/>
      <c r="P23" s="38"/>
      <c r="Q23" s="47">
        <f t="shared" si="6"/>
        <v>0</v>
      </c>
      <c r="R23" s="47">
        <f t="shared" si="7"/>
        <v>0</v>
      </c>
      <c r="S23" s="47">
        <f t="shared" si="8"/>
        <v>0</v>
      </c>
      <c r="T23" s="47">
        <f t="shared" si="9"/>
        <v>0</v>
      </c>
      <c r="U23" s="238"/>
    </row>
    <row r="24" spans="1:21" s="43" customFormat="1">
      <c r="A24" s="12" t="s">
        <v>38</v>
      </c>
      <c r="B24" s="72" t="s">
        <v>39</v>
      </c>
      <c r="C24" s="44"/>
      <c r="D24" s="36" t="s">
        <v>40</v>
      </c>
      <c r="E24" s="14"/>
      <c r="F24" s="14"/>
      <c r="G24" s="35"/>
      <c r="H24" s="14"/>
      <c r="I24" s="15"/>
      <c r="J24" s="130">
        <f>SUM(EASTERNFL:VALENCIA!J24)</f>
        <v>963640215.5200001</v>
      </c>
      <c r="K24" s="130"/>
      <c r="L24" s="130">
        <f>SUM(EASTERNFL:VALENCIA!L24)</f>
        <v>3502142.57</v>
      </c>
      <c r="M24" s="130">
        <f t="shared" ref="M24:M30" si="10">ROUND(L24,0)+ROUND(J24,0)</f>
        <v>967142359</v>
      </c>
      <c r="N24" s="51"/>
      <c r="O24" s="31"/>
      <c r="P24" s="38"/>
      <c r="Q24" s="47">
        <v>1755184891.4100001</v>
      </c>
      <c r="R24" s="47">
        <f>J24-Q24</f>
        <v>-791544675.88999999</v>
      </c>
      <c r="S24" s="47">
        <f t="shared" si="8"/>
        <v>3502142.57</v>
      </c>
      <c r="T24" s="47">
        <f t="shared" si="9"/>
        <v>0.43000000016763806</v>
      </c>
      <c r="U24" s="238"/>
    </row>
    <row r="25" spans="1:21" s="43" customFormat="1">
      <c r="A25" s="1" t="s">
        <v>41</v>
      </c>
      <c r="B25" s="72" t="s">
        <v>39</v>
      </c>
      <c r="C25" s="44"/>
      <c r="D25" s="36" t="s">
        <v>42</v>
      </c>
      <c r="E25" s="14"/>
      <c r="F25" s="14"/>
      <c r="G25" s="35"/>
      <c r="H25" s="14"/>
      <c r="I25" s="15"/>
      <c r="J25" s="130">
        <f>SUM(EASTERNFL:VALENCIA!J25)</f>
        <v>302241397.65999997</v>
      </c>
      <c r="K25" s="130"/>
      <c r="L25" s="130">
        <f>SUM(EASTERNFL:VALENCIA!L25)</f>
        <v>15550222.810000001</v>
      </c>
      <c r="M25" s="130">
        <f t="shared" si="10"/>
        <v>317791621</v>
      </c>
      <c r="N25" s="51"/>
      <c r="O25" s="31"/>
      <c r="P25" s="38"/>
      <c r="Q25" s="47">
        <f t="shared" si="6"/>
        <v>302241397.65999997</v>
      </c>
      <c r="R25" s="47">
        <f t="shared" si="7"/>
        <v>0.34000003337860107</v>
      </c>
      <c r="S25" s="47">
        <f t="shared" si="8"/>
        <v>15550222.810000001</v>
      </c>
      <c r="T25" s="47">
        <f t="shared" si="9"/>
        <v>0.18999999947845936</v>
      </c>
      <c r="U25" s="238"/>
    </row>
    <row r="26" spans="1:21" s="43" customFormat="1">
      <c r="A26" s="12" t="s">
        <v>43</v>
      </c>
      <c r="B26" s="34" t="s">
        <v>39</v>
      </c>
      <c r="C26" s="44"/>
      <c r="D26" s="36" t="s">
        <v>44</v>
      </c>
      <c r="E26" s="14"/>
      <c r="F26" s="14"/>
      <c r="G26" s="35"/>
      <c r="H26" s="14"/>
      <c r="I26" s="15"/>
      <c r="J26" s="130">
        <f>SUM(EASTERNFL:VALENCIA!J26)</f>
        <v>47284213.800000004</v>
      </c>
      <c r="K26" s="130"/>
      <c r="L26" s="130">
        <f>SUM(EASTERNFL:VALENCIA!L26)</f>
        <v>110885</v>
      </c>
      <c r="M26" s="130">
        <f t="shared" si="10"/>
        <v>47395099</v>
      </c>
      <c r="N26" s="51"/>
      <c r="O26" s="31"/>
      <c r="P26" s="38"/>
      <c r="Q26" s="47">
        <f t="shared" si="6"/>
        <v>47284213.800000004</v>
      </c>
      <c r="R26" s="47">
        <f t="shared" si="7"/>
        <v>0.19999999552965164</v>
      </c>
      <c r="S26" s="47">
        <f t="shared" si="8"/>
        <v>110885</v>
      </c>
      <c r="T26" s="47">
        <f t="shared" si="9"/>
        <v>0</v>
      </c>
      <c r="U26" s="238"/>
    </row>
    <row r="27" spans="1:21" s="43" customFormat="1">
      <c r="A27" s="1" t="s">
        <v>45</v>
      </c>
      <c r="B27" s="72" t="s">
        <v>39</v>
      </c>
      <c r="C27" s="44"/>
      <c r="D27" s="36" t="s">
        <v>46</v>
      </c>
      <c r="E27" s="14"/>
      <c r="F27" s="14"/>
      <c r="G27" s="35"/>
      <c r="H27" s="14"/>
      <c r="I27" s="15"/>
      <c r="J27" s="130">
        <f>SUM(EASTERNFL:VALENCIA!J27)</f>
        <v>125871240.82999998</v>
      </c>
      <c r="K27" s="130"/>
      <c r="L27" s="130">
        <f>SUM(EASTERNFL:VALENCIA!L27)</f>
        <v>2342001.6800000002</v>
      </c>
      <c r="M27" s="130">
        <f t="shared" si="10"/>
        <v>128213243</v>
      </c>
      <c r="N27" s="51"/>
      <c r="O27" s="31"/>
      <c r="P27" s="38"/>
      <c r="Q27" s="47">
        <f t="shared" si="6"/>
        <v>125871240.82999998</v>
      </c>
      <c r="R27" s="47">
        <f t="shared" si="7"/>
        <v>0.17000001668930054</v>
      </c>
      <c r="S27" s="47">
        <f t="shared" si="8"/>
        <v>2342001.6800000002</v>
      </c>
      <c r="T27" s="47">
        <f t="shared" si="9"/>
        <v>0.31999999983236194</v>
      </c>
      <c r="U27" s="238"/>
    </row>
    <row r="28" spans="1:21" s="43" customFormat="1">
      <c r="A28" s="12" t="s">
        <v>47</v>
      </c>
      <c r="B28" s="34" t="s">
        <v>39</v>
      </c>
      <c r="C28" s="44"/>
      <c r="D28" s="36" t="s">
        <v>48</v>
      </c>
      <c r="E28" s="14"/>
      <c r="F28" s="14"/>
      <c r="G28" s="35"/>
      <c r="H28" s="14"/>
      <c r="I28" s="15"/>
      <c r="J28" s="130">
        <f>SUM(EASTERNFL:VALENCIA!J28)</f>
        <v>106290465.99000001</v>
      </c>
      <c r="K28" s="130"/>
      <c r="L28" s="130">
        <f>SUM(EASTERNFL:VALENCIA!L28)</f>
        <v>20414300.100000001</v>
      </c>
      <c r="M28" s="130">
        <f t="shared" si="10"/>
        <v>126704766</v>
      </c>
      <c r="N28" s="51"/>
      <c r="O28" s="31"/>
      <c r="P28" s="38"/>
      <c r="Q28" s="47">
        <f t="shared" si="6"/>
        <v>106290465.99000001</v>
      </c>
      <c r="R28" s="47">
        <f t="shared" si="7"/>
        <v>9.9999904632568359E-3</v>
      </c>
      <c r="S28" s="47">
        <f t="shared" si="8"/>
        <v>20414300.100000001</v>
      </c>
      <c r="T28" s="47">
        <f t="shared" si="9"/>
        <v>-0.10000000149011612</v>
      </c>
      <c r="U28" s="238"/>
    </row>
    <row r="29" spans="1:21" s="43" customFormat="1">
      <c r="A29" s="1" t="s">
        <v>49</v>
      </c>
      <c r="B29" s="34" t="s">
        <v>39</v>
      </c>
      <c r="C29" s="44"/>
      <c r="D29" s="36" t="s">
        <v>50</v>
      </c>
      <c r="E29" s="14"/>
      <c r="F29" s="14"/>
      <c r="G29" s="35"/>
      <c r="H29" s="14"/>
      <c r="I29" s="15"/>
      <c r="J29" s="130">
        <f>SUM(EASTERNFL:VALENCIA!J29)</f>
        <v>144470558.30000001</v>
      </c>
      <c r="K29" s="130"/>
      <c r="L29" s="130">
        <f>SUM(EASTERNFL:VALENCIA!L29)</f>
        <v>815987.38</v>
      </c>
      <c r="M29" s="130">
        <f t="shared" si="10"/>
        <v>145286545</v>
      </c>
      <c r="N29" s="51"/>
      <c r="O29" s="31"/>
      <c r="P29" s="38"/>
      <c r="Q29" s="47">
        <f t="shared" si="6"/>
        <v>144470558.30000001</v>
      </c>
      <c r="R29" s="47">
        <f t="shared" si="7"/>
        <v>-0.30000001192092896</v>
      </c>
      <c r="S29" s="47">
        <f t="shared" si="8"/>
        <v>815987.38</v>
      </c>
      <c r="T29" s="47">
        <f t="shared" si="9"/>
        <v>-0.38000000000465661</v>
      </c>
      <c r="U29" s="238"/>
    </row>
    <row r="30" spans="1:21" s="43" customFormat="1">
      <c r="A30" s="12" t="s">
        <v>51</v>
      </c>
      <c r="B30" s="72" t="s">
        <v>52</v>
      </c>
      <c r="C30" s="44"/>
      <c r="D30" s="36" t="s">
        <v>53</v>
      </c>
      <c r="E30" s="14"/>
      <c r="F30" s="14"/>
      <c r="G30" s="35"/>
      <c r="H30" s="14"/>
      <c r="I30" s="15"/>
      <c r="J30" s="132">
        <f>SUM(EASTERNFL:VALENCIA!J30)</f>
        <v>92816561.079999998</v>
      </c>
      <c r="K30" s="130"/>
      <c r="L30" s="132">
        <f>SUM(EASTERNFL:VALENCIA!L30)</f>
        <v>-634118.35000000009</v>
      </c>
      <c r="M30" s="132">
        <f t="shared" si="10"/>
        <v>92182443</v>
      </c>
      <c r="N30" s="51"/>
      <c r="O30" s="31"/>
      <c r="P30" s="38"/>
      <c r="Q30" s="47">
        <f t="shared" si="6"/>
        <v>92816561.079999998</v>
      </c>
      <c r="R30" s="47">
        <f t="shared" si="7"/>
        <v>-7.9999998211860657E-2</v>
      </c>
      <c r="S30" s="47">
        <f t="shared" si="8"/>
        <v>-634118.35000000009</v>
      </c>
      <c r="T30" s="47">
        <f t="shared" si="9"/>
        <v>0.35000000009313226</v>
      </c>
      <c r="U30" s="238"/>
    </row>
    <row r="31" spans="1:21" s="43" customFormat="1">
      <c r="A31" s="1"/>
      <c r="B31" s="72"/>
      <c r="C31" s="44"/>
      <c r="D31" s="36"/>
      <c r="E31" s="14"/>
      <c r="F31" s="14"/>
      <c r="G31" s="35"/>
      <c r="H31" s="14"/>
      <c r="I31" s="15"/>
      <c r="J31" s="73"/>
      <c r="K31" s="73"/>
      <c r="L31" s="73"/>
      <c r="M31" s="73"/>
      <c r="N31" s="74"/>
      <c r="O31" s="31"/>
      <c r="P31" s="38"/>
      <c r="Q31" s="63"/>
      <c r="R31" s="63"/>
      <c r="S31" s="63"/>
      <c r="T31" s="63"/>
      <c r="U31" s="238"/>
    </row>
    <row r="32" spans="1:21" s="43" customFormat="1">
      <c r="A32" s="1" t="s">
        <v>54</v>
      </c>
      <c r="B32" s="72"/>
      <c r="C32" s="14"/>
      <c r="D32" s="65" t="s">
        <v>55</v>
      </c>
      <c r="E32" s="35"/>
      <c r="F32" s="14"/>
      <c r="G32" s="14"/>
      <c r="H32" s="14"/>
      <c r="I32" s="15"/>
      <c r="J32" s="66">
        <f t="array" ref="J32">SUM(ROUND(J24:J30,0))</f>
        <v>1782614654</v>
      </c>
      <c r="K32" s="59"/>
      <c r="L32" s="66">
        <f t="array" ref="L32">SUM(ROUND(L24:L30,0))</f>
        <v>42101422</v>
      </c>
      <c r="M32" s="66">
        <f t="array" ref="M32">SUM(ROUND(M24:M30,0))</f>
        <v>1824716076</v>
      </c>
      <c r="N32" s="68"/>
      <c r="O32" s="31"/>
      <c r="P32" s="38"/>
      <c r="Q32" s="75">
        <f>SUM(Q22:Q30)</f>
        <v>2574159329.0700006</v>
      </c>
      <c r="R32" s="69">
        <f>J32-Q32</f>
        <v>-791544675.07000065</v>
      </c>
      <c r="S32" s="69">
        <f>SUM(S22:S30)</f>
        <v>42101421.189999998</v>
      </c>
      <c r="T32" s="69">
        <f>L32-S32</f>
        <v>0.81000000238418579</v>
      </c>
      <c r="U32" s="238"/>
    </row>
    <row r="33" spans="1:21" s="43" customFormat="1">
      <c r="A33" s="12"/>
      <c r="B33" s="72"/>
      <c r="C33" s="44"/>
      <c r="D33" s="76"/>
      <c r="E33" s="14"/>
      <c r="F33" s="14"/>
      <c r="G33" s="35"/>
      <c r="H33" s="14"/>
      <c r="I33" s="15"/>
      <c r="J33" s="59"/>
      <c r="K33" s="59"/>
      <c r="L33" s="59"/>
      <c r="M33" s="59"/>
      <c r="N33" s="77"/>
      <c r="O33" s="31"/>
      <c r="P33" s="38"/>
      <c r="Q33" s="63"/>
      <c r="R33" s="47"/>
      <c r="S33" s="47"/>
      <c r="T33" s="47"/>
      <c r="U33" s="238"/>
    </row>
    <row r="34" spans="1:21" s="43" customFormat="1">
      <c r="A34" s="1"/>
      <c r="B34" s="72"/>
      <c r="C34" s="14"/>
      <c r="D34" s="65" t="str">
        <f>IF(J34&lt;0,IF(L34&gt;0,"Operating Income (Loss)","Operating Loss"),IF(J34&gt;0,IF(L34&gt;=0,"Operating Income","Operating Income (Loss)"),IF(L34&lt;0,"Operating Loss",IF(L34&gt;0,"Operating Income","Operating Income (Loss)"))))</f>
        <v>Operating Loss</v>
      </c>
      <c r="E34" s="35"/>
      <c r="F34" s="14"/>
      <c r="G34" s="14"/>
      <c r="H34" s="14"/>
      <c r="I34" s="15"/>
      <c r="J34" s="66">
        <f>J20-J32</f>
        <v>-1278266932</v>
      </c>
      <c r="K34" s="67"/>
      <c r="L34" s="66">
        <f>L20-L32</f>
        <v>-7973340</v>
      </c>
      <c r="M34" s="66">
        <f>M20-M32</f>
        <v>-1286240272</v>
      </c>
      <c r="N34" s="68"/>
      <c r="O34" s="31"/>
      <c r="P34" s="38"/>
      <c r="Q34" s="69">
        <f>Q20-Q32</f>
        <v>-2069811606.5200007</v>
      </c>
      <c r="R34" s="69">
        <f>J34-Q34</f>
        <v>791544674.5200007</v>
      </c>
      <c r="S34" s="69">
        <f>S20-S32</f>
        <v>-7973338.9799999967</v>
      </c>
      <c r="T34" s="69">
        <f>L34-S34</f>
        <v>-1.0200000032782555</v>
      </c>
      <c r="U34" s="238"/>
    </row>
    <row r="35" spans="1:21" s="43" customFormat="1">
      <c r="A35" s="12"/>
      <c r="B35" s="72"/>
      <c r="C35" s="14"/>
      <c r="D35" s="14"/>
      <c r="E35" s="14"/>
      <c r="F35" s="14"/>
      <c r="G35" s="14"/>
      <c r="H35" s="14"/>
      <c r="I35" s="15"/>
      <c r="J35" s="78"/>
      <c r="K35" s="78"/>
      <c r="L35" s="78"/>
      <c r="M35" s="78"/>
      <c r="N35" s="79"/>
      <c r="O35" s="31"/>
      <c r="P35" s="38"/>
      <c r="Q35" s="47"/>
      <c r="R35" s="47"/>
      <c r="S35" s="47"/>
      <c r="T35" s="47"/>
      <c r="U35" s="238"/>
    </row>
    <row r="36" spans="1:21" s="43" customFormat="1">
      <c r="A36" s="1"/>
      <c r="B36" s="72"/>
      <c r="C36" s="29" t="s">
        <v>56</v>
      </c>
      <c r="D36" s="35"/>
      <c r="E36" s="14"/>
      <c r="F36" s="14"/>
      <c r="G36" s="14"/>
      <c r="H36" s="14"/>
      <c r="I36" s="15"/>
      <c r="J36" s="16"/>
      <c r="K36" s="17"/>
      <c r="L36" s="16"/>
      <c r="M36" s="16"/>
      <c r="N36" s="18"/>
      <c r="O36" s="31"/>
      <c r="P36" s="38"/>
      <c r="Q36" s="47"/>
      <c r="R36" s="47"/>
      <c r="S36" s="47"/>
      <c r="T36" s="47"/>
      <c r="U36" s="238"/>
    </row>
    <row r="37" spans="1:21" s="43" customFormat="1">
      <c r="A37" s="12" t="s">
        <v>57</v>
      </c>
      <c r="B37" s="72" t="s">
        <v>58</v>
      </c>
      <c r="C37" s="36" t="s">
        <v>59</v>
      </c>
      <c r="D37" s="35"/>
      <c r="E37" s="14"/>
      <c r="F37" s="14"/>
      <c r="G37" s="35"/>
      <c r="H37" s="14"/>
      <c r="I37" s="15"/>
      <c r="J37" s="80">
        <f>SUM(EASTERNFL:VALENCIA!J37)</f>
        <v>599952283.93000007</v>
      </c>
      <c r="K37" s="80"/>
      <c r="L37" s="80">
        <f>SUM(EASTERNFL:VALENCIA!L37)</f>
        <v>64058</v>
      </c>
      <c r="M37" s="80">
        <f t="shared" ref="M37:M45" si="11">ROUND(L37,0)+ROUND(J37,0)</f>
        <v>600016342</v>
      </c>
      <c r="N37" s="81"/>
      <c r="O37" s="31"/>
      <c r="P37" s="38"/>
      <c r="Q37" s="47">
        <f t="shared" ref="Q37:Q45" si="12">J37</f>
        <v>599952283.93000007</v>
      </c>
      <c r="R37" s="47">
        <f t="shared" ref="R37:R45" si="13">ROUND(Q37,0)-Q37</f>
        <v>6.9999933242797852E-2</v>
      </c>
      <c r="S37" s="47">
        <f t="shared" ref="S37:S45" si="14">L37</f>
        <v>64058</v>
      </c>
      <c r="T37" s="47">
        <f t="shared" ref="T37:T45" si="15">ROUND(S37,0)-S37</f>
        <v>0</v>
      </c>
      <c r="U37" s="238"/>
    </row>
    <row r="38" spans="1:21" s="43" customFormat="1">
      <c r="A38" s="1" t="s">
        <v>60</v>
      </c>
      <c r="B38" s="72" t="s">
        <v>21</v>
      </c>
      <c r="C38" s="36" t="s">
        <v>61</v>
      </c>
      <c r="D38" s="35"/>
      <c r="E38" s="14"/>
      <c r="F38" s="14"/>
      <c r="G38" s="35"/>
      <c r="H38" s="14"/>
      <c r="I38" s="15"/>
      <c r="J38" s="80">
        <f>SUM(EASTERNFL:VALENCIA!J38)</f>
        <v>428870304.30999994</v>
      </c>
      <c r="K38" s="80"/>
      <c r="L38" s="80">
        <f>SUM(EASTERNFL:VALENCIA!L38)</f>
        <v>0</v>
      </c>
      <c r="M38" s="80">
        <f t="shared" si="11"/>
        <v>428870304</v>
      </c>
      <c r="N38" s="81"/>
      <c r="O38" s="31"/>
      <c r="P38" s="38"/>
      <c r="Q38" s="47">
        <f t="shared" si="12"/>
        <v>428870304.30999994</v>
      </c>
      <c r="R38" s="47">
        <f t="shared" si="13"/>
        <v>-0.30999994277954102</v>
      </c>
      <c r="S38" s="47">
        <f t="shared" si="14"/>
        <v>0</v>
      </c>
      <c r="T38" s="47">
        <f t="shared" si="15"/>
        <v>0</v>
      </c>
      <c r="U38" s="238"/>
    </row>
    <row r="39" spans="1:21" s="43" customFormat="1">
      <c r="A39" s="12" t="s">
        <v>62</v>
      </c>
      <c r="B39" s="72" t="s">
        <v>21</v>
      </c>
      <c r="C39" s="36" t="s">
        <v>63</v>
      </c>
      <c r="D39" s="35"/>
      <c r="E39" s="14"/>
      <c r="F39" s="14"/>
      <c r="G39" s="35"/>
      <c r="H39" s="14"/>
      <c r="I39" s="15"/>
      <c r="J39" s="80">
        <f>SUM(EASTERNFL:VALENCIA!J39)</f>
        <v>137677705.95999998</v>
      </c>
      <c r="K39" s="80"/>
      <c r="L39" s="80">
        <f>SUM(EASTERNFL:VALENCIA!L39)</f>
        <v>8866117</v>
      </c>
      <c r="M39" s="80">
        <f t="shared" si="11"/>
        <v>146543823</v>
      </c>
      <c r="N39" s="81"/>
      <c r="O39" s="31"/>
      <c r="P39" s="38"/>
      <c r="Q39" s="47">
        <f t="shared" si="12"/>
        <v>137677705.95999998</v>
      </c>
      <c r="R39" s="47">
        <f t="shared" si="13"/>
        <v>4.0000021457672119E-2</v>
      </c>
      <c r="S39" s="47">
        <f t="shared" si="14"/>
        <v>8866117</v>
      </c>
      <c r="T39" s="47">
        <f t="shared" si="15"/>
        <v>0</v>
      </c>
      <c r="U39" s="238"/>
    </row>
    <row r="40" spans="1:21" s="43" customFormat="1">
      <c r="A40" s="1" t="s">
        <v>64</v>
      </c>
      <c r="B40" s="72" t="s">
        <v>65</v>
      </c>
      <c r="C40" s="36" t="s">
        <v>66</v>
      </c>
      <c r="D40" s="35"/>
      <c r="E40" s="14"/>
      <c r="F40" s="14"/>
      <c r="G40" s="35"/>
      <c r="H40" s="14"/>
      <c r="I40" s="15"/>
      <c r="J40" s="80">
        <f>SUM(EASTERNFL:VALENCIA!J40)</f>
        <v>19895169.559999999</v>
      </c>
      <c r="K40" s="80"/>
      <c r="L40" s="80">
        <f>SUM(EASTERNFL:VALENCIA!L40)</f>
        <v>17630329.609999999</v>
      </c>
      <c r="M40" s="80">
        <f t="shared" si="11"/>
        <v>37525500</v>
      </c>
      <c r="N40" s="81"/>
      <c r="O40" s="31"/>
      <c r="P40" s="38"/>
      <c r="Q40" s="47">
        <f t="shared" si="12"/>
        <v>19895169.559999999</v>
      </c>
      <c r="R40" s="47">
        <f t="shared" si="13"/>
        <v>0.44000000134110451</v>
      </c>
      <c r="S40" s="47">
        <f t="shared" si="14"/>
        <v>17630329.609999999</v>
      </c>
      <c r="T40" s="47">
        <f t="shared" si="15"/>
        <v>0.39000000059604645</v>
      </c>
      <c r="U40" s="238"/>
    </row>
    <row r="41" spans="1:21" s="43" customFormat="1">
      <c r="A41" s="12" t="s">
        <v>67</v>
      </c>
      <c r="B41" s="72" t="s">
        <v>65</v>
      </c>
      <c r="C41" s="36" t="str">
        <f>IF(J41&lt;0,IF(L41&gt;0,"Net Gain (Loss) on Investments","Net Loss on Investments"),IF(J41&gt;0,IF(L41&gt;=0,"Net Gain on Investments","Net Gain (Loss) on Investments"),IF(L41&lt;0,"Net Loss on Investments",IF(L41&gt;0,"Net Gain on Investments","Net Gain (Loss) on Investments"))))</f>
        <v>Net Gain on Investments</v>
      </c>
      <c r="D41" s="35"/>
      <c r="E41" s="14"/>
      <c r="F41" s="14"/>
      <c r="G41" s="35"/>
      <c r="H41" s="14"/>
      <c r="I41" s="15"/>
      <c r="J41" s="80">
        <f>SUM(EASTERNFL:VALENCIA!J41)</f>
        <v>8744503.4800000004</v>
      </c>
      <c r="K41" s="80"/>
      <c r="L41" s="80">
        <f>SUM(EASTERNFL:VALENCIA!L41)</f>
        <v>2338969</v>
      </c>
      <c r="M41" s="80">
        <f t="shared" si="11"/>
        <v>11083472</v>
      </c>
      <c r="N41" s="81"/>
      <c r="O41" s="31"/>
      <c r="P41" s="38"/>
      <c r="Q41" s="47">
        <f t="shared" si="12"/>
        <v>8744503.4800000004</v>
      </c>
      <c r="R41" s="47">
        <f t="shared" si="13"/>
        <v>-0.48000000044703484</v>
      </c>
      <c r="S41" s="47">
        <f t="shared" si="14"/>
        <v>2338969</v>
      </c>
      <c r="T41" s="47">
        <f t="shared" si="15"/>
        <v>0</v>
      </c>
      <c r="U41" s="238"/>
    </row>
    <row r="42" spans="1:21" s="43" customFormat="1">
      <c r="A42" s="1" t="s">
        <v>68</v>
      </c>
      <c r="B42" s="72" t="s">
        <v>32</v>
      </c>
      <c r="C42" s="36" t="s">
        <v>69</v>
      </c>
      <c r="D42" s="35"/>
      <c r="E42" s="14"/>
      <c r="F42" s="14"/>
      <c r="G42" s="35"/>
      <c r="H42" s="14"/>
      <c r="I42" s="15"/>
      <c r="J42" s="80">
        <f>SUM(EASTERNFL:VALENCIA!J42)</f>
        <v>10080755.909999998</v>
      </c>
      <c r="K42" s="80"/>
      <c r="L42" s="80">
        <f>SUM(EASTERNFL:VALENCIA!L42)</f>
        <v>928829</v>
      </c>
      <c r="M42" s="80">
        <f t="shared" si="11"/>
        <v>11009585</v>
      </c>
      <c r="N42" s="81"/>
      <c r="O42" s="31"/>
      <c r="P42" s="38"/>
      <c r="Q42" s="47">
        <f t="shared" si="12"/>
        <v>10080755.909999998</v>
      </c>
      <c r="R42" s="47">
        <f t="shared" si="13"/>
        <v>9.0000001713633537E-2</v>
      </c>
      <c r="S42" s="47">
        <f t="shared" si="14"/>
        <v>928829</v>
      </c>
      <c r="T42" s="47">
        <f t="shared" si="15"/>
        <v>0</v>
      </c>
      <c r="U42" s="238"/>
    </row>
    <row r="43" spans="1:21" s="43" customFormat="1">
      <c r="A43" s="12" t="s">
        <v>70</v>
      </c>
      <c r="B43" s="72" t="s">
        <v>71</v>
      </c>
      <c r="C43" s="36" t="str">
        <f>IF(J43&lt;0,IF(L43&gt;0,"Gain (Loss) on Disposal of Capital Assets","Loss on Disposal of Capital Assets"),IF(J43&gt;0,IF(L43&gt;=0,"Gain on Disposal of Capital Assets","Gain (Loss) on Disposal of Capital Assets"),IF(L43&lt;0,"Loss on Disposal of Capital Assets",IF(L43&gt;0,"Gain on Disposal of Capital Assets","Gain (Loss) on Disposal of Capital Assets"))))</f>
        <v>Gain (Loss) on Disposal of Capital Assets</v>
      </c>
      <c r="D43" s="35"/>
      <c r="E43" s="14"/>
      <c r="F43" s="14"/>
      <c r="G43" s="35"/>
      <c r="H43" s="14"/>
      <c r="I43" s="15"/>
      <c r="J43" s="80">
        <f>SUM(EASTERNFL:VALENCIA!J43)</f>
        <v>-1113020.7800000003</v>
      </c>
      <c r="K43" s="80"/>
      <c r="L43" s="80">
        <f>SUM(EASTERNFL:VALENCIA!L43)</f>
        <v>5799142.7000000002</v>
      </c>
      <c r="M43" s="80">
        <f t="shared" si="11"/>
        <v>4686122</v>
      </c>
      <c r="N43" s="81"/>
      <c r="O43" s="31"/>
      <c r="P43" s="38"/>
      <c r="Q43" s="47">
        <f t="shared" si="12"/>
        <v>-1113020.7800000003</v>
      </c>
      <c r="R43" s="47">
        <f t="shared" si="13"/>
        <v>-0.21999999973922968</v>
      </c>
      <c r="S43" s="47">
        <f t="shared" si="14"/>
        <v>5799142.7000000002</v>
      </c>
      <c r="T43" s="47">
        <f t="shared" si="15"/>
        <v>0.29999999981373549</v>
      </c>
      <c r="U43" s="238"/>
    </row>
    <row r="44" spans="1:21" s="43" customFormat="1">
      <c r="A44" s="1" t="s">
        <v>72</v>
      </c>
      <c r="B44" s="72" t="s">
        <v>39</v>
      </c>
      <c r="C44" s="36" t="s">
        <v>73</v>
      </c>
      <c r="D44" s="35"/>
      <c r="E44" s="35"/>
      <c r="F44" s="35"/>
      <c r="G44" s="35"/>
      <c r="H44" s="35"/>
      <c r="I44" s="35"/>
      <c r="J44" s="80">
        <f>SUM(EASTERNFL:VALENCIA!J44)</f>
        <v>-6551513.3499999996</v>
      </c>
      <c r="K44" s="80"/>
      <c r="L44" s="80">
        <f>SUM(EASTERNFL:VALENCIA!L44)</f>
        <v>-200900</v>
      </c>
      <c r="M44" s="80">
        <f t="shared" si="11"/>
        <v>-6752413</v>
      </c>
      <c r="N44" s="81"/>
      <c r="O44" s="31"/>
      <c r="P44" s="38"/>
      <c r="Q44" s="47">
        <f t="shared" si="12"/>
        <v>-6551513.3499999996</v>
      </c>
      <c r="R44" s="47">
        <f t="shared" si="13"/>
        <v>0.34999999962747097</v>
      </c>
      <c r="S44" s="47">
        <f t="shared" si="14"/>
        <v>-200900</v>
      </c>
      <c r="T44" s="47">
        <f t="shared" si="15"/>
        <v>0</v>
      </c>
      <c r="U44" s="238"/>
    </row>
    <row r="45" spans="1:21" s="43" customFormat="1">
      <c r="A45" s="12" t="s">
        <v>74</v>
      </c>
      <c r="B45" s="72" t="s">
        <v>39</v>
      </c>
      <c r="C45" s="36" t="s">
        <v>75</v>
      </c>
      <c r="D45" s="35"/>
      <c r="E45" s="14"/>
      <c r="F45" s="14"/>
      <c r="G45" s="35"/>
      <c r="H45" s="14"/>
      <c r="I45" s="15"/>
      <c r="J45" s="82">
        <f>SUM(EASTERNFL:VALENCIA!J45)</f>
        <v>-6363699.8200000003</v>
      </c>
      <c r="K45" s="80"/>
      <c r="L45" s="82">
        <f>SUM(EASTERNFL:VALENCIA!L45)</f>
        <v>-148219</v>
      </c>
      <c r="M45" s="82">
        <f t="shared" si="11"/>
        <v>-6511919</v>
      </c>
      <c r="N45" s="81"/>
      <c r="O45" s="31"/>
      <c r="P45" s="38"/>
      <c r="Q45" s="47">
        <f t="shared" si="12"/>
        <v>-6363699.8200000003</v>
      </c>
      <c r="R45" s="47">
        <f t="shared" si="13"/>
        <v>-0.17999999970197678</v>
      </c>
      <c r="S45" s="47">
        <f t="shared" si="14"/>
        <v>-148219</v>
      </c>
      <c r="T45" s="47">
        <f t="shared" si="15"/>
        <v>0</v>
      </c>
      <c r="U45" s="238"/>
    </row>
    <row r="46" spans="1:21" s="43" customFormat="1">
      <c r="A46" s="1"/>
      <c r="B46" s="72"/>
      <c r="C46" s="35"/>
      <c r="D46" s="35"/>
      <c r="E46" s="35"/>
      <c r="F46" s="35"/>
      <c r="G46" s="35"/>
      <c r="H46" s="35"/>
      <c r="I46" s="35"/>
      <c r="J46" s="83"/>
      <c r="K46" s="84"/>
      <c r="L46" s="83"/>
      <c r="M46" s="83"/>
      <c r="N46" s="85"/>
      <c r="O46" s="31"/>
      <c r="P46" s="38"/>
      <c r="Q46" s="63"/>
      <c r="R46" s="63"/>
      <c r="S46" s="63"/>
      <c r="T46" s="63"/>
      <c r="U46" s="238"/>
    </row>
    <row r="47" spans="1:21" s="43" customFormat="1">
      <c r="A47" s="52" t="s">
        <v>76</v>
      </c>
      <c r="B47" s="53"/>
      <c r="C47" s="29" t="s">
        <v>77</v>
      </c>
      <c r="D47" s="35"/>
      <c r="E47" s="14"/>
      <c r="F47" s="14"/>
      <c r="G47" s="14"/>
      <c r="H47" s="14"/>
      <c r="I47" s="15"/>
      <c r="J47" s="66">
        <f t="array" ref="J47">SUM(ROUND(J37:J45,0))</f>
        <v>1191192489</v>
      </c>
      <c r="K47" s="59"/>
      <c r="L47" s="66">
        <f t="array" ref="L47">SUM(ROUND(L37:L45,0))</f>
        <v>35278327</v>
      </c>
      <c r="M47" s="66">
        <f t="array" ref="M47">SUM(ROUND(M37:M45,0))</f>
        <v>1226470816</v>
      </c>
      <c r="N47" s="68"/>
      <c r="O47" s="31"/>
      <c r="P47" s="38"/>
      <c r="Q47" s="69">
        <f>SUM(Q37:Q45)</f>
        <v>1191192489.2000003</v>
      </c>
      <c r="R47" s="69">
        <f>J47-Q47</f>
        <v>-0.20000028610229492</v>
      </c>
      <c r="S47" s="69">
        <f>SUM(S37:S45)</f>
        <v>35278326.310000002</v>
      </c>
      <c r="T47" s="69">
        <f>L47-S47</f>
        <v>0.68999999761581421</v>
      </c>
      <c r="U47" s="238"/>
    </row>
    <row r="48" spans="1:21" s="37" customFormat="1">
      <c r="A48" s="52"/>
      <c r="B48" s="53"/>
      <c r="C48" s="86"/>
      <c r="D48" s="87"/>
      <c r="E48" s="15"/>
      <c r="F48" s="15"/>
      <c r="G48" s="15"/>
      <c r="H48" s="15"/>
      <c r="I48" s="15"/>
      <c r="J48" s="59"/>
      <c r="K48" s="59"/>
      <c r="L48" s="59"/>
      <c r="M48" s="59"/>
      <c r="N48" s="77"/>
      <c r="O48" s="31"/>
      <c r="P48" s="88"/>
      <c r="Q48" s="47"/>
      <c r="R48" s="47"/>
      <c r="S48" s="47"/>
      <c r="T48" s="47"/>
      <c r="U48" s="238"/>
    </row>
    <row r="49" spans="1:21" s="43" customFormat="1">
      <c r="A49" s="52"/>
      <c r="B49" s="53"/>
      <c r="C49" s="65" t="str">
        <f>IF(J50&lt;0,IF(L50&gt;0,"Income (Loss) Before Other Revenues,","Loss Before Other Revenues,"),IF(J50&gt;0,IF(L50&gt;=0,"Income Before Other Revenues,","Income (Loss) Before Other Revenues,"),IF(L59&lt;0,"Loss Before Other Revenues,",IF(L59&gt;0,"Income Before Other Revenues,","Income (Loss) Before Other Revenues,"))))</f>
        <v>Income (Loss) Before Other Revenues,</v>
      </c>
      <c r="D49" s="35"/>
      <c r="E49" s="35"/>
      <c r="F49" s="14"/>
      <c r="G49" s="14"/>
      <c r="H49" s="14"/>
      <c r="I49" s="15"/>
      <c r="J49" s="35"/>
      <c r="K49" s="35"/>
      <c r="L49" s="35"/>
      <c r="M49" s="35"/>
      <c r="N49" s="37"/>
      <c r="O49" s="31"/>
      <c r="P49" s="38"/>
      <c r="Q49" s="75"/>
      <c r="R49" s="47"/>
      <c r="S49" s="47"/>
      <c r="T49" s="47"/>
      <c r="U49" s="238"/>
    </row>
    <row r="50" spans="1:21" s="43" customFormat="1">
      <c r="A50" s="52"/>
      <c r="B50" s="53"/>
      <c r="C50" s="14"/>
      <c r="D50" s="29" t="s">
        <v>78</v>
      </c>
      <c r="E50" s="14"/>
      <c r="F50" s="14"/>
      <c r="G50" s="14"/>
      <c r="H50" s="14"/>
      <c r="I50" s="15"/>
      <c r="J50" s="66">
        <f>J34+J47</f>
        <v>-87074443</v>
      </c>
      <c r="K50" s="59"/>
      <c r="L50" s="66">
        <f>L34+L47</f>
        <v>27304987</v>
      </c>
      <c r="M50" s="66">
        <f>M34+M47</f>
        <v>-59769456</v>
      </c>
      <c r="N50" s="68"/>
      <c r="O50" s="31"/>
      <c r="P50" s="38"/>
      <c r="Q50" s="69">
        <f>Q34+Q47</f>
        <v>-878619117.32000041</v>
      </c>
      <c r="R50" s="69">
        <f>J50-Q50</f>
        <v>791544674.32000041</v>
      </c>
      <c r="S50" s="69">
        <f>S34+S47</f>
        <v>27304987.330000006</v>
      </c>
      <c r="T50" s="69">
        <f>L50-S50</f>
        <v>-0.33000000566244125</v>
      </c>
      <c r="U50" s="238"/>
    </row>
    <row r="51" spans="1:21" s="43" customFormat="1">
      <c r="A51" s="52"/>
      <c r="B51" s="53"/>
      <c r="C51" s="14"/>
      <c r="D51" s="29"/>
      <c r="E51" s="14"/>
      <c r="F51" s="14"/>
      <c r="G51" s="14"/>
      <c r="H51" s="14"/>
      <c r="I51" s="15"/>
      <c r="J51" s="17"/>
      <c r="K51" s="17"/>
      <c r="L51" s="17"/>
      <c r="M51" s="17"/>
      <c r="N51" s="18"/>
      <c r="O51" s="31"/>
      <c r="P51" s="38"/>
      <c r="Q51" s="47"/>
      <c r="R51" s="47"/>
      <c r="S51" s="47"/>
      <c r="T51" s="47"/>
      <c r="U51" s="238"/>
    </row>
    <row r="52" spans="1:21" s="43" customFormat="1">
      <c r="A52" s="52" t="s">
        <v>79</v>
      </c>
      <c r="B52" s="53" t="s">
        <v>58</v>
      </c>
      <c r="C52" s="36" t="s">
        <v>80</v>
      </c>
      <c r="D52" s="35"/>
      <c r="E52" s="14"/>
      <c r="F52" s="14"/>
      <c r="G52" s="14"/>
      <c r="H52" s="35"/>
      <c r="I52" s="15"/>
      <c r="J52" s="80">
        <f>SUM(EASTERNFL:VALENCIA!J52)</f>
        <v>87734704.479999989</v>
      </c>
      <c r="K52" s="80"/>
      <c r="L52" s="80">
        <f>SUM(EASTERNFL:VALENCIA!L52)</f>
        <v>0</v>
      </c>
      <c r="M52" s="80">
        <f t="shared" ref="M52:M55" si="16">ROUND(L52,0)+ROUND(J52,0)</f>
        <v>87734704</v>
      </c>
      <c r="N52" s="81"/>
      <c r="O52" s="31"/>
      <c r="P52" s="38"/>
      <c r="Q52" s="47">
        <f t="shared" ref="Q52:Q55" si="17">J52</f>
        <v>87734704.479999989</v>
      </c>
      <c r="R52" s="47">
        <f t="shared" ref="R52:R55" si="18">ROUND(Q52,0)-Q52</f>
        <v>-0.47999998927116394</v>
      </c>
      <c r="S52" s="47">
        <f t="shared" ref="S52:S55" si="19">L52</f>
        <v>0</v>
      </c>
      <c r="T52" s="47">
        <f t="shared" ref="T52:T55" si="20">ROUND(S52,0)-S52</f>
        <v>0</v>
      </c>
      <c r="U52" s="238"/>
    </row>
    <row r="53" spans="1:21" s="43" customFormat="1">
      <c r="A53" s="52" t="s">
        <v>81</v>
      </c>
      <c r="B53" s="53" t="s">
        <v>82</v>
      </c>
      <c r="C53" s="36" t="s">
        <v>83</v>
      </c>
      <c r="D53" s="35"/>
      <c r="E53" s="14"/>
      <c r="F53" s="14"/>
      <c r="G53" s="14"/>
      <c r="H53" s="35"/>
      <c r="I53" s="15"/>
      <c r="J53" s="80">
        <f>SUM(EASTERNFL:VALENCIA!J53)</f>
        <v>59445770.959999993</v>
      </c>
      <c r="K53" s="80"/>
      <c r="L53" s="80">
        <f>SUM(EASTERNFL:VALENCIA!L53)</f>
        <v>0</v>
      </c>
      <c r="M53" s="50">
        <f t="shared" si="16"/>
        <v>59445771</v>
      </c>
      <c r="N53" s="51"/>
      <c r="O53" s="31"/>
      <c r="P53" s="38"/>
      <c r="Q53" s="75">
        <f t="shared" si="17"/>
        <v>59445770.959999993</v>
      </c>
      <c r="R53" s="75">
        <f t="shared" si="18"/>
        <v>4.0000006556510925E-2</v>
      </c>
      <c r="S53" s="75">
        <f t="shared" si="19"/>
        <v>0</v>
      </c>
      <c r="T53" s="75">
        <f t="shared" si="20"/>
        <v>0</v>
      </c>
      <c r="U53" s="238"/>
    </row>
    <row r="54" spans="1:21">
      <c r="A54" s="52" t="s">
        <v>84</v>
      </c>
      <c r="B54" s="53" t="s">
        <v>85</v>
      </c>
      <c r="C54" s="14" t="s">
        <v>86</v>
      </c>
      <c r="D54" s="35"/>
      <c r="E54" s="14"/>
      <c r="F54" s="14"/>
      <c r="G54" s="14"/>
      <c r="H54" s="35"/>
      <c r="I54" s="15"/>
      <c r="J54" s="80">
        <f>SUM(EASTERNFL:VALENCIA!J54)</f>
        <v>2420512</v>
      </c>
      <c r="K54" s="80"/>
      <c r="L54" s="80">
        <f>SUM(EASTERNFL:VALENCIA!L54)</f>
        <v>2759664</v>
      </c>
      <c r="M54" s="89">
        <f t="shared" si="16"/>
        <v>5180176</v>
      </c>
      <c r="N54" s="51"/>
      <c r="O54" s="31"/>
      <c r="Q54" s="75">
        <f t="shared" si="17"/>
        <v>2420512</v>
      </c>
      <c r="R54" s="75">
        <f t="shared" si="18"/>
        <v>0</v>
      </c>
      <c r="S54" s="75">
        <f t="shared" si="19"/>
        <v>2759664</v>
      </c>
      <c r="T54" s="75">
        <f t="shared" si="20"/>
        <v>0</v>
      </c>
      <c r="U54" s="238"/>
    </row>
    <row r="55" spans="1:21">
      <c r="A55" s="52" t="s">
        <v>87</v>
      </c>
      <c r="B55" s="53" t="s">
        <v>85</v>
      </c>
      <c r="C55" s="76" t="str">
        <f>IF(J55&lt;0,IF(L55&gt;0,"Other Revenues (Expenses)","Other Expenses"),IF(J55&gt;0,IF(L55&gt;=0,"Other Revenues","Other Revenues (Expenses)"),IF(L55&lt;0,"Other Expenses",IF(L55&gt;0,"Other Revenues","Other Revenues (Expenses)"))))</f>
        <v>Other Revenues</v>
      </c>
      <c r="D55" s="35"/>
      <c r="E55" s="14"/>
      <c r="F55" s="14"/>
      <c r="G55" s="14"/>
      <c r="H55" s="35"/>
      <c r="I55" s="15"/>
      <c r="J55" s="82">
        <f>SUM(EASTERNFL:VALENCIA!J55)</f>
        <v>549382</v>
      </c>
      <c r="K55" s="80"/>
      <c r="L55" s="82">
        <f>SUM(EASTERNFL:VALENCIA!L55)</f>
        <v>0</v>
      </c>
      <c r="M55" s="58">
        <f t="shared" si="16"/>
        <v>549382</v>
      </c>
      <c r="N55" s="51"/>
      <c r="O55" s="31"/>
      <c r="Q55" s="69">
        <f t="shared" si="17"/>
        <v>549382</v>
      </c>
      <c r="R55" s="69">
        <f t="shared" si="18"/>
        <v>0</v>
      </c>
      <c r="S55" s="75">
        <f t="shared" si="19"/>
        <v>0</v>
      </c>
      <c r="T55" s="69">
        <f t="shared" si="20"/>
        <v>0</v>
      </c>
      <c r="U55" s="238"/>
    </row>
    <row r="56" spans="1:21">
      <c r="A56" s="52"/>
      <c r="B56" s="53"/>
      <c r="C56" s="35"/>
      <c r="D56" s="35"/>
      <c r="E56" s="14"/>
      <c r="F56" s="14"/>
      <c r="G56" s="14"/>
      <c r="H56" s="14"/>
      <c r="I56" s="15"/>
      <c r="J56" s="83"/>
      <c r="K56" s="84"/>
      <c r="L56" s="83"/>
      <c r="M56" s="83"/>
      <c r="N56" s="85"/>
      <c r="O56" s="31"/>
      <c r="Q56" s="47"/>
      <c r="R56" s="47"/>
      <c r="S56" s="63"/>
      <c r="T56" s="47"/>
      <c r="U56" s="238"/>
    </row>
    <row r="57" spans="1:21">
      <c r="A57" s="70" t="s">
        <v>88</v>
      </c>
      <c r="B57" s="53"/>
      <c r="C57" s="29" t="s">
        <v>89</v>
      </c>
      <c r="D57" s="35"/>
      <c r="E57" s="35"/>
      <c r="F57" s="14"/>
      <c r="G57" s="14"/>
      <c r="H57" s="14"/>
      <c r="I57" s="15"/>
      <c r="J57" s="90">
        <f t="array" ref="J57">SUM(ROUND(J52:J55,0))</f>
        <v>150150369</v>
      </c>
      <c r="K57" s="59"/>
      <c r="L57" s="90">
        <f t="array" ref="L57">SUM(ROUND(L52:L55,0))</f>
        <v>2759664</v>
      </c>
      <c r="M57" s="90">
        <f t="array" ref="M57">SUM(ROUND(M52:M55,0))</f>
        <v>152910033</v>
      </c>
      <c r="N57" s="91"/>
      <c r="O57" s="31"/>
      <c r="Q57" s="69">
        <f>SUM(Q52:Q55)</f>
        <v>150150369.44</v>
      </c>
      <c r="R57" s="69">
        <f>J57-Q57</f>
        <v>-0.43999999761581421</v>
      </c>
      <c r="S57" s="69">
        <f>SUM(S52:S55)</f>
        <v>2759664</v>
      </c>
      <c r="T57" s="69">
        <f>L57-S57</f>
        <v>0</v>
      </c>
      <c r="U57" s="238"/>
    </row>
    <row r="58" spans="1:21">
      <c r="A58" s="52"/>
      <c r="B58" s="53"/>
      <c r="C58" s="29"/>
      <c r="D58" s="35"/>
      <c r="E58" s="35"/>
      <c r="F58" s="14"/>
      <c r="G58" s="14"/>
      <c r="H58" s="14"/>
      <c r="I58" s="15"/>
      <c r="J58" s="59"/>
      <c r="K58" s="59"/>
      <c r="L58" s="59"/>
      <c r="M58" s="59"/>
      <c r="N58" s="77"/>
      <c r="O58" s="31"/>
      <c r="Q58" s="47"/>
      <c r="R58" s="47"/>
      <c r="S58" s="47"/>
      <c r="T58" s="47"/>
      <c r="U58" s="238"/>
    </row>
    <row r="59" spans="1:21">
      <c r="A59" s="70"/>
      <c r="B59" s="53"/>
      <c r="C59" s="65" t="str">
        <f>IF(J59&lt;0,IF(L59&gt;0,"Increase (Decrease) in Net Position","Decrease in Net Position"),IF(J59&gt;0,IF(L59&gt;=0,"Increase in Net Position","Increase (Decrease) in Net Position"),IF(L59&lt;0,"Decrease in Net Position",IF(L59&gt;0,"Increase in Net Position","Increase (Decrease) in Net Position"))))</f>
        <v>Increase in Net Position</v>
      </c>
      <c r="D59" s="35"/>
      <c r="E59" s="35"/>
      <c r="F59" s="14"/>
      <c r="G59" s="14"/>
      <c r="H59" s="14"/>
      <c r="I59" s="15"/>
      <c r="J59" s="90">
        <f>J50+J57</f>
        <v>63075926</v>
      </c>
      <c r="K59" s="92"/>
      <c r="L59" s="90">
        <f>L50+L57</f>
        <v>30064651</v>
      </c>
      <c r="M59" s="90">
        <f>M50+M57</f>
        <v>93140577</v>
      </c>
      <c r="N59" s="91"/>
      <c r="O59" s="31"/>
      <c r="Q59" s="69">
        <f>Q50+Q57</f>
        <v>-728468747.88000035</v>
      </c>
      <c r="R59" s="69">
        <f>Q59-J59</f>
        <v>-791544673.88000035</v>
      </c>
      <c r="S59" s="69">
        <f>S50+S57</f>
        <v>30064651.330000006</v>
      </c>
      <c r="T59" s="69">
        <f>L59-S59</f>
        <v>-0.33000000566244125</v>
      </c>
      <c r="U59" s="238"/>
    </row>
    <row r="60" spans="1:21">
      <c r="A60" s="52"/>
      <c r="B60" s="53"/>
      <c r="C60" s="93"/>
      <c r="D60" s="35"/>
      <c r="E60" s="35"/>
      <c r="F60" s="14"/>
      <c r="G60" s="14"/>
      <c r="H60" s="14"/>
      <c r="I60" s="15"/>
      <c r="J60" s="94"/>
      <c r="K60" s="94"/>
      <c r="L60" s="94"/>
      <c r="M60" s="94"/>
      <c r="N60" s="95"/>
      <c r="O60" s="31"/>
      <c r="Q60" s="47"/>
      <c r="R60" s="47"/>
      <c r="S60" s="47"/>
      <c r="T60" s="47"/>
      <c r="U60" s="238"/>
    </row>
    <row r="61" spans="1:21">
      <c r="A61" s="52" t="s">
        <v>90</v>
      </c>
      <c r="B61" s="53"/>
      <c r="C61" s="14" t="s">
        <v>91</v>
      </c>
      <c r="D61" s="35"/>
      <c r="E61" s="14"/>
      <c r="F61" s="14"/>
      <c r="G61" s="14"/>
      <c r="H61" s="14"/>
      <c r="I61" s="15"/>
      <c r="J61" s="96">
        <f>SUM(EASTERNFL:VALENCIA!J61)</f>
        <v>2884429541</v>
      </c>
      <c r="K61" s="96"/>
      <c r="L61" s="96">
        <f>SUM(EASTERNFL:VALENCIA!L61)</f>
        <v>493367878</v>
      </c>
      <c r="M61" s="89">
        <f t="shared" ref="M61" si="21">ROUND(L61,0)+ROUND(J61,0)</f>
        <v>3377797419</v>
      </c>
      <c r="N61" s="97"/>
      <c r="O61" s="31"/>
      <c r="Q61" s="47">
        <f t="shared" ref="Q61:Q62" si="22">J61</f>
        <v>2884429541</v>
      </c>
      <c r="R61" s="47">
        <f t="shared" ref="R61:R62" si="23">ROUND(Q61,0)-Q61</f>
        <v>0</v>
      </c>
      <c r="S61" s="47">
        <f t="shared" ref="S61:S62" si="24">L61</f>
        <v>493367878</v>
      </c>
      <c r="T61" s="47">
        <f t="shared" ref="T61:T62" si="25">ROUND(S61,0)-S61</f>
        <v>0</v>
      </c>
      <c r="U61" s="238"/>
    </row>
    <row r="62" spans="1:21">
      <c r="A62" s="52" t="s">
        <v>92</v>
      </c>
      <c r="B62" s="53" t="s">
        <v>93</v>
      </c>
      <c r="C62" s="14" t="s">
        <v>94</v>
      </c>
      <c r="D62" s="35"/>
      <c r="E62" s="14"/>
      <c r="F62" s="14"/>
      <c r="G62" s="14"/>
      <c r="H62" s="14"/>
      <c r="I62" s="15"/>
      <c r="J62" s="82">
        <f>SUM(EASTERNFL:VALENCIA!J62)</f>
        <v>-350157226.07999998</v>
      </c>
      <c r="K62" s="82"/>
      <c r="L62" s="134">
        <f>SUM(EASTERNFL:VALENCIA!L62)</f>
        <v>-124640</v>
      </c>
      <c r="M62" s="82">
        <f>ROUND(L62,0)+ROUND(J62,0)</f>
        <v>-350281866</v>
      </c>
      <c r="N62" s="81"/>
      <c r="O62" s="31"/>
      <c r="Q62" s="69">
        <f t="shared" si="22"/>
        <v>-350157226.07999998</v>
      </c>
      <c r="R62" s="69">
        <f t="shared" si="23"/>
        <v>7.9999983310699463E-2</v>
      </c>
      <c r="S62" s="69">
        <f t="shared" si="24"/>
        <v>-124640</v>
      </c>
      <c r="T62" s="69">
        <f t="shared" si="25"/>
        <v>0</v>
      </c>
      <c r="U62" s="238"/>
    </row>
    <row r="63" spans="1:21" s="64" customFormat="1">
      <c r="A63" s="52"/>
      <c r="B63" s="53"/>
      <c r="C63" s="36"/>
      <c r="D63" s="36"/>
      <c r="E63" s="36"/>
      <c r="F63" s="36"/>
      <c r="G63" s="36"/>
      <c r="H63" s="98"/>
      <c r="I63" s="36"/>
      <c r="J63" s="92"/>
      <c r="K63" s="99"/>
      <c r="L63" s="99"/>
      <c r="M63" s="99"/>
      <c r="N63" s="100"/>
      <c r="O63" s="31"/>
      <c r="P63" s="62"/>
      <c r="Q63" s="47"/>
      <c r="R63" s="47"/>
      <c r="S63" s="47"/>
      <c r="T63" s="47"/>
      <c r="U63" s="238"/>
    </row>
    <row r="64" spans="1:21" s="64" customFormat="1">
      <c r="A64" s="70"/>
      <c r="B64" s="53"/>
      <c r="C64" s="101" t="s">
        <v>95</v>
      </c>
      <c r="D64" s="36"/>
      <c r="E64" s="36"/>
      <c r="F64" s="36"/>
      <c r="G64" s="36"/>
      <c r="H64" s="60"/>
      <c r="I64" s="60"/>
      <c r="J64" s="90">
        <f t="array" ref="J64">SUM(ROUND(J61:J62,0))</f>
        <v>2534272315</v>
      </c>
      <c r="K64" s="92"/>
      <c r="L64" s="90">
        <f t="array" ref="L64">SUM(ROUND(L61:L62,0))</f>
        <v>493243238</v>
      </c>
      <c r="M64" s="90">
        <f t="array" ref="M64">SUM(ROUND(M61:M62,0))</f>
        <v>3027515553</v>
      </c>
      <c r="N64" s="91"/>
      <c r="O64" s="31"/>
      <c r="P64" s="62"/>
      <c r="Q64" s="75">
        <f>SUM(Q61:Q62)</f>
        <v>2534272314.9200001</v>
      </c>
      <c r="R64" s="47">
        <f>J64-Q64</f>
        <v>7.9999923706054688E-2</v>
      </c>
      <c r="S64" s="75">
        <f>SUM(S61:S62)</f>
        <v>493243238</v>
      </c>
      <c r="T64" s="47">
        <f>L64-S64</f>
        <v>0</v>
      </c>
      <c r="U64" s="238"/>
    </row>
    <row r="65" spans="1:21" s="64" customFormat="1">
      <c r="A65" s="52"/>
      <c r="B65" s="53"/>
      <c r="C65" s="36"/>
      <c r="D65" s="36"/>
      <c r="E65" s="36"/>
      <c r="F65" s="36"/>
      <c r="G65" s="36"/>
      <c r="H65" s="102"/>
      <c r="I65" s="36"/>
      <c r="J65" s="102"/>
      <c r="K65" s="60"/>
      <c r="L65" s="60"/>
      <c r="M65" s="60"/>
      <c r="N65" s="61"/>
      <c r="O65" s="31"/>
      <c r="P65" s="62"/>
      <c r="Q65" s="47"/>
      <c r="R65" s="47"/>
      <c r="S65" s="47"/>
      <c r="T65" s="47"/>
      <c r="U65" s="238"/>
    </row>
    <row r="66" spans="1:21" ht="13.5" thickBot="1">
      <c r="A66" s="52"/>
      <c r="B66" s="53"/>
      <c r="C66" s="29" t="s">
        <v>96</v>
      </c>
      <c r="D66" s="35"/>
      <c r="E66" s="14"/>
      <c r="F66" s="14"/>
      <c r="G66" s="14"/>
      <c r="H66" s="14"/>
      <c r="I66" s="103"/>
      <c r="J66" s="104">
        <f>J59+J64</f>
        <v>2597348241</v>
      </c>
      <c r="K66" s="105"/>
      <c r="L66" s="104">
        <f>L59+L64</f>
        <v>523307889</v>
      </c>
      <c r="M66" s="104">
        <f>M59+M64</f>
        <v>3120656130</v>
      </c>
      <c r="N66" s="46"/>
      <c r="O66" s="31"/>
      <c r="Q66" s="106">
        <f>Q64+Q59</f>
        <v>1805803567.0399997</v>
      </c>
      <c r="R66" s="106">
        <f>J66-Q66</f>
        <v>791544673.96000028</v>
      </c>
      <c r="S66" s="106">
        <f>S64+S59</f>
        <v>523307889.32999998</v>
      </c>
      <c r="T66" s="106">
        <f>L66-S66</f>
        <v>-0.32999998331069946</v>
      </c>
      <c r="U66" s="238"/>
    </row>
    <row r="67" spans="1:21" ht="13.5" thickTop="1">
      <c r="A67" s="70"/>
      <c r="B67" s="53"/>
      <c r="C67" s="14"/>
      <c r="D67" s="14"/>
      <c r="E67" s="14"/>
      <c r="F67" s="14"/>
      <c r="G67" s="14"/>
      <c r="H67" s="14"/>
      <c r="I67" s="15"/>
      <c r="J67" s="107"/>
      <c r="K67" s="15"/>
      <c r="L67" s="107"/>
      <c r="M67" s="107"/>
      <c r="N67" s="108"/>
      <c r="U67" s="238"/>
    </row>
    <row r="68" spans="1:21">
      <c r="A68" s="52"/>
      <c r="B68" s="53"/>
      <c r="C68" s="35" t="s">
        <v>97</v>
      </c>
      <c r="D68" s="35"/>
      <c r="E68" s="35"/>
      <c r="F68" s="35"/>
      <c r="G68" s="35"/>
      <c r="H68" s="35"/>
      <c r="I68" s="87"/>
      <c r="J68" s="35"/>
      <c r="K68" s="87"/>
      <c r="L68" s="35"/>
      <c r="M68" s="35"/>
      <c r="N68" s="37"/>
      <c r="U68" s="238"/>
    </row>
    <row r="69" spans="1:21">
      <c r="B69" s="72"/>
      <c r="I69" s="6"/>
      <c r="J69" s="109">
        <f>J66-'FCS SNP'!K119</f>
        <v>-2181052146</v>
      </c>
      <c r="K69" s="110"/>
      <c r="L69" s="111">
        <f>L66-'FCS SNP'!M119</f>
        <v>-560326376</v>
      </c>
      <c r="M69" s="111">
        <f>M66-'FCS SNP'!N119</f>
        <v>-2741378522</v>
      </c>
      <c r="N69" s="112"/>
      <c r="U69" s="238"/>
    </row>
    <row r="70" spans="1:21" ht="12.75" hidden="1" customHeight="1">
      <c r="B70" s="72"/>
      <c r="I70" s="113" t="s">
        <v>98</v>
      </c>
      <c r="J70" s="114"/>
      <c r="K70" s="115"/>
      <c r="L70" s="114"/>
      <c r="M70" s="114"/>
      <c r="N70" s="114"/>
      <c r="O70" s="31"/>
    </row>
    <row r="71" spans="1:21" ht="12.75" hidden="1" customHeight="1">
      <c r="B71" s="72"/>
      <c r="J71" s="114"/>
      <c r="K71" s="115"/>
      <c r="L71" s="114"/>
      <c r="M71" s="114"/>
      <c r="N71" s="114"/>
      <c r="O71" s="31"/>
    </row>
    <row r="72" spans="1:21" ht="12.75" hidden="1" customHeight="1">
      <c r="B72" s="72"/>
      <c r="J72" s="114"/>
      <c r="K72" s="115"/>
      <c r="L72" s="116"/>
      <c r="M72" s="116"/>
      <c r="N72" s="116"/>
      <c r="O72" s="31"/>
    </row>
    <row r="73" spans="1:21" ht="12.75" hidden="1" customHeight="1">
      <c r="B73" s="72"/>
      <c r="J73" s="114"/>
      <c r="K73" s="115"/>
      <c r="L73" s="114"/>
      <c r="M73" s="114"/>
      <c r="N73" s="114"/>
      <c r="O73" s="31"/>
    </row>
    <row r="74" spans="1:21" ht="12.75" hidden="1" customHeight="1">
      <c r="B74" s="72"/>
      <c r="J74" s="114"/>
      <c r="K74" s="115"/>
      <c r="L74" s="114"/>
      <c r="M74" s="114"/>
      <c r="N74" s="114"/>
      <c r="O74" s="31"/>
    </row>
    <row r="75" spans="1:21" ht="12.75" hidden="1" customHeight="1">
      <c r="B75" s="72"/>
      <c r="J75" s="114"/>
      <c r="K75" s="115"/>
      <c r="L75" s="114"/>
      <c r="M75" s="114"/>
      <c r="N75" s="114"/>
      <c r="O75" s="31"/>
    </row>
    <row r="76" spans="1:21" ht="12.75" hidden="1" customHeight="1">
      <c r="A76" s="12"/>
      <c r="B76" s="117"/>
      <c r="J76" s="114"/>
      <c r="K76" s="115"/>
      <c r="L76" s="114"/>
      <c r="M76" s="114"/>
      <c r="N76" s="114"/>
      <c r="O76" s="31"/>
    </row>
    <row r="77" spans="1:21" ht="12.75" hidden="1" customHeight="1">
      <c r="B77" s="72"/>
      <c r="J77" s="114"/>
      <c r="K77" s="115"/>
      <c r="L77" s="114"/>
      <c r="M77" s="114"/>
      <c r="N77" s="114"/>
      <c r="O77" s="31"/>
    </row>
    <row r="78" spans="1:21" ht="12.75" hidden="1" customHeight="1">
      <c r="A78" s="12"/>
      <c r="B78" s="117"/>
      <c r="J78" s="114"/>
      <c r="K78" s="115"/>
      <c r="L78" s="114"/>
      <c r="M78" s="114"/>
      <c r="N78" s="114"/>
      <c r="O78" s="31"/>
    </row>
    <row r="79" spans="1:21" ht="12.75" hidden="1" customHeight="1">
      <c r="B79" s="72"/>
      <c r="J79" s="114"/>
      <c r="K79" s="115"/>
      <c r="L79" s="114"/>
      <c r="M79" s="114"/>
      <c r="N79" s="114"/>
      <c r="O79" s="31"/>
    </row>
    <row r="80" spans="1:21" ht="12.75" hidden="1" customHeight="1">
      <c r="A80" s="12"/>
      <c r="B80" s="117"/>
      <c r="J80" s="114"/>
      <c r="K80" s="115"/>
      <c r="L80" s="114"/>
      <c r="M80" s="114"/>
      <c r="N80" s="114"/>
      <c r="O80" s="31"/>
    </row>
    <row r="81" spans="1:15" ht="12.75" hidden="1" customHeight="1">
      <c r="B81" s="72"/>
      <c r="J81" s="114"/>
      <c r="K81" s="115"/>
      <c r="L81" s="114"/>
      <c r="M81" s="114"/>
      <c r="N81" s="114"/>
      <c r="O81" s="31"/>
    </row>
    <row r="82" spans="1:15" ht="12.75" hidden="1" customHeight="1">
      <c r="B82" s="72"/>
      <c r="J82" s="114"/>
      <c r="K82" s="115"/>
      <c r="L82" s="114"/>
      <c r="M82" s="114"/>
      <c r="N82" s="114"/>
      <c r="O82" s="31"/>
    </row>
    <row r="83" spans="1:15" ht="12.75" hidden="1" customHeight="1">
      <c r="B83" s="72"/>
      <c r="J83" s="114"/>
      <c r="K83" s="115"/>
      <c r="L83" s="114"/>
      <c r="M83" s="114"/>
      <c r="N83" s="114"/>
      <c r="O83" s="31"/>
    </row>
    <row r="84" spans="1:15" ht="12.75" hidden="1" customHeight="1">
      <c r="B84" s="72"/>
      <c r="J84" s="114"/>
      <c r="K84" s="115"/>
      <c r="L84" s="114"/>
      <c r="M84" s="114"/>
      <c r="N84" s="114"/>
      <c r="O84" s="31"/>
    </row>
    <row r="85" spans="1:15" ht="12.75" hidden="1" customHeight="1">
      <c r="B85" s="72"/>
      <c r="J85" s="114"/>
      <c r="K85" s="115"/>
      <c r="L85" s="114"/>
      <c r="M85" s="114"/>
      <c r="N85" s="114"/>
      <c r="O85" s="31"/>
    </row>
    <row r="86" spans="1:15" ht="12.75" hidden="1" customHeight="1">
      <c r="B86" s="72"/>
      <c r="J86" s="114"/>
      <c r="K86" s="115"/>
      <c r="L86" s="114"/>
      <c r="M86" s="114"/>
      <c r="N86" s="114"/>
      <c r="O86" s="31"/>
    </row>
    <row r="87" spans="1:15" ht="12.75" hidden="1" customHeight="1">
      <c r="B87" s="72"/>
      <c r="J87" s="114"/>
      <c r="K87" s="115"/>
      <c r="L87" s="114"/>
      <c r="M87" s="114"/>
      <c r="N87" s="114"/>
      <c r="O87" s="31"/>
    </row>
    <row r="88" spans="1:15" ht="12.75" hidden="1" customHeight="1">
      <c r="B88" s="72"/>
      <c r="J88" s="114"/>
      <c r="K88" s="115"/>
      <c r="L88" s="114"/>
      <c r="M88" s="114"/>
      <c r="N88" s="114"/>
      <c r="O88" s="31"/>
    </row>
    <row r="89" spans="1:15" ht="12.75" hidden="1" customHeight="1">
      <c r="B89" s="72"/>
      <c r="J89" s="114"/>
      <c r="K89" s="115"/>
      <c r="L89" s="114"/>
      <c r="M89" s="114"/>
      <c r="N89" s="114"/>
      <c r="O89" s="31"/>
    </row>
    <row r="90" spans="1:15" ht="12.75" hidden="1" customHeight="1">
      <c r="B90" s="72"/>
      <c r="J90" s="114"/>
      <c r="K90" s="115"/>
      <c r="L90" s="114"/>
      <c r="M90" s="114"/>
      <c r="N90" s="114"/>
      <c r="O90" s="31"/>
    </row>
    <row r="91" spans="1:15" ht="12.75" hidden="1" customHeight="1">
      <c r="B91" s="72"/>
      <c r="J91" s="114"/>
      <c r="K91" s="115"/>
      <c r="L91" s="114"/>
      <c r="M91" s="114"/>
      <c r="N91" s="114"/>
      <c r="O91" s="31"/>
    </row>
    <row r="92" spans="1:15" ht="12.75" hidden="1" customHeight="1">
      <c r="B92" s="72"/>
      <c r="J92" s="114"/>
      <c r="K92" s="115"/>
      <c r="L92" s="114"/>
      <c r="M92" s="114"/>
      <c r="N92" s="114"/>
      <c r="O92" s="31"/>
    </row>
    <row r="93" spans="1:15" ht="12.75" hidden="1" customHeight="1">
      <c r="B93" s="72"/>
      <c r="J93" s="114"/>
      <c r="K93" s="115"/>
      <c r="L93" s="114"/>
      <c r="M93" s="114"/>
      <c r="N93" s="114"/>
      <c r="O93" s="31"/>
    </row>
    <row r="94" spans="1:15" ht="12.75" hidden="1" customHeight="1">
      <c r="A94" s="12"/>
      <c r="B94" s="117"/>
      <c r="J94" s="114"/>
      <c r="K94" s="115"/>
      <c r="L94" s="114"/>
      <c r="M94" s="114"/>
      <c r="N94" s="114"/>
      <c r="O94" s="31"/>
    </row>
    <row r="95" spans="1:15" ht="12.75" hidden="1" customHeight="1">
      <c r="B95" s="72"/>
    </row>
    <row r="96" spans="1:15" ht="12.75" hidden="1" customHeight="1">
      <c r="A96" s="12"/>
      <c r="B96" s="117"/>
      <c r="L96" s="225">
        <v>5230094526</v>
      </c>
      <c r="M96" s="225">
        <v>936981570</v>
      </c>
    </row>
    <row r="97" spans="1:21" ht="12.75" hidden="1" customHeight="1">
      <c r="B97" s="72"/>
      <c r="E97" s="6" t="s">
        <v>99</v>
      </c>
    </row>
    <row r="98" spans="1:21" ht="15" hidden="1" customHeight="1">
      <c r="A98" s="12"/>
      <c r="B98" s="117"/>
      <c r="E98" s="118" t="s">
        <v>5</v>
      </c>
      <c r="F98" s="118" t="s">
        <v>100</v>
      </c>
      <c r="G98" s="118" t="s">
        <v>101</v>
      </c>
    </row>
    <row r="99" spans="1:21" s="119" customFormat="1" ht="23.25" hidden="1" customHeight="1">
      <c r="B99" s="120"/>
      <c r="E99" s="121" t="s">
        <v>102</v>
      </c>
      <c r="F99" s="122">
        <v>271263829</v>
      </c>
      <c r="G99" s="122">
        <v>67702476</v>
      </c>
      <c r="I99" s="123"/>
      <c r="J99" s="124"/>
      <c r="K99" s="125"/>
      <c r="L99" s="124"/>
      <c r="M99" s="124"/>
      <c r="O99" s="123"/>
      <c r="U99" s="240"/>
    </row>
    <row r="100" spans="1:21" s="119" customFormat="1" ht="28.5" hidden="1" customHeight="1">
      <c r="A100" s="126"/>
      <c r="B100" s="127"/>
      <c r="E100" s="121" t="s">
        <v>103</v>
      </c>
      <c r="F100" s="122">
        <v>57164516</v>
      </c>
      <c r="G100" s="122">
        <v>16159940</v>
      </c>
      <c r="I100" s="123"/>
      <c r="K100" s="123"/>
      <c r="O100" s="123"/>
      <c r="U100" s="240"/>
    </row>
    <row r="101" spans="1:21" s="119" customFormat="1" ht="36.75" hidden="1" customHeight="1">
      <c r="B101" s="128"/>
      <c r="E101" s="121" t="s">
        <v>104</v>
      </c>
      <c r="F101" s="122">
        <v>84636022</v>
      </c>
      <c r="G101" s="122">
        <v>77689489</v>
      </c>
      <c r="I101" s="123"/>
      <c r="K101" s="123"/>
      <c r="O101" s="123"/>
      <c r="U101" s="240"/>
    </row>
    <row r="102" spans="1:21" s="119" customFormat="1" ht="22.5" hidden="1" customHeight="1">
      <c r="B102" s="128"/>
      <c r="E102" s="121" t="s">
        <v>105</v>
      </c>
      <c r="F102" s="122">
        <v>178313250</v>
      </c>
      <c r="G102" s="122">
        <v>18229963</v>
      </c>
      <c r="I102" s="123"/>
      <c r="K102" s="123"/>
      <c r="O102" s="123"/>
      <c r="U102" s="240"/>
    </row>
    <row r="103" spans="1:21" s="119" customFormat="1" ht="37.5" hidden="1" customHeight="1">
      <c r="B103" s="128"/>
      <c r="E103" s="121" t="s">
        <v>106</v>
      </c>
      <c r="F103" s="122">
        <v>138549912</v>
      </c>
      <c r="G103" s="122">
        <v>16886342</v>
      </c>
      <c r="I103" s="123"/>
      <c r="K103" s="123"/>
      <c r="O103" s="123"/>
      <c r="U103" s="240"/>
    </row>
    <row r="104" spans="1:21" s="119" customFormat="1" ht="22.5" hidden="1" customHeight="1">
      <c r="B104" s="128"/>
      <c r="E104" s="121" t="s">
        <v>107</v>
      </c>
      <c r="F104" s="122">
        <v>155349975</v>
      </c>
      <c r="G104" s="122">
        <v>42422129</v>
      </c>
      <c r="I104" s="123"/>
      <c r="K104" s="123"/>
      <c r="O104" s="123"/>
      <c r="U104" s="240"/>
    </row>
    <row r="105" spans="1:21" s="119" customFormat="1" ht="22.5" hidden="1" customHeight="1">
      <c r="B105" s="128"/>
      <c r="E105" s="121" t="s">
        <v>108</v>
      </c>
      <c r="F105" s="122">
        <v>47023434</v>
      </c>
      <c r="G105" s="122">
        <v>12776164</v>
      </c>
      <c r="I105" s="123"/>
      <c r="K105" s="123"/>
      <c r="O105" s="123"/>
      <c r="U105" s="240"/>
    </row>
    <row r="106" spans="1:21" s="119" customFormat="1" ht="33.75" hidden="1" customHeight="1">
      <c r="B106" s="128"/>
      <c r="E106" s="121" t="s">
        <v>109</v>
      </c>
      <c r="F106" s="122">
        <v>27715534</v>
      </c>
      <c r="G106" s="122">
        <v>3209017</v>
      </c>
      <c r="I106" s="123"/>
      <c r="K106" s="123"/>
      <c r="O106" s="123"/>
      <c r="U106" s="240"/>
    </row>
    <row r="107" spans="1:21" s="119" customFormat="1" ht="33.75" hidden="1" customHeight="1">
      <c r="B107" s="128"/>
      <c r="E107" s="121" t="s">
        <v>110</v>
      </c>
      <c r="F107" s="122">
        <v>268313866</v>
      </c>
      <c r="G107" s="122">
        <v>42085117</v>
      </c>
      <c r="I107" s="123"/>
      <c r="K107" s="123"/>
      <c r="O107" s="123"/>
      <c r="U107" s="240"/>
    </row>
    <row r="108" spans="1:21" s="119" customFormat="1" ht="31.5" hidden="1" customHeight="1">
      <c r="B108" s="128"/>
      <c r="E108" s="121" t="s">
        <v>111</v>
      </c>
      <c r="F108" s="122">
        <v>108200702</v>
      </c>
      <c r="G108" s="122">
        <v>26638060</v>
      </c>
      <c r="I108" s="123"/>
      <c r="K108" s="123"/>
      <c r="O108" s="123"/>
      <c r="U108" s="240"/>
    </row>
    <row r="109" spans="1:21" s="119" customFormat="1" ht="33.75" hidden="1" customHeight="1">
      <c r="B109" s="128"/>
      <c r="E109" s="121" t="s">
        <v>112</v>
      </c>
      <c r="F109" s="122">
        <v>226239781</v>
      </c>
      <c r="G109" s="122">
        <v>4548319</v>
      </c>
      <c r="I109" s="123"/>
      <c r="K109" s="123"/>
      <c r="O109" s="123"/>
      <c r="U109" s="240"/>
    </row>
    <row r="110" spans="1:21" s="119" customFormat="1" ht="28.5" hidden="1" customHeight="1">
      <c r="B110" s="128"/>
      <c r="E110" s="121" t="s">
        <v>113</v>
      </c>
      <c r="F110" s="122">
        <v>264633925</v>
      </c>
      <c r="G110" s="122">
        <v>63678246</v>
      </c>
      <c r="I110" s="123"/>
      <c r="K110" s="123"/>
      <c r="O110" s="123"/>
      <c r="U110" s="240"/>
    </row>
    <row r="111" spans="1:21" s="119" customFormat="1" ht="22.5" hidden="1" customHeight="1">
      <c r="B111" s="128"/>
      <c r="E111" s="121" t="s">
        <v>114</v>
      </c>
      <c r="F111" s="122">
        <v>65618556</v>
      </c>
      <c r="G111" s="122">
        <v>12918923</v>
      </c>
      <c r="I111" s="123"/>
      <c r="K111" s="123"/>
      <c r="O111" s="123"/>
      <c r="U111" s="240"/>
    </row>
    <row r="112" spans="1:21" s="119" customFormat="1" ht="22.5" hidden="1" customHeight="1">
      <c r="B112" s="128"/>
      <c r="E112" s="121" t="s">
        <v>115</v>
      </c>
      <c r="F112" s="122">
        <v>1269721671</v>
      </c>
      <c r="G112" s="122">
        <v>120257059</v>
      </c>
      <c r="I112" s="123"/>
      <c r="K112" s="123"/>
      <c r="O112" s="123"/>
      <c r="U112" s="240"/>
    </row>
    <row r="113" spans="1:21" s="119" customFormat="1" ht="33.75" hidden="1" customHeight="1">
      <c r="B113" s="128"/>
      <c r="E113" s="121" t="s">
        <v>116</v>
      </c>
      <c r="F113" s="122">
        <v>29342688.870000001</v>
      </c>
      <c r="G113" s="122">
        <v>3323254</v>
      </c>
      <c r="I113" s="123"/>
      <c r="K113" s="123"/>
      <c r="O113" s="123"/>
      <c r="U113" s="240"/>
    </row>
    <row r="114" spans="1:21" s="119" customFormat="1" ht="33.75" hidden="1" customHeight="1">
      <c r="B114" s="128"/>
      <c r="E114" s="121" t="s">
        <v>117</v>
      </c>
      <c r="F114" s="122">
        <v>135222307</v>
      </c>
      <c r="G114" s="122">
        <v>39072622</v>
      </c>
      <c r="I114" s="123"/>
      <c r="K114" s="123"/>
      <c r="O114" s="123"/>
      <c r="U114" s="240"/>
    </row>
    <row r="115" spans="1:21" s="119" customFormat="1" ht="22.5" hidden="1" customHeight="1">
      <c r="B115" s="128"/>
      <c r="E115" s="121" t="s">
        <v>118</v>
      </c>
      <c r="F115" s="122">
        <v>255277834</v>
      </c>
      <c r="G115" s="122">
        <v>27754013</v>
      </c>
      <c r="I115" s="123"/>
      <c r="K115" s="123"/>
      <c r="O115" s="123"/>
      <c r="U115" s="240"/>
    </row>
    <row r="116" spans="1:21" s="119" customFormat="1" ht="33.75" hidden="1" customHeight="1">
      <c r="B116" s="128"/>
      <c r="E116" s="121" t="s">
        <v>119</v>
      </c>
      <c r="F116" s="122">
        <v>179735294</v>
      </c>
      <c r="G116" s="122">
        <v>37452461</v>
      </c>
      <c r="I116" s="123"/>
      <c r="K116" s="123"/>
      <c r="O116" s="123"/>
      <c r="U116" s="240"/>
    </row>
    <row r="117" spans="1:21" s="119" customFormat="1" ht="22.5" hidden="1" customHeight="1">
      <c r="B117" s="128"/>
      <c r="E117" s="121" t="s">
        <v>120</v>
      </c>
      <c r="F117" s="122">
        <v>66529838</v>
      </c>
      <c r="G117" s="122">
        <v>20302624</v>
      </c>
      <c r="I117" s="123"/>
      <c r="K117" s="123"/>
      <c r="O117" s="123"/>
      <c r="U117" s="240"/>
    </row>
    <row r="118" spans="1:21" s="119" customFormat="1" ht="24.75" hidden="1" customHeight="1">
      <c r="B118" s="128"/>
      <c r="E118" s="121" t="s">
        <v>121</v>
      </c>
      <c r="F118" s="122">
        <v>84007505</v>
      </c>
      <c r="G118" s="122">
        <v>31015320</v>
      </c>
      <c r="I118" s="123"/>
      <c r="K118" s="123"/>
      <c r="O118" s="123"/>
      <c r="U118" s="240"/>
    </row>
    <row r="119" spans="1:21" s="119" customFormat="1" ht="30" hidden="1" customHeight="1">
      <c r="B119" s="128"/>
      <c r="E119" s="121" t="s">
        <v>122</v>
      </c>
      <c r="F119" s="122">
        <v>129042623</v>
      </c>
      <c r="G119" s="122">
        <v>41653530</v>
      </c>
      <c r="I119" s="123"/>
      <c r="K119" s="123"/>
      <c r="O119" s="123"/>
      <c r="U119" s="240"/>
    </row>
    <row r="120" spans="1:21" s="119" customFormat="1" ht="33.75" hidden="1" customHeight="1">
      <c r="B120" s="128"/>
      <c r="E120" s="121" t="s">
        <v>123</v>
      </c>
      <c r="F120" s="122">
        <v>202172039</v>
      </c>
      <c r="G120" s="122">
        <v>17149490</v>
      </c>
      <c r="I120" s="123"/>
      <c r="K120" s="123"/>
      <c r="O120" s="123"/>
      <c r="U120" s="240"/>
    </row>
    <row r="121" spans="1:21" s="119" customFormat="1" ht="29.25" hidden="1" customHeight="1">
      <c r="B121" s="128"/>
      <c r="E121" s="121" t="s">
        <v>124</v>
      </c>
      <c r="F121" s="122">
        <v>71887178</v>
      </c>
      <c r="G121" s="122">
        <v>10634447</v>
      </c>
      <c r="I121" s="123"/>
      <c r="K121" s="123"/>
      <c r="O121" s="123"/>
      <c r="U121" s="240"/>
    </row>
    <row r="122" spans="1:21" s="119" customFormat="1" ht="36" hidden="1" customHeight="1">
      <c r="B122" s="128"/>
      <c r="E122" s="121" t="s">
        <v>125</v>
      </c>
      <c r="F122" s="122">
        <v>62958436</v>
      </c>
      <c r="G122" s="122">
        <v>3900646</v>
      </c>
      <c r="I122" s="123"/>
      <c r="K122" s="123"/>
      <c r="O122" s="123"/>
      <c r="U122" s="240"/>
    </row>
    <row r="123" spans="1:21" s="119" customFormat="1" ht="34.5" hidden="1" customHeight="1">
      <c r="B123" s="128"/>
      <c r="E123" s="121" t="s">
        <v>126</v>
      </c>
      <c r="F123" s="122">
        <v>301288329</v>
      </c>
      <c r="G123" s="122">
        <v>53055689</v>
      </c>
      <c r="I123" s="123"/>
      <c r="K123" s="123"/>
      <c r="O123" s="123"/>
      <c r="U123" s="240"/>
    </row>
    <row r="124" spans="1:21" s="119" customFormat="1" ht="33.75" hidden="1" customHeight="1">
      <c r="B124" s="128"/>
      <c r="E124" s="121" t="s">
        <v>127</v>
      </c>
      <c r="F124" s="122">
        <v>103913799</v>
      </c>
      <c r="G124" s="122">
        <v>42926247</v>
      </c>
      <c r="I124" s="123"/>
      <c r="K124" s="123"/>
      <c r="O124" s="123"/>
      <c r="U124" s="240"/>
    </row>
    <row r="125" spans="1:21" s="119" customFormat="1" ht="33.75" hidden="1" customHeight="1">
      <c r="B125" s="128"/>
      <c r="E125" s="121" t="s">
        <v>128</v>
      </c>
      <c r="F125" s="122">
        <v>137981256</v>
      </c>
      <c r="G125" s="122">
        <v>15579598</v>
      </c>
      <c r="I125" s="123"/>
      <c r="K125" s="123"/>
      <c r="O125" s="123"/>
      <c r="U125" s="240"/>
    </row>
    <row r="126" spans="1:21" s="119" customFormat="1" ht="27.75" hidden="1" customHeight="1">
      <c r="B126" s="128"/>
      <c r="E126" s="121" t="s">
        <v>129</v>
      </c>
      <c r="F126" s="122">
        <v>307990426</v>
      </c>
      <c r="G126" s="122">
        <v>67960385</v>
      </c>
      <c r="I126" s="123"/>
      <c r="K126" s="123"/>
      <c r="O126" s="123"/>
      <c r="U126" s="240"/>
    </row>
    <row r="127" spans="1:21" ht="12.75" hidden="1" customHeight="1">
      <c r="F127" s="133">
        <f>SUM(F99:F126)</f>
        <v>5230094525.8699999</v>
      </c>
      <c r="G127" s="133">
        <f>SUM(G99:G126)</f>
        <v>936981570</v>
      </c>
    </row>
  </sheetData>
  <sheetProtection formatColumns="0" formatRows="0"/>
  <conditionalFormatting sqref="J69 L69">
    <cfRule type="cellIs" dxfId="430" priority="18" operator="notEqual">
      <formula>0</formula>
    </cfRule>
    <cfRule type="cellIs" dxfId="429" priority="19" operator="equal">
      <formula>0</formula>
    </cfRule>
  </conditionalFormatting>
  <conditionalFormatting sqref="F11:G11 F17:G17 J11:L18 J37:L45 J52:L55 J62:L62">
    <cfRule type="containsBlanks" dxfId="428" priority="14">
      <formula>LEN(TRIM(F11))=0</formula>
    </cfRule>
    <cfRule type="cellIs" dxfId="427" priority="15" operator="notEqual">
      <formula>0</formula>
    </cfRule>
  </conditionalFormatting>
  <conditionalFormatting sqref="J11:L18">
    <cfRule type="cellIs" dxfId="426" priority="13" operator="notEqual">
      <formula>J20</formula>
    </cfRule>
  </conditionalFormatting>
  <conditionalFormatting sqref="T20 R20 R32 T32 T34 R34 R47 T47 T50 R50 R59 T59 T57 R57 R64 T64 T66 R66">
    <cfRule type="cellIs" dxfId="425" priority="16" operator="notBetween">
      <formula>-0.5</formula>
      <formula>0.5</formula>
    </cfRule>
    <cfRule type="cellIs" dxfId="424" priority="17" operator="between">
      <formula>-0.5</formula>
      <formula>0.5</formula>
    </cfRule>
  </conditionalFormatting>
  <conditionalFormatting sqref="S20 S32 S34 S47 S50 S57 S59 S64 S66">
    <cfRule type="expression" dxfId="423" priority="20">
      <formula>ROUND($S20,0)&lt;&gt;$L20</formula>
    </cfRule>
    <cfRule type="expression" dxfId="422" priority="21">
      <formula>ROUND($S20,0)=$L20</formula>
    </cfRule>
  </conditionalFormatting>
  <conditionalFormatting sqref="Q20 Q32 Q34 Q47 Q50 Q59 Q57 Q64 Q66">
    <cfRule type="expression" dxfId="421" priority="22">
      <formula>ROUND($Q20,0)&lt;&gt;$J20</formula>
    </cfRule>
  </conditionalFormatting>
  <conditionalFormatting sqref="Q20 Q32 Q34 Q47 Q50 Q57 Q59 Q64 Q66">
    <cfRule type="expression" dxfId="420" priority="23">
      <formula>ROUND($Q20,0)=$J20</formula>
    </cfRule>
  </conditionalFormatting>
  <conditionalFormatting sqref="S57">
    <cfRule type="expression" dxfId="419" priority="11">
      <formula>ROUND($Q57,0)&lt;&gt;$J57</formula>
    </cfRule>
  </conditionalFormatting>
  <conditionalFormatting sqref="S57">
    <cfRule type="expression" dxfId="418" priority="10">
      <formula>ROUND($Q57,0)=$J57</formula>
    </cfRule>
  </conditionalFormatting>
  <conditionalFormatting sqref="M69">
    <cfRule type="cellIs" dxfId="417" priority="8" operator="notEqual">
      <formula>0</formula>
    </cfRule>
    <cfRule type="cellIs" dxfId="416" priority="9" operator="equal">
      <formula>0</formula>
    </cfRule>
  </conditionalFormatting>
  <conditionalFormatting sqref="M24:M30 M37:M45 M62 M17:M18 M11:M15 M52:M55">
    <cfRule type="containsBlanks" dxfId="415" priority="6">
      <formula>LEN(TRIM(M11))=0</formula>
    </cfRule>
    <cfRule type="cellIs" dxfId="414" priority="7" operator="notEqual">
      <formula>0</formula>
    </cfRule>
  </conditionalFormatting>
  <conditionalFormatting sqref="M11">
    <cfRule type="cellIs" dxfId="413" priority="5" operator="notEqual">
      <formula>M20</formula>
    </cfRule>
  </conditionalFormatting>
  <conditionalFormatting sqref="J24:L30">
    <cfRule type="containsBlanks" dxfId="412" priority="3">
      <formula>LEN(TRIM(J24))=0</formula>
    </cfRule>
    <cfRule type="cellIs" dxfId="411" priority="4" operator="notEqual">
      <formula>0</formula>
    </cfRule>
  </conditionalFormatting>
  <conditionalFormatting sqref="M61">
    <cfRule type="containsBlanks" dxfId="410" priority="1">
      <formula>LEN(TRIM(M61))=0</formula>
    </cfRule>
    <cfRule type="cellIs" dxfId="409" priority="2" operator="notEqual">
      <formula>0</formula>
    </cfRule>
  </conditionalFormatting>
  <printOptions horizontalCentered="1"/>
  <pageMargins left="0.7" right="0.7" top="0.75" bottom="0.75" header="0.5" footer="0.5"/>
  <pageSetup scale="65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  <pageSetUpPr fitToPage="1"/>
  </sheetPr>
  <dimension ref="A1:R70"/>
  <sheetViews>
    <sheetView zoomScale="90" zoomScaleNormal="90" zoomScaleSheetLayoutView="70" workbookViewId="0"/>
  </sheetViews>
  <sheetFormatPr defaultColWidth="11.140625" defaultRowHeight="12.75"/>
  <cols>
    <col min="1" max="6" width="11.140625" style="6"/>
    <col min="7" max="7" width="11.140625" style="11"/>
    <col min="8" max="8" width="14.7109375" style="6" customWidth="1"/>
    <col min="9" max="9" width="11.140625" style="11"/>
    <col min="10" max="10" width="13.42578125" style="6" customWidth="1"/>
    <col min="11" max="11" width="14.42578125" style="6" customWidth="1"/>
    <col min="12" max="12" width="11.140625" style="6"/>
    <col min="13" max="13" width="11.140625" style="10"/>
    <col min="14" max="18" width="11.140625" style="5"/>
    <col min="19" max="16384" width="11.140625" style="6"/>
  </cols>
  <sheetData>
    <row r="1" spans="1:12">
      <c r="A1" s="260" t="str">
        <f>'[22]Contact Information'!$C$5</f>
        <v>PALM BEACH STATE COLLEGE</v>
      </c>
      <c r="B1" s="260"/>
      <c r="C1" s="260"/>
      <c r="D1" s="260"/>
      <c r="E1" s="260"/>
      <c r="F1" s="260"/>
      <c r="G1" s="260"/>
      <c r="H1" s="260"/>
      <c r="I1" s="260"/>
      <c r="J1" s="260"/>
      <c r="K1" s="247"/>
      <c r="L1" s="3"/>
    </row>
    <row r="2" spans="1:12">
      <c r="A2" s="256" t="s">
        <v>0</v>
      </c>
      <c r="B2" s="256"/>
      <c r="C2" s="256"/>
      <c r="D2" s="256"/>
      <c r="E2" s="256"/>
      <c r="F2" s="256"/>
      <c r="G2" s="256"/>
      <c r="H2" s="256"/>
      <c r="I2" s="256"/>
      <c r="J2" s="256"/>
      <c r="K2" s="245"/>
      <c r="L2" s="7"/>
    </row>
    <row r="3" spans="1:12">
      <c r="A3" s="86" t="s">
        <v>1</v>
      </c>
      <c r="B3" s="86"/>
      <c r="C3" s="86"/>
      <c r="D3" s="86"/>
      <c r="E3" s="86"/>
      <c r="F3" s="86"/>
      <c r="G3" s="86"/>
      <c r="H3" s="86"/>
      <c r="I3" s="86"/>
      <c r="J3" s="86"/>
      <c r="K3" s="248"/>
      <c r="L3" s="9" t="s">
        <v>2</v>
      </c>
    </row>
    <row r="4" spans="1:12">
      <c r="A4" s="261" t="s">
        <v>297</v>
      </c>
      <c r="B4" s="261"/>
      <c r="C4" s="261"/>
      <c r="D4" s="261"/>
      <c r="E4" s="261"/>
      <c r="F4" s="261"/>
      <c r="G4" s="261"/>
      <c r="H4" s="261"/>
      <c r="I4" s="261"/>
      <c r="J4" s="261"/>
      <c r="K4" s="249"/>
      <c r="L4" s="11" t="str">
        <f>'[22]Contact Information'!$C$3</f>
        <v>2015.v03</v>
      </c>
    </row>
    <row r="5" spans="1:12">
      <c r="A5" s="14"/>
      <c r="B5" s="14"/>
      <c r="C5" s="14"/>
      <c r="D5" s="14"/>
      <c r="E5" s="14"/>
      <c r="F5" s="14"/>
      <c r="G5" s="15"/>
      <c r="H5" s="16"/>
      <c r="I5" s="17"/>
      <c r="J5" s="16"/>
      <c r="K5" s="16"/>
      <c r="L5" s="18"/>
    </row>
    <row r="6" spans="1:12">
      <c r="A6" s="14"/>
      <c r="B6" s="14"/>
      <c r="C6" s="14"/>
      <c r="D6" s="14"/>
      <c r="E6" s="14"/>
      <c r="F6" s="14"/>
      <c r="G6" s="15"/>
      <c r="H6" s="249" t="s">
        <v>5</v>
      </c>
      <c r="I6" s="21"/>
      <c r="J6" s="22" t="s">
        <v>6</v>
      </c>
      <c r="K6" s="22" t="s">
        <v>7</v>
      </c>
      <c r="L6" s="23"/>
    </row>
    <row r="7" spans="1:12">
      <c r="A7" s="14"/>
      <c r="B7" s="14"/>
      <c r="C7" s="14"/>
      <c r="D7" s="14"/>
      <c r="E7" s="14"/>
      <c r="F7" s="14"/>
      <c r="G7" s="15"/>
      <c r="H7" s="24"/>
      <c r="I7" s="25"/>
      <c r="J7" s="26" t="str">
        <f>[22]SNP!$M$9</f>
        <v>Unit</v>
      </c>
      <c r="K7" s="26"/>
      <c r="L7" s="27"/>
    </row>
    <row r="8" spans="1:12">
      <c r="A8" s="29" t="s">
        <v>9</v>
      </c>
      <c r="B8" s="14"/>
      <c r="C8" s="14"/>
      <c r="D8" s="14"/>
      <c r="E8" s="14"/>
      <c r="F8" s="14"/>
      <c r="G8" s="15"/>
      <c r="H8" s="25"/>
      <c r="I8" s="25"/>
      <c r="J8" s="25"/>
      <c r="K8" s="25"/>
      <c r="L8" s="30"/>
    </row>
    <row r="9" spans="1:12">
      <c r="A9" s="14" t="s">
        <v>12</v>
      </c>
      <c r="B9" s="14"/>
      <c r="C9" s="14"/>
      <c r="D9" s="14"/>
      <c r="E9" s="14"/>
      <c r="F9" s="14"/>
      <c r="G9" s="15"/>
      <c r="H9" s="17"/>
      <c r="I9" s="17"/>
      <c r="J9" s="17"/>
      <c r="K9" s="17"/>
      <c r="L9" s="18"/>
    </row>
    <row r="10" spans="1:12">
      <c r="A10" s="35"/>
      <c r="B10" s="36" t="s">
        <v>14</v>
      </c>
      <c r="C10" s="14"/>
      <c r="D10" s="14"/>
      <c r="E10" s="14"/>
      <c r="F10" s="14"/>
      <c r="G10" s="35"/>
      <c r="H10" s="35"/>
      <c r="I10" s="17"/>
      <c r="J10" s="35"/>
      <c r="K10" s="35"/>
      <c r="L10" s="37"/>
    </row>
    <row r="11" spans="1:12">
      <c r="A11" s="35"/>
      <c r="B11" s="44" t="s">
        <v>19</v>
      </c>
      <c r="C11" s="35"/>
      <c r="D11" s="263">
        <v>25511807.559999999</v>
      </c>
      <c r="E11" s="263"/>
      <c r="F11" s="45"/>
      <c r="G11" s="36"/>
      <c r="H11" s="228">
        <v>41524086</v>
      </c>
      <c r="I11" s="229"/>
      <c r="J11" s="228">
        <v>0</v>
      </c>
      <c r="K11" s="228">
        <f>ROUND(J11,0)+ROUND(H11,0)</f>
        <v>41524086</v>
      </c>
      <c r="L11" s="46"/>
    </row>
    <row r="12" spans="1:12">
      <c r="A12" s="35"/>
      <c r="B12" s="36" t="s">
        <v>22</v>
      </c>
      <c r="C12" s="14"/>
      <c r="D12" s="48"/>
      <c r="E12" s="49"/>
      <c r="F12" s="15"/>
      <c r="G12" s="35"/>
      <c r="H12" s="50">
        <v>4691339</v>
      </c>
      <c r="I12" s="230"/>
      <c r="J12" s="50">
        <v>0</v>
      </c>
      <c r="K12" s="50">
        <f>ROUND(J12,0)+ROUND(H12,0)</f>
        <v>4691339</v>
      </c>
      <c r="L12" s="51"/>
    </row>
    <row r="13" spans="1:12">
      <c r="A13" s="35"/>
      <c r="B13" s="36" t="s">
        <v>24</v>
      </c>
      <c r="C13" s="14"/>
      <c r="D13" s="48"/>
      <c r="E13" s="48"/>
      <c r="F13" s="14"/>
      <c r="G13" s="35"/>
      <c r="H13" s="50">
        <v>1116358</v>
      </c>
      <c r="I13" s="230"/>
      <c r="J13" s="50">
        <v>0</v>
      </c>
      <c r="K13" s="50">
        <f>ROUND(J13,0)+ROUND(H13,0)</f>
        <v>1116358</v>
      </c>
      <c r="L13" s="51"/>
    </row>
    <row r="14" spans="1:12">
      <c r="A14" s="35"/>
      <c r="B14" s="36" t="s">
        <v>26</v>
      </c>
      <c r="C14" s="14"/>
      <c r="D14" s="48"/>
      <c r="E14" s="48"/>
      <c r="F14" s="14"/>
      <c r="G14" s="35"/>
      <c r="H14" s="50">
        <v>6383015</v>
      </c>
      <c r="I14" s="230"/>
      <c r="J14" s="50">
        <v>0</v>
      </c>
      <c r="K14" s="50">
        <f>ROUND(J14,0)+ROUND(H14,0)</f>
        <v>6383015</v>
      </c>
      <c r="L14" s="51"/>
    </row>
    <row r="15" spans="1:12">
      <c r="A15" s="35"/>
      <c r="B15" s="36" t="s">
        <v>28</v>
      </c>
      <c r="C15" s="14"/>
      <c r="D15" s="48"/>
      <c r="E15" s="48"/>
      <c r="F15" s="35"/>
      <c r="G15" s="35"/>
      <c r="H15" s="50">
        <v>580903</v>
      </c>
      <c r="I15" s="230"/>
      <c r="J15" s="50">
        <v>0</v>
      </c>
      <c r="K15" s="50">
        <f>ROUND(J15,0)+ROUND(H15,0)</f>
        <v>580903</v>
      </c>
      <c r="L15" s="51"/>
    </row>
    <row r="16" spans="1:12">
      <c r="A16" s="35"/>
      <c r="B16" s="36" t="s">
        <v>29</v>
      </c>
      <c r="C16" s="14"/>
      <c r="D16" s="54"/>
      <c r="E16" s="49"/>
      <c r="F16" s="55"/>
      <c r="G16" s="35"/>
      <c r="H16" s="35"/>
      <c r="I16" s="230"/>
      <c r="J16" s="35"/>
      <c r="K16" s="35"/>
      <c r="L16" s="37"/>
    </row>
    <row r="17" spans="1:12">
      <c r="A17" s="35"/>
      <c r="B17" s="44" t="s">
        <v>19</v>
      </c>
      <c r="C17" s="35"/>
      <c r="D17" s="263">
        <v>0</v>
      </c>
      <c r="E17" s="263"/>
      <c r="F17" s="55"/>
      <c r="G17" s="35"/>
      <c r="H17" s="50">
        <v>1262130</v>
      </c>
      <c r="I17" s="230"/>
      <c r="J17" s="50">
        <v>0</v>
      </c>
      <c r="K17" s="50">
        <f>ROUND(J17,0)+ROUND(H17,0)</f>
        <v>1262130</v>
      </c>
      <c r="L17" s="51"/>
    </row>
    <row r="18" spans="1:12">
      <c r="A18" s="35"/>
      <c r="B18" s="57" t="s">
        <v>33</v>
      </c>
      <c r="C18" s="14"/>
      <c r="D18" s="14"/>
      <c r="E18" s="14"/>
      <c r="F18" s="14"/>
      <c r="G18" s="36"/>
      <c r="H18" s="58">
        <v>1964873</v>
      </c>
      <c r="I18" s="230"/>
      <c r="J18" s="58">
        <v>1996667</v>
      </c>
      <c r="K18" s="58">
        <f>ROUND(J18,0)+ROUND(H18,0)</f>
        <v>3961540</v>
      </c>
      <c r="L18" s="51"/>
    </row>
    <row r="19" spans="1:12">
      <c r="A19" s="36"/>
      <c r="B19" s="36"/>
      <c r="C19" s="36"/>
      <c r="D19" s="36"/>
      <c r="E19" s="36"/>
      <c r="F19" s="59"/>
      <c r="G19" s="59"/>
      <c r="H19" s="59"/>
      <c r="I19" s="60"/>
      <c r="J19" s="60"/>
      <c r="K19" s="60"/>
      <c r="L19" s="61"/>
    </row>
    <row r="20" spans="1:12">
      <c r="A20" s="35"/>
      <c r="B20" s="65" t="s">
        <v>35</v>
      </c>
      <c r="C20" s="35"/>
      <c r="D20" s="14"/>
      <c r="E20" s="14"/>
      <c r="F20" s="14"/>
      <c r="G20" s="15"/>
      <c r="H20" s="66">
        <f t="array" ref="H20">SUM(ROUND(H11:H18,0))</f>
        <v>57522704</v>
      </c>
      <c r="I20" s="67"/>
      <c r="J20" s="66">
        <f t="array" ref="J20">SUM(ROUND(J11:J18,0))</f>
        <v>1996667</v>
      </c>
      <c r="K20" s="66">
        <f t="array" ref="K20">SUM(ROUND(K11:K18,0))</f>
        <v>59519371</v>
      </c>
      <c r="L20" s="68"/>
    </row>
    <row r="21" spans="1:12">
      <c r="A21" s="14"/>
      <c r="B21" s="14"/>
      <c r="C21" s="14"/>
      <c r="D21" s="14"/>
      <c r="E21" s="14"/>
      <c r="F21" s="14"/>
      <c r="G21" s="15"/>
      <c r="H21" s="17"/>
      <c r="I21" s="17"/>
      <c r="J21" s="17"/>
      <c r="K21" s="17"/>
      <c r="L21" s="18"/>
    </row>
    <row r="22" spans="1:12">
      <c r="A22" s="29" t="s">
        <v>36</v>
      </c>
      <c r="B22" s="14"/>
      <c r="C22" s="14"/>
      <c r="D22" s="14"/>
      <c r="E22" s="14"/>
      <c r="F22" s="14"/>
      <c r="G22" s="15"/>
      <c r="H22" s="16"/>
      <c r="I22" s="17"/>
      <c r="J22" s="16"/>
      <c r="K22" s="16"/>
      <c r="L22" s="18"/>
    </row>
    <row r="23" spans="1:12">
      <c r="A23" s="14" t="s">
        <v>37</v>
      </c>
      <c r="B23" s="14"/>
      <c r="C23" s="14"/>
      <c r="D23" s="14"/>
      <c r="E23" s="35"/>
      <c r="F23" s="14"/>
      <c r="G23" s="15"/>
      <c r="H23" s="16"/>
      <c r="I23" s="17"/>
      <c r="J23" s="16"/>
      <c r="K23" s="16"/>
      <c r="L23" s="18"/>
    </row>
    <row r="24" spans="1:12">
      <c r="A24" s="44"/>
      <c r="B24" s="36" t="s">
        <v>40</v>
      </c>
      <c r="C24" s="14"/>
      <c r="D24" s="14"/>
      <c r="E24" s="35"/>
      <c r="F24" s="14"/>
      <c r="G24" s="15"/>
      <c r="H24" s="50">
        <v>96362917.939999998</v>
      </c>
      <c r="I24" s="230"/>
      <c r="J24" s="50">
        <v>0</v>
      </c>
      <c r="K24" s="50">
        <f t="shared" ref="K24:K30" si="0">ROUND(J24,0)+ROUND(H24,0)</f>
        <v>96362918</v>
      </c>
      <c r="L24" s="51"/>
    </row>
    <row r="25" spans="1:12">
      <c r="A25" s="44"/>
      <c r="B25" s="36" t="s">
        <v>42</v>
      </c>
      <c r="C25" s="14"/>
      <c r="D25" s="14"/>
      <c r="E25" s="35"/>
      <c r="F25" s="14"/>
      <c r="G25" s="15"/>
      <c r="H25" s="50">
        <v>28896441.170000002</v>
      </c>
      <c r="I25" s="230"/>
      <c r="J25" s="50">
        <v>1447992</v>
      </c>
      <c r="K25" s="50">
        <f t="shared" si="0"/>
        <v>30344433</v>
      </c>
      <c r="L25" s="51"/>
    </row>
    <row r="26" spans="1:12">
      <c r="A26" s="44"/>
      <c r="B26" s="36" t="s">
        <v>44</v>
      </c>
      <c r="C26" s="14"/>
      <c r="D26" s="14"/>
      <c r="E26" s="35"/>
      <c r="F26" s="14"/>
      <c r="G26" s="15"/>
      <c r="H26" s="50">
        <v>3169807.66</v>
      </c>
      <c r="I26" s="230"/>
      <c r="J26" s="50">
        <v>0</v>
      </c>
      <c r="K26" s="50">
        <f t="shared" si="0"/>
        <v>3169808</v>
      </c>
      <c r="L26" s="51"/>
    </row>
    <row r="27" spans="1:12">
      <c r="A27" s="44"/>
      <c r="B27" s="36" t="s">
        <v>46</v>
      </c>
      <c r="C27" s="14"/>
      <c r="D27" s="14"/>
      <c r="E27" s="35"/>
      <c r="F27" s="14"/>
      <c r="G27" s="15"/>
      <c r="H27" s="50">
        <v>11774699.060000001</v>
      </c>
      <c r="I27" s="230"/>
      <c r="J27" s="50">
        <v>0</v>
      </c>
      <c r="K27" s="50">
        <f t="shared" si="0"/>
        <v>11774699</v>
      </c>
      <c r="L27" s="51"/>
    </row>
    <row r="28" spans="1:12">
      <c r="A28" s="44"/>
      <c r="B28" s="36" t="s">
        <v>48</v>
      </c>
      <c r="C28" s="14"/>
      <c r="D28" s="14"/>
      <c r="E28" s="35"/>
      <c r="F28" s="14"/>
      <c r="G28" s="15"/>
      <c r="H28" s="50">
        <v>7257182.9900000002</v>
      </c>
      <c r="I28" s="230"/>
      <c r="J28" s="50">
        <v>1839137</v>
      </c>
      <c r="K28" s="50">
        <f t="shared" si="0"/>
        <v>9096320</v>
      </c>
      <c r="L28" s="51"/>
    </row>
    <row r="29" spans="1:12">
      <c r="A29" s="44"/>
      <c r="B29" s="36" t="s">
        <v>50</v>
      </c>
      <c r="C29" s="14"/>
      <c r="D29" s="14"/>
      <c r="E29" s="35"/>
      <c r="F29" s="14"/>
      <c r="G29" s="15"/>
      <c r="H29" s="50">
        <v>8293498.2300000004</v>
      </c>
      <c r="I29" s="230"/>
      <c r="J29" s="50">
        <v>0</v>
      </c>
      <c r="K29" s="50">
        <f t="shared" si="0"/>
        <v>8293498</v>
      </c>
      <c r="L29" s="51"/>
    </row>
    <row r="30" spans="1:12">
      <c r="A30" s="44"/>
      <c r="B30" s="36" t="s">
        <v>53</v>
      </c>
      <c r="C30" s="14"/>
      <c r="D30" s="14"/>
      <c r="E30" s="35"/>
      <c r="F30" s="14"/>
      <c r="G30" s="15"/>
      <c r="H30" s="231">
        <f>'[22]Accounts by GL'!O481</f>
        <v>11330507.07</v>
      </c>
      <c r="I30" s="230"/>
      <c r="J30" s="58">
        <v>0</v>
      </c>
      <c r="K30" s="58">
        <f t="shared" si="0"/>
        <v>11330507</v>
      </c>
      <c r="L30" s="51"/>
    </row>
    <row r="31" spans="1:12">
      <c r="A31" s="44"/>
      <c r="B31" s="36"/>
      <c r="C31" s="14"/>
      <c r="D31" s="14"/>
      <c r="E31" s="35"/>
      <c r="F31" s="14"/>
      <c r="G31" s="15"/>
      <c r="H31" s="73"/>
      <c r="I31" s="73"/>
      <c r="J31" s="73"/>
      <c r="K31" s="73"/>
      <c r="L31" s="74"/>
    </row>
    <row r="32" spans="1:12">
      <c r="A32" s="14"/>
      <c r="B32" s="65" t="s">
        <v>55</v>
      </c>
      <c r="C32" s="35"/>
      <c r="D32" s="14"/>
      <c r="E32" s="14"/>
      <c r="F32" s="14"/>
      <c r="G32" s="15"/>
      <c r="H32" s="66">
        <f t="array" ref="H32">SUM(ROUND(H24:H30,0))</f>
        <v>167085054</v>
      </c>
      <c r="I32" s="59"/>
      <c r="J32" s="66">
        <f t="array" ref="J32">SUM(ROUND(J24:J30,0))</f>
        <v>3287129</v>
      </c>
      <c r="K32" s="66">
        <f t="array" ref="K32">SUM(ROUND(K24:K30,0))</f>
        <v>170372183</v>
      </c>
      <c r="L32" s="68"/>
    </row>
    <row r="33" spans="1:12">
      <c r="A33" s="44"/>
      <c r="B33" s="76"/>
      <c r="C33" s="14"/>
      <c r="D33" s="14"/>
      <c r="E33" s="35"/>
      <c r="F33" s="14"/>
      <c r="G33" s="15"/>
      <c r="H33" s="59"/>
      <c r="I33" s="59"/>
      <c r="J33" s="59"/>
      <c r="K33" s="59"/>
      <c r="L33" s="77"/>
    </row>
    <row r="34" spans="1:12">
      <c r="A34" s="14"/>
      <c r="B34" s="65" t="str">
        <f>IF(H34&lt;0,IF(J34&gt;0,"Operating Income (Loss)","Operating Loss"),IF(H34&gt;0,IF(J34&gt;=0,"Operating Income","Operating Income (Loss)"),IF(J34&lt;0,"Operating Loss",IF(J34&gt;0,"Operating Income","Operating Income (Loss)"))))</f>
        <v>Operating Loss</v>
      </c>
      <c r="C34" s="35"/>
      <c r="D34" s="14"/>
      <c r="E34" s="14"/>
      <c r="F34" s="14"/>
      <c r="G34" s="15"/>
      <c r="H34" s="66">
        <f>H20-H32</f>
        <v>-109562350</v>
      </c>
      <c r="I34" s="67"/>
      <c r="J34" s="66">
        <f>J20-J32</f>
        <v>-1290462</v>
      </c>
      <c r="K34" s="66">
        <f>K20-K32</f>
        <v>-110852812</v>
      </c>
      <c r="L34" s="68"/>
    </row>
    <row r="35" spans="1:12">
      <c r="A35" s="14"/>
      <c r="B35" s="14"/>
      <c r="C35" s="14"/>
      <c r="D35" s="14"/>
      <c r="E35" s="14"/>
      <c r="F35" s="14"/>
      <c r="G35" s="15"/>
      <c r="H35" s="78"/>
      <c r="I35" s="78"/>
      <c r="J35" s="78"/>
      <c r="K35" s="78"/>
      <c r="L35" s="79"/>
    </row>
    <row r="36" spans="1:12">
      <c r="A36" s="29" t="s">
        <v>56</v>
      </c>
      <c r="B36" s="35"/>
      <c r="C36" s="14"/>
      <c r="D36" s="14"/>
      <c r="E36" s="14"/>
      <c r="F36" s="14"/>
      <c r="G36" s="15"/>
      <c r="H36" s="16"/>
      <c r="I36" s="17"/>
      <c r="J36" s="16"/>
      <c r="K36" s="16"/>
      <c r="L36" s="18"/>
    </row>
    <row r="37" spans="1:12">
      <c r="A37" s="36" t="s">
        <v>59</v>
      </c>
      <c r="B37" s="35"/>
      <c r="C37" s="14"/>
      <c r="D37" s="14"/>
      <c r="E37" s="35"/>
      <c r="F37" s="14"/>
      <c r="G37" s="15"/>
      <c r="H37" s="80">
        <v>57051398.619999997</v>
      </c>
      <c r="I37" s="49"/>
      <c r="J37" s="80">
        <v>0</v>
      </c>
      <c r="K37" s="80">
        <f t="shared" ref="K37:K45" si="1">ROUND(J37,0)+ROUND(H37,0)</f>
        <v>57051399</v>
      </c>
      <c r="L37" s="81"/>
    </row>
    <row r="38" spans="1:12">
      <c r="A38" s="36" t="s">
        <v>61</v>
      </c>
      <c r="B38" s="35"/>
      <c r="C38" s="14"/>
      <c r="D38" s="14"/>
      <c r="E38" s="35"/>
      <c r="F38" s="14"/>
      <c r="G38" s="15"/>
      <c r="H38" s="80">
        <v>47260643.560000002</v>
      </c>
      <c r="I38" s="49"/>
      <c r="J38" s="80">
        <v>0</v>
      </c>
      <c r="K38" s="80">
        <f t="shared" si="1"/>
        <v>47260644</v>
      </c>
      <c r="L38" s="81"/>
    </row>
    <row r="39" spans="1:12">
      <c r="A39" s="36" t="s">
        <v>63</v>
      </c>
      <c r="B39" s="35"/>
      <c r="C39" s="14"/>
      <c r="D39" s="14"/>
      <c r="E39" s="35"/>
      <c r="F39" s="14"/>
      <c r="G39" s="15"/>
      <c r="H39" s="80">
        <v>1131180.8600000001</v>
      </c>
      <c r="I39" s="49"/>
      <c r="J39" s="80">
        <v>272001</v>
      </c>
      <c r="K39" s="80">
        <f t="shared" si="1"/>
        <v>1403182</v>
      </c>
      <c r="L39" s="81"/>
    </row>
    <row r="40" spans="1:12">
      <c r="A40" s="36" t="s">
        <v>66</v>
      </c>
      <c r="B40" s="35"/>
      <c r="C40" s="14"/>
      <c r="D40" s="14"/>
      <c r="E40" s="35"/>
      <c r="F40" s="14"/>
      <c r="G40" s="15"/>
      <c r="H40" s="80">
        <v>251833.75</v>
      </c>
      <c r="I40" s="49"/>
      <c r="J40" s="80">
        <v>1693324</v>
      </c>
      <c r="K40" s="80">
        <f t="shared" si="1"/>
        <v>1945158</v>
      </c>
      <c r="L40" s="81"/>
    </row>
    <row r="41" spans="1:12">
      <c r="A41" s="36" t="str">
        <f>IF(H41&lt;0,IF(J41&gt;0,"Net Gain (Loss) on Investments","Net Loss on Investments"),IF(H41&gt;0,IF(J41&gt;=0,"Net Gain on Investments","Net Gain (Loss) on Investments"),IF(J41&lt;0,"Net Loss on Investments",IF(J41&gt;0,"Net Gain on Investments","Net Gain (Loss) on Investments"))))</f>
        <v>Net Gain (Loss) on Investments</v>
      </c>
      <c r="B41" s="35"/>
      <c r="C41" s="14"/>
      <c r="D41" s="14"/>
      <c r="E41" s="35"/>
      <c r="F41" s="14"/>
      <c r="G41" s="15"/>
      <c r="H41" s="80">
        <v>0</v>
      </c>
      <c r="I41" s="49"/>
      <c r="J41" s="80">
        <v>0</v>
      </c>
      <c r="K41" s="80">
        <f t="shared" si="1"/>
        <v>0</v>
      </c>
      <c r="L41" s="81"/>
    </row>
    <row r="42" spans="1:12">
      <c r="A42" s="36" t="s">
        <v>69</v>
      </c>
      <c r="B42" s="35"/>
      <c r="C42" s="14"/>
      <c r="D42" s="14"/>
      <c r="E42" s="35"/>
      <c r="F42" s="14"/>
      <c r="G42" s="15"/>
      <c r="H42" s="80">
        <v>0</v>
      </c>
      <c r="I42" s="49"/>
      <c r="J42" s="80">
        <v>0</v>
      </c>
      <c r="K42" s="80">
        <f t="shared" si="1"/>
        <v>0</v>
      </c>
      <c r="L42" s="81"/>
    </row>
    <row r="43" spans="1:12">
      <c r="A43" s="36" t="str">
        <f>IF(H43&lt;0,IF(J43&gt;0,"Gain (Loss) on Disposal of Capital Assets","Loss on Disposal of Capital Assets"),IF(H43&gt;0,IF(J43&gt;=0,"Gain on Disposal of Capital Assets","Gain (Loss) on Disposal of Capital Assets"),IF(J43&lt;0,"Loss on Disposal of Capital Assets",IF(J43&gt;0,"Gain on Disposal of Capital Assets","Gain (Loss) on Disposal of Capital Assets"))))</f>
        <v>Gain on Disposal of Capital Assets</v>
      </c>
      <c r="B43" s="35"/>
      <c r="C43" s="14"/>
      <c r="D43" s="14"/>
      <c r="E43" s="35"/>
      <c r="F43" s="14"/>
      <c r="G43" s="15"/>
      <c r="H43" s="80">
        <v>110084.82</v>
      </c>
      <c r="I43" s="49"/>
      <c r="J43" s="80">
        <v>0</v>
      </c>
      <c r="K43" s="80">
        <f t="shared" si="1"/>
        <v>110085</v>
      </c>
      <c r="L43" s="81"/>
    </row>
    <row r="44" spans="1:12">
      <c r="A44" s="36" t="s">
        <v>73</v>
      </c>
      <c r="B44" s="35"/>
      <c r="C44" s="35"/>
      <c r="D44" s="35"/>
      <c r="E44" s="35"/>
      <c r="F44" s="35"/>
      <c r="G44" s="35"/>
      <c r="H44" s="80">
        <v>-688536.84</v>
      </c>
      <c r="I44" s="49"/>
      <c r="J44" s="80">
        <v>0</v>
      </c>
      <c r="K44" s="80">
        <f t="shared" si="1"/>
        <v>-688537</v>
      </c>
      <c r="L44" s="81"/>
    </row>
    <row r="45" spans="1:12">
      <c r="A45" s="36" t="s">
        <v>75</v>
      </c>
      <c r="B45" s="35"/>
      <c r="C45" s="14"/>
      <c r="D45" s="14"/>
      <c r="E45" s="35"/>
      <c r="F45" s="14"/>
      <c r="G45" s="15"/>
      <c r="H45" s="82">
        <v>0</v>
      </c>
      <c r="I45" s="49"/>
      <c r="J45" s="82">
        <v>0</v>
      </c>
      <c r="K45" s="82">
        <f t="shared" si="1"/>
        <v>0</v>
      </c>
      <c r="L45" s="81"/>
    </row>
    <row r="46" spans="1:12">
      <c r="A46" s="35"/>
      <c r="B46" s="35"/>
      <c r="C46" s="35"/>
      <c r="D46" s="35"/>
      <c r="E46" s="35"/>
      <c r="F46" s="35"/>
      <c r="G46" s="35"/>
      <c r="H46" s="83"/>
      <c r="I46" s="84"/>
      <c r="J46" s="83"/>
      <c r="K46" s="83"/>
      <c r="L46" s="85"/>
    </row>
    <row r="47" spans="1:12">
      <c r="A47" s="29" t="s">
        <v>77</v>
      </c>
      <c r="B47" s="35"/>
      <c r="C47" s="14"/>
      <c r="D47" s="14"/>
      <c r="E47" s="14"/>
      <c r="F47" s="14"/>
      <c r="G47" s="15"/>
      <c r="H47" s="66">
        <f t="array" ref="H47">SUM(ROUND(H37:H45,0))</f>
        <v>105116606</v>
      </c>
      <c r="I47" s="59"/>
      <c r="J47" s="66">
        <f t="array" ref="J47">SUM(ROUND(J37:J45,0))</f>
        <v>1965325</v>
      </c>
      <c r="K47" s="66">
        <f t="array" ref="K47">SUM(ROUND(K37:K45,0))</f>
        <v>107081931</v>
      </c>
      <c r="L47" s="68"/>
    </row>
    <row r="48" spans="1:12">
      <c r="A48" s="86"/>
      <c r="B48" s="87"/>
      <c r="C48" s="15"/>
      <c r="D48" s="15"/>
      <c r="E48" s="15"/>
      <c r="F48" s="15"/>
      <c r="G48" s="15"/>
      <c r="H48" s="59"/>
      <c r="I48" s="59"/>
      <c r="J48" s="59"/>
      <c r="K48" s="59"/>
      <c r="L48" s="77"/>
    </row>
    <row r="49" spans="1:12">
      <c r="A49" s="65" t="str">
        <f>IF(H50&lt;0,IF(J50&gt;0,"Income (Loss) Before Other Revenues,","Loss Before Other Revenues,"),IF(H50&gt;0,IF(J50&gt;=0,"Income Before Other Revenues,","Income (Loss) Before Other Revenues,"),IF(J59&lt;0,"Loss Before Other Revenues,",IF(J59&gt;0,"Income Before Other Revenues,","Income (Loss) Before Other Revenues,"))))</f>
        <v>Income (Loss) Before Other Revenues,</v>
      </c>
      <c r="B49" s="35"/>
      <c r="C49" s="35"/>
      <c r="D49" s="14"/>
      <c r="E49" s="14"/>
      <c r="F49" s="14"/>
      <c r="G49" s="15"/>
      <c r="H49" s="35"/>
      <c r="I49" s="35"/>
      <c r="J49" s="35"/>
      <c r="K49" s="35"/>
      <c r="L49" s="37"/>
    </row>
    <row r="50" spans="1:12">
      <c r="A50" s="14"/>
      <c r="B50" s="29" t="s">
        <v>78</v>
      </c>
      <c r="C50" s="14"/>
      <c r="D50" s="14"/>
      <c r="E50" s="14"/>
      <c r="F50" s="14"/>
      <c r="G50" s="15"/>
      <c r="H50" s="66">
        <f>H34+H47</f>
        <v>-4445744</v>
      </c>
      <c r="I50" s="59"/>
      <c r="J50" s="66">
        <f>J34+J47</f>
        <v>674863</v>
      </c>
      <c r="K50" s="66">
        <f>K34+K47</f>
        <v>-3770881</v>
      </c>
      <c r="L50" s="68"/>
    </row>
    <row r="51" spans="1:12">
      <c r="A51" s="14"/>
      <c r="B51" s="29"/>
      <c r="C51" s="14"/>
      <c r="D51" s="14"/>
      <c r="E51" s="14"/>
      <c r="F51" s="14"/>
      <c r="G51" s="15"/>
      <c r="H51" s="17"/>
      <c r="I51" s="17"/>
      <c r="J51" s="17"/>
      <c r="K51" s="17"/>
      <c r="L51" s="18"/>
    </row>
    <row r="52" spans="1:12">
      <c r="A52" s="36" t="s">
        <v>80</v>
      </c>
      <c r="B52" s="35"/>
      <c r="C52" s="14"/>
      <c r="D52" s="14"/>
      <c r="E52" s="14"/>
      <c r="F52" s="35"/>
      <c r="G52" s="15"/>
      <c r="H52" s="80">
        <v>7404045.4500000002</v>
      </c>
      <c r="I52" s="49"/>
      <c r="J52" s="80">
        <v>0</v>
      </c>
      <c r="K52" s="80">
        <f>ROUND(J52,0)+ROUND(H52,0)</f>
        <v>7404045</v>
      </c>
      <c r="L52" s="81"/>
    </row>
    <row r="53" spans="1:12">
      <c r="A53" s="36" t="s">
        <v>83</v>
      </c>
      <c r="B53" s="35"/>
      <c r="C53" s="14"/>
      <c r="D53" s="14"/>
      <c r="E53" s="14"/>
      <c r="F53" s="35"/>
      <c r="G53" s="15"/>
      <c r="H53" s="50">
        <v>5081853.32</v>
      </c>
      <c r="I53" s="230"/>
      <c r="J53" s="50">
        <v>0</v>
      </c>
      <c r="K53" s="50">
        <f>ROUND(J53,0)+ROUND(H53,0)</f>
        <v>5081853</v>
      </c>
      <c r="L53" s="51"/>
    </row>
    <row r="54" spans="1:12">
      <c r="A54" s="14" t="s">
        <v>86</v>
      </c>
      <c r="B54" s="35"/>
      <c r="C54" s="14"/>
      <c r="D54" s="14"/>
      <c r="E54" s="14"/>
      <c r="F54" s="35"/>
      <c r="G54" s="15"/>
      <c r="H54" s="89">
        <v>0</v>
      </c>
      <c r="I54" s="230"/>
      <c r="J54" s="89">
        <v>0</v>
      </c>
      <c r="K54" s="89">
        <f>ROUND(J54,0)+ROUND(H54,0)</f>
        <v>0</v>
      </c>
      <c r="L54" s="51"/>
    </row>
    <row r="55" spans="1:12">
      <c r="A55" s="76" t="str">
        <f>IF(H55&lt;0,IF(J55&gt;0,"Other Revenues (Expenses)","Other Expenses"),IF(H55&gt;0,IF(J55&gt;=0,"Other Revenues","Other Revenues (Expenses)"),IF(J55&lt;0,"Other Expenses",IF(J55&gt;0,"Other Revenues","Other Revenues (Expenses)"))))</f>
        <v>Other Revenues (Expenses)</v>
      </c>
      <c r="B55" s="35"/>
      <c r="C55" s="14"/>
      <c r="D55" s="14"/>
      <c r="E55" s="14"/>
      <c r="F55" s="35"/>
      <c r="G55" s="15"/>
      <c r="H55" s="58">
        <v>0</v>
      </c>
      <c r="I55" s="230"/>
      <c r="J55" s="58">
        <v>0</v>
      </c>
      <c r="K55" s="58">
        <f>ROUND(J55,0)+ROUND(H55,0)</f>
        <v>0</v>
      </c>
      <c r="L55" s="51"/>
    </row>
    <row r="56" spans="1:12">
      <c r="A56" s="35"/>
      <c r="B56" s="35"/>
      <c r="C56" s="14"/>
      <c r="D56" s="14"/>
      <c r="E56" s="14"/>
      <c r="F56" s="14"/>
      <c r="G56" s="15"/>
      <c r="H56" s="83"/>
      <c r="I56" s="84"/>
      <c r="J56" s="83"/>
      <c r="K56" s="83"/>
      <c r="L56" s="85"/>
    </row>
    <row r="57" spans="1:12">
      <c r="A57" s="29" t="s">
        <v>89</v>
      </c>
      <c r="B57" s="35"/>
      <c r="C57" s="35"/>
      <c r="D57" s="14"/>
      <c r="E57" s="14"/>
      <c r="F57" s="14"/>
      <c r="G57" s="15"/>
      <c r="H57" s="90">
        <f t="array" ref="H57">SUM(ROUND(H52:H55,0))</f>
        <v>12485898</v>
      </c>
      <c r="I57" s="59"/>
      <c r="J57" s="90">
        <f t="array" ref="J57">SUM(ROUND(J52:J55,0))</f>
        <v>0</v>
      </c>
      <c r="K57" s="90">
        <f t="array" ref="K57">SUM(ROUND(K52:K55,0))</f>
        <v>12485898</v>
      </c>
      <c r="L57" s="91"/>
    </row>
    <row r="58" spans="1:12">
      <c r="A58" s="29"/>
      <c r="B58" s="35"/>
      <c r="C58" s="35"/>
      <c r="D58" s="14"/>
      <c r="E58" s="14"/>
      <c r="F58" s="14"/>
      <c r="G58" s="15"/>
      <c r="H58" s="59"/>
      <c r="I58" s="59"/>
      <c r="J58" s="59"/>
      <c r="K58" s="59"/>
      <c r="L58" s="77"/>
    </row>
    <row r="59" spans="1:12">
      <c r="A59" s="65" t="str">
        <f>IF(H59&lt;0,IF(J59&gt;0,"Increase (Decrease) in Net Position","Decrease in Net Position"),IF(H59&gt;0,IF(J59&gt;=0,"Increase in Net Position","Increase (Decrease) in Net Position"),IF(J59&lt;0,"Decrease in Net Position",IF(J59&gt;0,"Increase in Net Position","Increase (Decrease) in Net Position"))))</f>
        <v>Increase in Net Position</v>
      </c>
      <c r="B59" s="35"/>
      <c r="C59" s="35"/>
      <c r="D59" s="14"/>
      <c r="E59" s="14"/>
      <c r="F59" s="14"/>
      <c r="G59" s="15"/>
      <c r="H59" s="90">
        <f>H50+H57</f>
        <v>8040154</v>
      </c>
      <c r="I59" s="92"/>
      <c r="J59" s="90">
        <f>J50+J57</f>
        <v>674863</v>
      </c>
      <c r="K59" s="90">
        <f>K50+K57</f>
        <v>8715017</v>
      </c>
      <c r="L59" s="91"/>
    </row>
    <row r="60" spans="1:12">
      <c r="A60" s="93"/>
      <c r="B60" s="35"/>
      <c r="C60" s="35"/>
      <c r="D60" s="14"/>
      <c r="E60" s="14"/>
      <c r="F60" s="14"/>
      <c r="G60" s="15"/>
      <c r="H60" s="94"/>
      <c r="I60" s="94"/>
      <c r="J60" s="94"/>
      <c r="K60" s="94"/>
      <c r="L60" s="95"/>
    </row>
    <row r="61" spans="1:12">
      <c r="A61" s="14" t="s">
        <v>91</v>
      </c>
      <c r="B61" s="35"/>
      <c r="C61" s="14"/>
      <c r="D61" s="14"/>
      <c r="E61" s="14"/>
      <c r="F61" s="14"/>
      <c r="G61" s="15"/>
      <c r="H61" s="96">
        <f>VLOOKUP($A$1,[22]VLOOKUPS!A44:D71,2,FALSE)</f>
        <v>258962011</v>
      </c>
      <c r="I61" s="49"/>
      <c r="J61" s="96">
        <f>VLOOKUP($A$1,[22]VLOOKUPS!A44:D71,3,FALSE)</f>
        <v>31670321</v>
      </c>
      <c r="K61" s="89">
        <f>ROUND(J61,0)+ROUND(H61,0)</f>
        <v>290632332</v>
      </c>
      <c r="L61" s="97"/>
    </row>
    <row r="62" spans="1:12">
      <c r="A62" s="14" t="s">
        <v>94</v>
      </c>
      <c r="B62" s="35"/>
      <c r="C62" s="14"/>
      <c r="D62" s="14"/>
      <c r="E62" s="14"/>
      <c r="F62" s="14"/>
      <c r="G62" s="15"/>
      <c r="H62" s="82">
        <v>-33828218</v>
      </c>
      <c r="I62" s="49"/>
      <c r="J62" s="82">
        <v>0</v>
      </c>
      <c r="K62" s="82">
        <f>ROUND(J62,0)+ROUND(H62,0)</f>
        <v>-33828218</v>
      </c>
      <c r="L62" s="81"/>
    </row>
    <row r="63" spans="1:12">
      <c r="A63" s="36"/>
      <c r="B63" s="36"/>
      <c r="C63" s="36"/>
      <c r="D63" s="36"/>
      <c r="E63" s="36"/>
      <c r="F63" s="98"/>
      <c r="G63" s="36"/>
      <c r="H63" s="92"/>
      <c r="I63" s="99"/>
      <c r="J63" s="99"/>
      <c r="K63" s="99"/>
      <c r="L63" s="100"/>
    </row>
    <row r="64" spans="1:12">
      <c r="A64" s="101" t="s">
        <v>95</v>
      </c>
      <c r="B64" s="36"/>
      <c r="C64" s="36"/>
      <c r="D64" s="36"/>
      <c r="E64" s="36"/>
      <c r="F64" s="60"/>
      <c r="G64" s="60"/>
      <c r="H64" s="90">
        <f t="array" ref="H64">SUM(ROUND(H61:H62,0))</f>
        <v>225133793</v>
      </c>
      <c r="I64" s="92"/>
      <c r="J64" s="90">
        <f t="array" ref="J64">SUM(ROUND(J61:J62,0))</f>
        <v>31670321</v>
      </c>
      <c r="K64" s="90">
        <f t="array" ref="K64">SUM(ROUND(K61:K62,0))</f>
        <v>256804114</v>
      </c>
      <c r="L64" s="91"/>
    </row>
    <row r="65" spans="1:12">
      <c r="A65" s="36"/>
      <c r="B65" s="36"/>
      <c r="C65" s="36"/>
      <c r="D65" s="36"/>
      <c r="E65" s="36"/>
      <c r="F65" s="102"/>
      <c r="G65" s="36"/>
      <c r="H65" s="102"/>
      <c r="I65" s="60"/>
      <c r="J65" s="60"/>
      <c r="K65" s="60"/>
      <c r="L65" s="61"/>
    </row>
    <row r="66" spans="1:12" ht="13.5" thickBot="1">
      <c r="A66" s="29" t="s">
        <v>96</v>
      </c>
      <c r="B66" s="35"/>
      <c r="C66" s="14"/>
      <c r="D66" s="14"/>
      <c r="E66" s="14"/>
      <c r="F66" s="14"/>
      <c r="G66" s="103"/>
      <c r="H66" s="104">
        <f>H59+H64</f>
        <v>233173947</v>
      </c>
      <c r="I66" s="105"/>
      <c r="J66" s="104">
        <f>J59+J64</f>
        <v>32345184</v>
      </c>
      <c r="K66" s="104">
        <f>K59+K64</f>
        <v>265519131</v>
      </c>
      <c r="L66" s="46"/>
    </row>
    <row r="67" spans="1:12" ht="13.5" thickTop="1">
      <c r="A67" s="14"/>
      <c r="B67" s="14"/>
      <c r="C67" s="14"/>
      <c r="D67" s="14"/>
      <c r="E67" s="14"/>
      <c r="F67" s="14"/>
      <c r="G67" s="15"/>
      <c r="H67" s="107"/>
      <c r="I67" s="15"/>
      <c r="J67" s="107"/>
      <c r="K67" s="107"/>
      <c r="L67" s="108"/>
    </row>
    <row r="68" spans="1:12">
      <c r="A68" s="35" t="s">
        <v>97</v>
      </c>
      <c r="B68" s="35"/>
      <c r="C68" s="35"/>
      <c r="D68" s="35"/>
      <c r="E68" s="35"/>
      <c r="F68" s="35"/>
      <c r="G68" s="87"/>
      <c r="H68" s="35"/>
      <c r="I68" s="87"/>
      <c r="J68" s="35"/>
      <c r="K68" s="35"/>
      <c r="L68" s="37"/>
    </row>
    <row r="69" spans="1:12">
      <c r="G69" s="6"/>
      <c r="H69" s="109">
        <f>H66-[22]SNP!K119</f>
        <v>0</v>
      </c>
      <c r="I69" s="110"/>
      <c r="J69" s="111">
        <f>J66-[22]SNP!M119</f>
        <v>0</v>
      </c>
      <c r="K69" s="111">
        <f>K66-[22]SNP!N119</f>
        <v>2</v>
      </c>
      <c r="L69" s="112"/>
    </row>
    <row r="70" spans="1:12">
      <c r="G70" s="113" t="s">
        <v>98</v>
      </c>
      <c r="H70" s="114"/>
      <c r="I70" s="115"/>
      <c r="J70" s="114"/>
      <c r="K70" s="114"/>
      <c r="L70" s="114"/>
    </row>
  </sheetData>
  <sheetProtection formatColumns="0" formatRows="0"/>
  <conditionalFormatting sqref="H69 J69">
    <cfRule type="cellIs" dxfId="164" priority="14" operator="notEqual">
      <formula>0</formula>
    </cfRule>
    <cfRule type="cellIs" dxfId="163" priority="15" operator="equal">
      <formula>0</formula>
    </cfRule>
  </conditionalFormatting>
  <conditionalFormatting sqref="H11:H15 D11:E11 J24:J30 J37:J45 H37:H45 J62 H62 J17:J18 H25:H29 H17:H18 D17:E17 J11:J15 J52:J55 H52:H55">
    <cfRule type="containsBlanks" dxfId="162" priority="12">
      <formula>LEN(TRIM(D11))=0</formula>
    </cfRule>
    <cfRule type="cellIs" dxfId="161" priority="13" operator="notEqual">
      <formula>0</formula>
    </cfRule>
  </conditionalFormatting>
  <conditionalFormatting sqref="H11">
    <cfRule type="cellIs" dxfId="160" priority="11" operator="notEqual">
      <formula>H20</formula>
    </cfRule>
  </conditionalFormatting>
  <conditionalFormatting sqref="J11">
    <cfRule type="cellIs" dxfId="159" priority="10" operator="notEqual">
      <formula>J20</formula>
    </cfRule>
  </conditionalFormatting>
  <conditionalFormatting sqref="K69">
    <cfRule type="cellIs" dxfId="158" priority="8" operator="notEqual">
      <formula>0</formula>
    </cfRule>
    <cfRule type="cellIs" dxfId="157" priority="9" operator="equal">
      <formula>0</formula>
    </cfRule>
  </conditionalFormatting>
  <conditionalFormatting sqref="K24:K30 K37:K45 K62 K17:K18 K11:K15 K52:K55">
    <cfRule type="containsBlanks" dxfId="156" priority="6">
      <formula>LEN(TRIM(K11))=0</formula>
    </cfRule>
    <cfRule type="cellIs" dxfId="155" priority="7" operator="notEqual">
      <formula>0</formula>
    </cfRule>
  </conditionalFormatting>
  <conditionalFormatting sqref="K11">
    <cfRule type="cellIs" dxfId="154" priority="5" operator="notEqual">
      <formula>K20</formula>
    </cfRule>
  </conditionalFormatting>
  <conditionalFormatting sqref="H24">
    <cfRule type="containsBlanks" dxfId="153" priority="3">
      <formula>LEN(TRIM(H24))=0</formula>
    </cfRule>
    <cfRule type="cellIs" dxfId="152" priority="4" operator="notEqual">
      <formula>0</formula>
    </cfRule>
  </conditionalFormatting>
  <conditionalFormatting sqref="K61">
    <cfRule type="containsBlanks" dxfId="151" priority="1">
      <formula>LEN(TRIM(K61))=0</formula>
    </cfRule>
    <cfRule type="cellIs" dxfId="150" priority="2" operator="notEqual">
      <formula>0</formula>
    </cfRule>
  </conditionalFormatting>
  <printOptions horizontalCentered="1"/>
  <pageMargins left="0.7" right="0.7" top="0.75" bottom="0.75" header="0.5" footer="0.5"/>
  <pageSetup scale="54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  <pageSetUpPr fitToPage="1"/>
  </sheetPr>
  <dimension ref="A1:T70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0" style="1" hidden="1" customWidth="1"/>
    <col min="2" max="2" width="0" style="20" hidden="1" customWidth="1"/>
    <col min="3" max="8" width="11.140625" style="6"/>
    <col min="9" max="9" width="11.140625" style="11"/>
    <col min="10" max="10" width="14.28515625" style="6" customWidth="1"/>
    <col min="11" max="11" width="11.140625" style="11"/>
    <col min="12" max="12" width="15.5703125" style="6" customWidth="1"/>
    <col min="13" max="13" width="15.85546875" style="6" customWidth="1"/>
    <col min="14" max="14" width="11.140625" style="6"/>
    <col min="15" max="15" width="11.140625" style="10"/>
    <col min="16" max="20" width="11.140625" style="5"/>
    <col min="21" max="16384" width="11.140625" style="6"/>
  </cols>
  <sheetData>
    <row r="1" spans="1:14">
      <c r="B1" s="2"/>
      <c r="C1" s="260" t="str">
        <f>'[23]Contact Information'!$C$5</f>
        <v>PASCO-HERNANDO STATE COLLEGE</v>
      </c>
      <c r="D1" s="260"/>
      <c r="E1" s="260"/>
      <c r="F1" s="260"/>
      <c r="G1" s="260"/>
      <c r="H1" s="260"/>
      <c r="I1" s="260"/>
      <c r="J1" s="260"/>
      <c r="K1" s="260"/>
      <c r="L1" s="260"/>
      <c r="M1" s="247"/>
      <c r="N1" s="3"/>
    </row>
    <row r="2" spans="1:14">
      <c r="B2" s="2"/>
      <c r="C2" s="256" t="s">
        <v>0</v>
      </c>
      <c r="D2" s="256"/>
      <c r="E2" s="256"/>
      <c r="F2" s="256"/>
      <c r="G2" s="256"/>
      <c r="H2" s="256"/>
      <c r="I2" s="256"/>
      <c r="J2" s="256"/>
      <c r="K2" s="256"/>
      <c r="L2" s="256"/>
      <c r="M2" s="245"/>
      <c r="N2" s="7"/>
    </row>
    <row r="3" spans="1:14">
      <c r="B3" s="2"/>
      <c r="C3" s="86" t="s">
        <v>1</v>
      </c>
      <c r="D3" s="86"/>
      <c r="E3" s="86"/>
      <c r="F3" s="86"/>
      <c r="G3" s="86"/>
      <c r="H3" s="86"/>
      <c r="I3" s="86"/>
      <c r="J3" s="86"/>
      <c r="K3" s="86"/>
      <c r="L3" s="86"/>
      <c r="M3" s="248"/>
      <c r="N3" s="9" t="s">
        <v>2</v>
      </c>
    </row>
    <row r="4" spans="1:14">
      <c r="B4" s="2"/>
      <c r="C4" s="261" t="s">
        <v>297</v>
      </c>
      <c r="D4" s="261"/>
      <c r="E4" s="261"/>
      <c r="F4" s="261"/>
      <c r="G4" s="261"/>
      <c r="H4" s="261"/>
      <c r="I4" s="261"/>
      <c r="J4" s="261"/>
      <c r="K4" s="261"/>
      <c r="L4" s="261"/>
      <c r="M4" s="249"/>
      <c r="N4" s="11" t="str">
        <f>'[23]Contact Information'!$C$3</f>
        <v>2015.v02</v>
      </c>
    </row>
    <row r="5" spans="1:14">
      <c r="A5" s="12"/>
      <c r="B5" s="13"/>
      <c r="C5" s="14"/>
      <c r="D5" s="14"/>
      <c r="E5" s="14"/>
      <c r="F5" s="14"/>
      <c r="G5" s="14"/>
      <c r="H5" s="14"/>
      <c r="I5" s="15"/>
      <c r="J5" s="16"/>
      <c r="K5" s="17"/>
      <c r="L5" s="16"/>
      <c r="M5" s="16"/>
      <c r="N5" s="18"/>
    </row>
    <row r="6" spans="1:14">
      <c r="C6" s="14"/>
      <c r="D6" s="14"/>
      <c r="E6" s="14"/>
      <c r="F6" s="14"/>
      <c r="G6" s="14"/>
      <c r="H6" s="14"/>
      <c r="I6" s="15"/>
      <c r="J6" s="249" t="s">
        <v>5</v>
      </c>
      <c r="K6" s="21"/>
      <c r="L6" s="22" t="s">
        <v>6</v>
      </c>
      <c r="M6" s="22" t="s">
        <v>7</v>
      </c>
      <c r="N6" s="23"/>
    </row>
    <row r="7" spans="1:14">
      <c r="C7" s="14"/>
      <c r="D7" s="14"/>
      <c r="E7" s="14"/>
      <c r="F7" s="14"/>
      <c r="G7" s="14"/>
      <c r="H7" s="14"/>
      <c r="I7" s="15"/>
      <c r="J7" s="24"/>
      <c r="K7" s="25"/>
      <c r="L7" s="26" t="str">
        <f>[23]SNP!$M$9</f>
        <v>Unit</v>
      </c>
      <c r="M7" s="26"/>
      <c r="N7" s="27"/>
    </row>
    <row r="8" spans="1:14">
      <c r="C8" s="29" t="s">
        <v>9</v>
      </c>
      <c r="D8" s="14"/>
      <c r="E8" s="14"/>
      <c r="F8" s="14"/>
      <c r="G8" s="14"/>
      <c r="H8" s="14"/>
      <c r="I8" s="15"/>
      <c r="J8" s="25"/>
      <c r="K8" s="25"/>
      <c r="L8" s="25"/>
      <c r="M8" s="25"/>
      <c r="N8" s="30"/>
    </row>
    <row r="9" spans="1:14">
      <c r="A9" s="32" t="s">
        <v>10</v>
      </c>
      <c r="B9" s="33" t="s">
        <v>11</v>
      </c>
      <c r="C9" s="14" t="s">
        <v>12</v>
      </c>
      <c r="D9" s="14"/>
      <c r="E9" s="14"/>
      <c r="F9" s="14"/>
      <c r="G9" s="14"/>
      <c r="H9" s="14"/>
      <c r="I9" s="15"/>
      <c r="J9" s="17"/>
      <c r="K9" s="17"/>
      <c r="L9" s="17"/>
      <c r="M9" s="17"/>
      <c r="N9" s="18"/>
    </row>
    <row r="10" spans="1:14">
      <c r="B10" s="34"/>
      <c r="C10" s="35"/>
      <c r="D10" s="36" t="s">
        <v>14</v>
      </c>
      <c r="E10" s="14"/>
      <c r="F10" s="14"/>
      <c r="G10" s="14"/>
      <c r="H10" s="14"/>
      <c r="I10" s="35"/>
      <c r="J10" s="35"/>
      <c r="K10" s="17"/>
      <c r="L10" s="35"/>
      <c r="M10" s="35"/>
      <c r="N10" s="37"/>
    </row>
    <row r="11" spans="1:14">
      <c r="A11" s="1" t="s">
        <v>17</v>
      </c>
      <c r="B11" s="34" t="s">
        <v>18</v>
      </c>
      <c r="C11" s="35"/>
      <c r="D11" s="44" t="s">
        <v>19</v>
      </c>
      <c r="E11" s="35"/>
      <c r="F11" s="263">
        <v>10985451</v>
      </c>
      <c r="G11" s="263"/>
      <c r="H11" s="45"/>
      <c r="I11" s="36"/>
      <c r="J11" s="228">
        <v>11622253.74</v>
      </c>
      <c r="K11" s="229"/>
      <c r="L11" s="228">
        <v>0</v>
      </c>
      <c r="M11" s="228">
        <f>ROUND(L11,0)+ROUND(J11,0)</f>
        <v>11622254</v>
      </c>
      <c r="N11" s="46"/>
    </row>
    <row r="12" spans="1:14">
      <c r="A12" s="1" t="s">
        <v>20</v>
      </c>
      <c r="B12" s="34" t="s">
        <v>21</v>
      </c>
      <c r="C12" s="35"/>
      <c r="D12" s="36" t="s">
        <v>22</v>
      </c>
      <c r="E12" s="14"/>
      <c r="F12" s="48"/>
      <c r="G12" s="49"/>
      <c r="H12" s="15"/>
      <c r="I12" s="35"/>
      <c r="J12" s="50">
        <v>1219224.05</v>
      </c>
      <c r="K12" s="230"/>
      <c r="L12" s="50">
        <v>0</v>
      </c>
      <c r="M12" s="50">
        <f>ROUND(L12,0)+ROUND(J12,0)</f>
        <v>1219224</v>
      </c>
      <c r="N12" s="51"/>
    </row>
    <row r="13" spans="1:14">
      <c r="A13" s="1" t="s">
        <v>23</v>
      </c>
      <c r="B13" s="34" t="s">
        <v>21</v>
      </c>
      <c r="C13" s="35"/>
      <c r="D13" s="36" t="s">
        <v>24</v>
      </c>
      <c r="E13" s="14"/>
      <c r="F13" s="48"/>
      <c r="G13" s="48"/>
      <c r="H13" s="14"/>
      <c r="I13" s="35"/>
      <c r="J13" s="50">
        <v>227285.24</v>
      </c>
      <c r="K13" s="230"/>
      <c r="L13" s="50">
        <v>28750</v>
      </c>
      <c r="M13" s="50">
        <f>ROUND(L13,0)+ROUND(J13,0)</f>
        <v>256035</v>
      </c>
      <c r="N13" s="51"/>
    </row>
    <row r="14" spans="1:14">
      <c r="A14" s="1" t="s">
        <v>25</v>
      </c>
      <c r="B14" s="34" t="s">
        <v>21</v>
      </c>
      <c r="C14" s="35"/>
      <c r="D14" s="36" t="s">
        <v>26</v>
      </c>
      <c r="E14" s="14"/>
      <c r="F14" s="48"/>
      <c r="G14" s="48"/>
      <c r="H14" s="14"/>
      <c r="I14" s="35"/>
      <c r="J14" s="50">
        <v>359349.44</v>
      </c>
      <c r="K14" s="230"/>
      <c r="L14" s="50">
        <v>1810951</v>
      </c>
      <c r="M14" s="50">
        <f>ROUND(L14,0)+ROUND(J14,0)</f>
        <v>2170300</v>
      </c>
      <c r="N14" s="51"/>
    </row>
    <row r="15" spans="1:14">
      <c r="A15" s="1" t="s">
        <v>27</v>
      </c>
      <c r="B15" s="34" t="s">
        <v>18</v>
      </c>
      <c r="C15" s="35"/>
      <c r="D15" s="36" t="s">
        <v>28</v>
      </c>
      <c r="E15" s="14"/>
      <c r="F15" s="48"/>
      <c r="G15" s="48"/>
      <c r="H15" s="35"/>
      <c r="I15" s="35"/>
      <c r="J15" s="50">
        <v>11625</v>
      </c>
      <c r="K15" s="230"/>
      <c r="L15" s="50">
        <v>0</v>
      </c>
      <c r="M15" s="50">
        <f>ROUND(L15,0)+ROUND(J15,0)</f>
        <v>11625</v>
      </c>
      <c r="N15" s="51"/>
    </row>
    <row r="16" spans="1:14">
      <c r="A16" s="52"/>
      <c r="B16" s="53"/>
      <c r="C16" s="35"/>
      <c r="D16" s="36" t="s">
        <v>29</v>
      </c>
      <c r="E16" s="14"/>
      <c r="F16" s="54"/>
      <c r="G16" s="49"/>
      <c r="H16" s="55"/>
      <c r="I16" s="35"/>
      <c r="J16" s="35"/>
      <c r="K16" s="230"/>
      <c r="L16" s="35"/>
      <c r="M16" s="35"/>
      <c r="N16" s="37"/>
    </row>
    <row r="17" spans="1:14">
      <c r="A17" s="52" t="s">
        <v>30</v>
      </c>
      <c r="B17" s="53" t="s">
        <v>18</v>
      </c>
      <c r="C17" s="35"/>
      <c r="D17" s="44" t="s">
        <v>19</v>
      </c>
      <c r="E17" s="35"/>
      <c r="F17" s="263">
        <v>2192686</v>
      </c>
      <c r="G17" s="263"/>
      <c r="H17" s="55"/>
      <c r="I17" s="35"/>
      <c r="J17" s="50">
        <v>3212067.3</v>
      </c>
      <c r="K17" s="230"/>
      <c r="L17" s="50">
        <v>0</v>
      </c>
      <c r="M17" s="50">
        <f>ROUND(L17,0)+ROUND(J17,0)</f>
        <v>3212067</v>
      </c>
      <c r="N17" s="51"/>
    </row>
    <row r="18" spans="1:14">
      <c r="A18" s="52" t="s">
        <v>31</v>
      </c>
      <c r="B18" s="56" t="s">
        <v>32</v>
      </c>
      <c r="C18" s="35"/>
      <c r="D18" s="57" t="s">
        <v>33</v>
      </c>
      <c r="E18" s="14"/>
      <c r="F18" s="14"/>
      <c r="G18" s="14"/>
      <c r="H18" s="14"/>
      <c r="I18" s="36"/>
      <c r="J18" s="58">
        <v>380885.06</v>
      </c>
      <c r="K18" s="230"/>
      <c r="L18" s="58">
        <v>443166</v>
      </c>
      <c r="M18" s="58">
        <f>ROUND(L18,0)+ROUND(J18,0)</f>
        <v>824051</v>
      </c>
      <c r="N18" s="51"/>
    </row>
    <row r="19" spans="1:14">
      <c r="A19" s="52"/>
      <c r="B19" s="56"/>
      <c r="C19" s="36"/>
      <c r="D19" s="36"/>
      <c r="E19" s="36"/>
      <c r="F19" s="36"/>
      <c r="G19" s="36"/>
      <c r="H19" s="59"/>
      <c r="I19" s="59"/>
      <c r="J19" s="59"/>
      <c r="K19" s="60"/>
      <c r="L19" s="60"/>
      <c r="M19" s="60"/>
      <c r="N19" s="61"/>
    </row>
    <row r="20" spans="1:14">
      <c r="A20" s="52" t="s">
        <v>34</v>
      </c>
      <c r="B20" s="56"/>
      <c r="C20" s="35"/>
      <c r="D20" s="65" t="s">
        <v>35</v>
      </c>
      <c r="E20" s="35"/>
      <c r="F20" s="14"/>
      <c r="G20" s="14"/>
      <c r="H20" s="14"/>
      <c r="I20" s="15"/>
      <c r="J20" s="66">
        <f t="array" ref="J20">SUM(ROUND(J11:J18,0))</f>
        <v>17032689</v>
      </c>
      <c r="K20" s="67"/>
      <c r="L20" s="66">
        <f t="array" ref="L20">SUM(ROUND(L11:L18,0))</f>
        <v>2282867</v>
      </c>
      <c r="M20" s="66">
        <f t="array" ref="M20">SUM(ROUND(M11:M18,0))</f>
        <v>19315556</v>
      </c>
      <c r="N20" s="68"/>
    </row>
    <row r="21" spans="1:14">
      <c r="A21" s="52"/>
      <c r="B21" s="56"/>
      <c r="C21" s="14"/>
      <c r="D21" s="14"/>
      <c r="E21" s="14"/>
      <c r="F21" s="14"/>
      <c r="G21" s="14"/>
      <c r="H21" s="14"/>
      <c r="I21" s="15"/>
      <c r="J21" s="17"/>
      <c r="K21" s="17"/>
      <c r="L21" s="17"/>
      <c r="M21" s="17"/>
      <c r="N21" s="18"/>
    </row>
    <row r="22" spans="1:14">
      <c r="A22" s="70"/>
      <c r="B22" s="71"/>
      <c r="C22" s="29" t="s">
        <v>36</v>
      </c>
      <c r="D22" s="14"/>
      <c r="E22" s="14"/>
      <c r="F22" s="14"/>
      <c r="G22" s="14"/>
      <c r="H22" s="14"/>
      <c r="I22" s="15"/>
      <c r="J22" s="16"/>
      <c r="K22" s="17"/>
      <c r="L22" s="16"/>
      <c r="M22" s="16"/>
      <c r="N22" s="18"/>
    </row>
    <row r="23" spans="1:14">
      <c r="A23" s="52"/>
      <c r="B23" s="53"/>
      <c r="C23" s="14" t="s">
        <v>37</v>
      </c>
      <c r="D23" s="14"/>
      <c r="E23" s="14"/>
      <c r="F23" s="14"/>
      <c r="G23" s="35"/>
      <c r="H23" s="14"/>
      <c r="I23" s="15"/>
      <c r="J23" s="16"/>
      <c r="K23" s="17"/>
      <c r="L23" s="16"/>
      <c r="M23" s="16"/>
      <c r="N23" s="18"/>
    </row>
    <row r="24" spans="1:14">
      <c r="A24" s="12" t="s">
        <v>38</v>
      </c>
      <c r="B24" s="72" t="s">
        <v>39</v>
      </c>
      <c r="C24" s="44"/>
      <c r="D24" s="36" t="s">
        <v>40</v>
      </c>
      <c r="E24" s="14"/>
      <c r="F24" s="14"/>
      <c r="G24" s="35"/>
      <c r="H24" s="14"/>
      <c r="I24" s="15"/>
      <c r="J24" s="50">
        <v>36360326.329999998</v>
      </c>
      <c r="K24" s="230"/>
      <c r="L24" s="50">
        <v>386561.3</v>
      </c>
      <c r="M24" s="50">
        <f t="shared" ref="M24:M30" si="0">ROUND(L24,0)+ROUND(J24,0)</f>
        <v>36746887</v>
      </c>
      <c r="N24" s="51"/>
    </row>
    <row r="25" spans="1:14">
      <c r="A25" s="1" t="s">
        <v>41</v>
      </c>
      <c r="B25" s="72" t="s">
        <v>39</v>
      </c>
      <c r="C25" s="44"/>
      <c r="D25" s="36" t="s">
        <v>42</v>
      </c>
      <c r="E25" s="14"/>
      <c r="F25" s="14"/>
      <c r="G25" s="35"/>
      <c r="H25" s="14"/>
      <c r="I25" s="15"/>
      <c r="J25" s="50">
        <v>11314122.310000001</v>
      </c>
      <c r="K25" s="230"/>
      <c r="L25" s="50">
        <v>1236313</v>
      </c>
      <c r="M25" s="50">
        <f t="shared" si="0"/>
        <v>12550435</v>
      </c>
      <c r="N25" s="51"/>
    </row>
    <row r="26" spans="1:14">
      <c r="A26" s="12" t="s">
        <v>43</v>
      </c>
      <c r="B26" s="34" t="s">
        <v>39</v>
      </c>
      <c r="C26" s="44"/>
      <c r="D26" s="36" t="s">
        <v>44</v>
      </c>
      <c r="E26" s="14"/>
      <c r="F26" s="14"/>
      <c r="G26" s="35"/>
      <c r="H26" s="14"/>
      <c r="I26" s="15"/>
      <c r="J26" s="50">
        <v>1811937.21</v>
      </c>
      <c r="K26" s="230"/>
      <c r="L26" s="50">
        <v>0</v>
      </c>
      <c r="M26" s="50">
        <f t="shared" si="0"/>
        <v>1811937</v>
      </c>
      <c r="N26" s="51"/>
    </row>
    <row r="27" spans="1:14">
      <c r="A27" s="1" t="s">
        <v>45</v>
      </c>
      <c r="B27" s="72" t="s">
        <v>39</v>
      </c>
      <c r="C27" s="44"/>
      <c r="D27" s="36" t="s">
        <v>46</v>
      </c>
      <c r="E27" s="14"/>
      <c r="F27" s="14"/>
      <c r="G27" s="35"/>
      <c r="H27" s="14"/>
      <c r="I27" s="15"/>
      <c r="J27" s="50">
        <v>4884691.3600000003</v>
      </c>
      <c r="K27" s="230"/>
      <c r="L27" s="50">
        <v>127365</v>
      </c>
      <c r="M27" s="50">
        <f t="shared" si="0"/>
        <v>5012056</v>
      </c>
      <c r="N27" s="51"/>
    </row>
    <row r="28" spans="1:14">
      <c r="A28" s="12" t="s">
        <v>47</v>
      </c>
      <c r="B28" s="34" t="s">
        <v>39</v>
      </c>
      <c r="C28" s="44"/>
      <c r="D28" s="36" t="s">
        <v>48</v>
      </c>
      <c r="E28" s="14"/>
      <c r="F28" s="14"/>
      <c r="G28" s="35"/>
      <c r="H28" s="14"/>
      <c r="I28" s="15"/>
      <c r="J28" s="50">
        <v>3041731</v>
      </c>
      <c r="K28" s="230"/>
      <c r="L28" s="50">
        <v>53127</v>
      </c>
      <c r="M28" s="50">
        <f t="shared" si="0"/>
        <v>3094858</v>
      </c>
      <c r="N28" s="51"/>
    </row>
    <row r="29" spans="1:14">
      <c r="A29" s="1" t="s">
        <v>49</v>
      </c>
      <c r="B29" s="34" t="s">
        <v>39</v>
      </c>
      <c r="C29" s="44"/>
      <c r="D29" s="36" t="s">
        <v>50</v>
      </c>
      <c r="E29" s="14"/>
      <c r="F29" s="14"/>
      <c r="G29" s="35"/>
      <c r="H29" s="14"/>
      <c r="I29" s="15"/>
      <c r="J29" s="50">
        <v>8128967.2599999998</v>
      </c>
      <c r="K29" s="230"/>
      <c r="L29" s="50">
        <v>33811</v>
      </c>
      <c r="M29" s="50">
        <f t="shared" si="0"/>
        <v>8162778</v>
      </c>
      <c r="N29" s="51"/>
    </row>
    <row r="30" spans="1:14">
      <c r="A30" s="12" t="s">
        <v>51</v>
      </c>
      <c r="B30" s="72" t="s">
        <v>52</v>
      </c>
      <c r="C30" s="44"/>
      <c r="D30" s="36" t="s">
        <v>53</v>
      </c>
      <c r="E30" s="14"/>
      <c r="F30" s="14"/>
      <c r="G30" s="35"/>
      <c r="H30" s="14"/>
      <c r="I30" s="15"/>
      <c r="J30" s="231">
        <f>'[23]Accounts by GL'!O481</f>
        <v>8585074.9499999993</v>
      </c>
      <c r="K30" s="230"/>
      <c r="L30" s="58">
        <v>452</v>
      </c>
      <c r="M30" s="58">
        <f t="shared" si="0"/>
        <v>8585527</v>
      </c>
      <c r="N30" s="51"/>
    </row>
    <row r="31" spans="1:14">
      <c r="B31" s="72"/>
      <c r="C31" s="44"/>
      <c r="D31" s="36"/>
      <c r="E31" s="14"/>
      <c r="F31" s="14"/>
      <c r="G31" s="35"/>
      <c r="H31" s="14"/>
      <c r="I31" s="15"/>
      <c r="J31" s="73"/>
      <c r="K31" s="73"/>
      <c r="L31" s="73"/>
      <c r="M31" s="73"/>
      <c r="N31" s="74"/>
    </row>
    <row r="32" spans="1:14">
      <c r="A32" s="1" t="s">
        <v>54</v>
      </c>
      <c r="B32" s="72"/>
      <c r="C32" s="14"/>
      <c r="D32" s="65" t="s">
        <v>55</v>
      </c>
      <c r="E32" s="35"/>
      <c r="F32" s="14"/>
      <c r="G32" s="14"/>
      <c r="H32" s="14"/>
      <c r="I32" s="15"/>
      <c r="J32" s="66">
        <f t="array" ref="J32">SUM(ROUND(J24:J30,0))</f>
        <v>74126849</v>
      </c>
      <c r="K32" s="59"/>
      <c r="L32" s="66">
        <f t="array" ref="L32">SUM(ROUND(L24:L30,0))</f>
        <v>1837629</v>
      </c>
      <c r="M32" s="66">
        <f t="array" ref="M32">SUM(ROUND(M24:M30,0))</f>
        <v>75964478</v>
      </c>
      <c r="N32" s="68"/>
    </row>
    <row r="33" spans="1:14">
      <c r="A33" s="12"/>
      <c r="B33" s="72"/>
      <c r="C33" s="44"/>
      <c r="D33" s="76"/>
      <c r="E33" s="14"/>
      <c r="F33" s="14"/>
      <c r="G33" s="35"/>
      <c r="H33" s="14"/>
      <c r="I33" s="15"/>
      <c r="J33" s="59"/>
      <c r="K33" s="59"/>
      <c r="L33" s="59"/>
      <c r="M33" s="59"/>
      <c r="N33" s="77"/>
    </row>
    <row r="34" spans="1:14">
      <c r="B34" s="72"/>
      <c r="C34" s="14"/>
      <c r="D34" s="65" t="str">
        <f>IF(J34&lt;0,IF(L34&gt;0,"Operating Income (Loss)","Operating Loss"),IF(J34&gt;0,IF(L34&gt;=0,"Operating Income","Operating Income (Loss)"),IF(L34&lt;0,"Operating Loss",IF(L34&gt;0,"Operating Income","Operating Income (Loss)"))))</f>
        <v>Operating Income (Loss)</v>
      </c>
      <c r="E34" s="35"/>
      <c r="F34" s="14"/>
      <c r="G34" s="14"/>
      <c r="H34" s="14"/>
      <c r="I34" s="15"/>
      <c r="J34" s="66">
        <f>J20-J32</f>
        <v>-57094160</v>
      </c>
      <c r="K34" s="67"/>
      <c r="L34" s="66">
        <f>L20-L32</f>
        <v>445238</v>
      </c>
      <c r="M34" s="66">
        <f>M20-M32</f>
        <v>-56648922</v>
      </c>
      <c r="N34" s="68"/>
    </row>
    <row r="35" spans="1:14">
      <c r="A35" s="12"/>
      <c r="B35" s="72"/>
      <c r="C35" s="14"/>
      <c r="D35" s="14"/>
      <c r="E35" s="14"/>
      <c r="F35" s="14"/>
      <c r="G35" s="14"/>
      <c r="H35" s="14"/>
      <c r="I35" s="15"/>
      <c r="J35" s="78"/>
      <c r="K35" s="78"/>
      <c r="L35" s="78"/>
      <c r="M35" s="78"/>
      <c r="N35" s="79"/>
    </row>
    <row r="36" spans="1:14">
      <c r="B36" s="72"/>
      <c r="C36" s="29" t="s">
        <v>56</v>
      </c>
      <c r="D36" s="35"/>
      <c r="E36" s="14"/>
      <c r="F36" s="14"/>
      <c r="G36" s="14"/>
      <c r="H36" s="14"/>
      <c r="I36" s="15"/>
      <c r="J36" s="16"/>
      <c r="K36" s="17"/>
      <c r="L36" s="16"/>
      <c r="M36" s="16"/>
      <c r="N36" s="18"/>
    </row>
    <row r="37" spans="1:14">
      <c r="A37" s="12" t="s">
        <v>57</v>
      </c>
      <c r="B37" s="72" t="s">
        <v>58</v>
      </c>
      <c r="C37" s="36" t="s">
        <v>59</v>
      </c>
      <c r="D37" s="35"/>
      <c r="E37" s="14"/>
      <c r="F37" s="14"/>
      <c r="G37" s="35"/>
      <c r="H37" s="14"/>
      <c r="I37" s="15"/>
      <c r="J37" s="80">
        <v>28025373.5</v>
      </c>
      <c r="K37" s="49"/>
      <c r="L37" s="80">
        <v>0</v>
      </c>
      <c r="M37" s="80">
        <f t="shared" ref="M37:M45" si="1">ROUND(L37,0)+ROUND(J37,0)</f>
        <v>28025374</v>
      </c>
      <c r="N37" s="81"/>
    </row>
    <row r="38" spans="1:14">
      <c r="A38" s="1" t="s">
        <v>60</v>
      </c>
      <c r="B38" s="72" t="s">
        <v>21</v>
      </c>
      <c r="C38" s="36" t="s">
        <v>61</v>
      </c>
      <c r="D38" s="35"/>
      <c r="E38" s="14"/>
      <c r="F38" s="14"/>
      <c r="G38" s="35"/>
      <c r="H38" s="14"/>
      <c r="I38" s="15"/>
      <c r="J38" s="80">
        <v>23310813.190000001</v>
      </c>
      <c r="K38" s="49"/>
      <c r="L38" s="80">
        <v>0</v>
      </c>
      <c r="M38" s="80">
        <f t="shared" si="1"/>
        <v>23310813</v>
      </c>
      <c r="N38" s="81"/>
    </row>
    <row r="39" spans="1:14">
      <c r="A39" s="12" t="s">
        <v>62</v>
      </c>
      <c r="B39" s="72" t="s">
        <v>21</v>
      </c>
      <c r="C39" s="36" t="s">
        <v>63</v>
      </c>
      <c r="D39" s="35"/>
      <c r="E39" s="14"/>
      <c r="F39" s="14"/>
      <c r="G39" s="35"/>
      <c r="H39" s="14"/>
      <c r="I39" s="15"/>
      <c r="J39" s="80">
        <v>883244.76</v>
      </c>
      <c r="K39" s="49"/>
      <c r="L39" s="80">
        <v>0</v>
      </c>
      <c r="M39" s="80">
        <f t="shared" si="1"/>
        <v>883245</v>
      </c>
      <c r="N39" s="81"/>
    </row>
    <row r="40" spans="1:14">
      <c r="A40" s="1" t="s">
        <v>64</v>
      </c>
      <c r="B40" s="72" t="s">
        <v>65</v>
      </c>
      <c r="C40" s="36" t="s">
        <v>66</v>
      </c>
      <c r="D40" s="35"/>
      <c r="E40" s="14"/>
      <c r="F40" s="14"/>
      <c r="G40" s="35"/>
      <c r="H40" s="14"/>
      <c r="I40" s="15"/>
      <c r="J40" s="80">
        <v>190458.72</v>
      </c>
      <c r="K40" s="49"/>
      <c r="L40" s="80">
        <v>2162666</v>
      </c>
      <c r="M40" s="80">
        <f t="shared" si="1"/>
        <v>2353125</v>
      </c>
      <c r="N40" s="81"/>
    </row>
    <row r="41" spans="1:14">
      <c r="A41" s="12" t="s">
        <v>67</v>
      </c>
      <c r="B41" s="72" t="s">
        <v>65</v>
      </c>
      <c r="C41" s="36" t="str">
        <f>IF(J41&lt;0,IF(L41&gt;0,"Net Gain (Loss) on Investments","Net Loss on Investments"),IF(J41&gt;0,IF(L41&gt;=0,"Net Gain on Investments","Net Gain (Loss) on Investments"),IF(L41&lt;0,"Net Loss on Investments",IF(L41&gt;0,"Net Gain on Investments","Net Gain (Loss) on Investments"))))</f>
        <v>Net Loss on Investments</v>
      </c>
      <c r="D41" s="35"/>
      <c r="E41" s="14"/>
      <c r="F41" s="14"/>
      <c r="G41" s="35"/>
      <c r="H41" s="14"/>
      <c r="I41" s="15"/>
      <c r="J41" s="80">
        <v>-7977.52</v>
      </c>
      <c r="K41" s="49"/>
      <c r="L41" s="80">
        <v>0</v>
      </c>
      <c r="M41" s="80">
        <f t="shared" si="1"/>
        <v>-7978</v>
      </c>
      <c r="N41" s="81"/>
    </row>
    <row r="42" spans="1:14">
      <c r="A42" s="1" t="s">
        <v>68</v>
      </c>
      <c r="B42" s="72" t="s">
        <v>32</v>
      </c>
      <c r="C42" s="36" t="s">
        <v>69</v>
      </c>
      <c r="D42" s="35"/>
      <c r="E42" s="14"/>
      <c r="F42" s="14"/>
      <c r="G42" s="35"/>
      <c r="H42" s="14"/>
      <c r="I42" s="15"/>
      <c r="J42" s="80">
        <v>0</v>
      </c>
      <c r="K42" s="49"/>
      <c r="L42" s="80">
        <v>901954</v>
      </c>
      <c r="M42" s="80">
        <f t="shared" si="1"/>
        <v>901954</v>
      </c>
      <c r="N42" s="81"/>
    </row>
    <row r="43" spans="1:14">
      <c r="A43" s="12" t="s">
        <v>70</v>
      </c>
      <c r="B43" s="72" t="s">
        <v>71</v>
      </c>
      <c r="C43" s="36" t="str">
        <f>IF(J43&lt;0,IF(L43&gt;0,"Gain (Loss) on Disposal of Capital Assets","Loss on Disposal of Capital Assets"),IF(J43&gt;0,IF(L43&gt;=0,"Gain on Disposal of Capital Assets","Gain (Loss) on Disposal of Capital Assets"),IF(L43&lt;0,"Loss on Disposal of Capital Assets",IF(L43&gt;0,"Gain on Disposal of Capital Assets","Gain (Loss) on Disposal of Capital Assets"))))</f>
        <v>Gain on Disposal of Capital Assets</v>
      </c>
      <c r="D43" s="35"/>
      <c r="E43" s="14"/>
      <c r="F43" s="14"/>
      <c r="G43" s="35"/>
      <c r="H43" s="14"/>
      <c r="I43" s="15"/>
      <c r="J43" s="80">
        <v>11255</v>
      </c>
      <c r="K43" s="49"/>
      <c r="L43" s="80">
        <v>0</v>
      </c>
      <c r="M43" s="80">
        <f t="shared" si="1"/>
        <v>11255</v>
      </c>
      <c r="N43" s="81"/>
    </row>
    <row r="44" spans="1:14">
      <c r="A44" s="1" t="s">
        <v>72</v>
      </c>
      <c r="B44" s="72" t="s">
        <v>39</v>
      </c>
      <c r="C44" s="36" t="s">
        <v>73</v>
      </c>
      <c r="D44" s="35"/>
      <c r="E44" s="35"/>
      <c r="F44" s="35"/>
      <c r="G44" s="35"/>
      <c r="H44" s="35"/>
      <c r="I44" s="35"/>
      <c r="J44" s="80">
        <v>-187469.62</v>
      </c>
      <c r="K44" s="49"/>
      <c r="L44" s="80">
        <v>0</v>
      </c>
      <c r="M44" s="80">
        <f t="shared" si="1"/>
        <v>-187470</v>
      </c>
      <c r="N44" s="81"/>
    </row>
    <row r="45" spans="1:14">
      <c r="A45" s="12" t="s">
        <v>74</v>
      </c>
      <c r="B45" s="72" t="s">
        <v>39</v>
      </c>
      <c r="C45" s="36" t="s">
        <v>75</v>
      </c>
      <c r="D45" s="35"/>
      <c r="E45" s="14"/>
      <c r="F45" s="14"/>
      <c r="G45" s="35"/>
      <c r="H45" s="14"/>
      <c r="I45" s="15"/>
      <c r="J45" s="82">
        <v>0</v>
      </c>
      <c r="K45" s="49"/>
      <c r="L45" s="82">
        <v>0</v>
      </c>
      <c r="M45" s="82">
        <f t="shared" si="1"/>
        <v>0</v>
      </c>
      <c r="N45" s="81"/>
    </row>
    <row r="46" spans="1:14">
      <c r="B46" s="72"/>
      <c r="C46" s="35"/>
      <c r="D46" s="35"/>
      <c r="E46" s="35"/>
      <c r="F46" s="35"/>
      <c r="G46" s="35"/>
      <c r="H46" s="35"/>
      <c r="I46" s="35"/>
      <c r="J46" s="83"/>
      <c r="K46" s="84"/>
      <c r="L46" s="83"/>
      <c r="M46" s="83"/>
      <c r="N46" s="85"/>
    </row>
    <row r="47" spans="1:14">
      <c r="A47" s="52" t="s">
        <v>76</v>
      </c>
      <c r="B47" s="53"/>
      <c r="C47" s="29" t="s">
        <v>77</v>
      </c>
      <c r="D47" s="35"/>
      <c r="E47" s="14"/>
      <c r="F47" s="14"/>
      <c r="G47" s="14"/>
      <c r="H47" s="14"/>
      <c r="I47" s="15"/>
      <c r="J47" s="66">
        <f t="array" ref="J47">SUM(ROUND(J37:J45,0))</f>
        <v>52225698</v>
      </c>
      <c r="K47" s="59"/>
      <c r="L47" s="66">
        <f t="array" ref="L47">SUM(ROUND(L37:L45,0))</f>
        <v>3064620</v>
      </c>
      <c r="M47" s="66">
        <f t="array" ref="M47">SUM(ROUND(M37:M45,0))</f>
        <v>55290318</v>
      </c>
      <c r="N47" s="68"/>
    </row>
    <row r="48" spans="1:14">
      <c r="A48" s="52"/>
      <c r="B48" s="53"/>
      <c r="C48" s="86"/>
      <c r="D48" s="87"/>
      <c r="E48" s="15"/>
      <c r="F48" s="15"/>
      <c r="G48" s="15"/>
      <c r="H48" s="15"/>
      <c r="I48" s="15"/>
      <c r="J48" s="59"/>
      <c r="K48" s="59"/>
      <c r="L48" s="59"/>
      <c r="M48" s="59"/>
      <c r="N48" s="77"/>
    </row>
    <row r="49" spans="1:14">
      <c r="A49" s="52"/>
      <c r="B49" s="53"/>
      <c r="C49" s="65" t="str">
        <f>IF(J50&lt;0,IF(L50&gt;0,"Income (Loss) Before Other Revenues,","Loss Before Other Revenues,"),IF(J50&gt;0,IF(L50&gt;=0,"Income Before Other Revenues,","Income (Loss) Before Other Revenues,"),IF(L59&lt;0,"Loss Before Other Revenues,",IF(L59&gt;0,"Income Before Other Revenues,","Income (Loss) Before Other Revenues,"))))</f>
        <v>Income (Loss) Before Other Revenues,</v>
      </c>
      <c r="D49" s="35"/>
      <c r="E49" s="35"/>
      <c r="F49" s="14"/>
      <c r="G49" s="14"/>
      <c r="H49" s="14"/>
      <c r="I49" s="15"/>
      <c r="J49" s="35"/>
      <c r="K49" s="35"/>
      <c r="L49" s="35"/>
      <c r="M49" s="35"/>
      <c r="N49" s="37"/>
    </row>
    <row r="50" spans="1:14">
      <c r="A50" s="52"/>
      <c r="B50" s="53"/>
      <c r="C50" s="14"/>
      <c r="D50" s="29" t="s">
        <v>78</v>
      </c>
      <c r="E50" s="14"/>
      <c r="F50" s="14"/>
      <c r="G50" s="14"/>
      <c r="H50" s="14"/>
      <c r="I50" s="15"/>
      <c r="J50" s="66">
        <f>J34+J47</f>
        <v>-4868462</v>
      </c>
      <c r="K50" s="59"/>
      <c r="L50" s="66">
        <f>L34+L47</f>
        <v>3509858</v>
      </c>
      <c r="M50" s="66">
        <f>M34+M47</f>
        <v>-1358604</v>
      </c>
      <c r="N50" s="68"/>
    </row>
    <row r="51" spans="1:14">
      <c r="A51" s="52"/>
      <c r="B51" s="53"/>
      <c r="C51" s="14"/>
      <c r="D51" s="29"/>
      <c r="E51" s="14"/>
      <c r="F51" s="14"/>
      <c r="G51" s="14"/>
      <c r="H51" s="14"/>
      <c r="I51" s="15"/>
      <c r="J51" s="17"/>
      <c r="K51" s="17"/>
      <c r="L51" s="17"/>
      <c r="M51" s="17"/>
      <c r="N51" s="18"/>
    </row>
    <row r="52" spans="1:14">
      <c r="A52" s="52" t="s">
        <v>79</v>
      </c>
      <c r="B52" s="53" t="s">
        <v>58</v>
      </c>
      <c r="C52" s="36" t="s">
        <v>80</v>
      </c>
      <c r="D52" s="35"/>
      <c r="E52" s="14"/>
      <c r="F52" s="14"/>
      <c r="G52" s="14"/>
      <c r="H52" s="35"/>
      <c r="I52" s="15"/>
      <c r="J52" s="80">
        <v>10530103.08</v>
      </c>
      <c r="K52" s="49"/>
      <c r="L52" s="80">
        <v>0</v>
      </c>
      <c r="M52" s="80">
        <f>ROUND(L52,0)+ROUND(J52,0)</f>
        <v>10530103</v>
      </c>
      <c r="N52" s="81"/>
    </row>
    <row r="53" spans="1:14">
      <c r="A53" s="52" t="s">
        <v>81</v>
      </c>
      <c r="B53" s="53" t="s">
        <v>82</v>
      </c>
      <c r="C53" s="36" t="s">
        <v>83</v>
      </c>
      <c r="D53" s="35"/>
      <c r="E53" s="14"/>
      <c r="F53" s="14"/>
      <c r="G53" s="14"/>
      <c r="H53" s="35"/>
      <c r="I53" s="15"/>
      <c r="J53" s="50">
        <f>2825657.32+1574.68</f>
        <v>2827232</v>
      </c>
      <c r="K53" s="230"/>
      <c r="L53" s="50">
        <v>0</v>
      </c>
      <c r="M53" s="50">
        <f>ROUND(L53,0)+ROUND(J53,0)</f>
        <v>2827232</v>
      </c>
      <c r="N53" s="51"/>
    </row>
    <row r="54" spans="1:14">
      <c r="A54" s="52" t="s">
        <v>84</v>
      </c>
      <c r="B54" s="53" t="s">
        <v>85</v>
      </c>
      <c r="C54" s="14" t="s">
        <v>86</v>
      </c>
      <c r="D54" s="35"/>
      <c r="E54" s="14"/>
      <c r="F54" s="14"/>
      <c r="G54" s="14"/>
      <c r="H54" s="35"/>
      <c r="I54" s="15"/>
      <c r="J54" s="89">
        <v>0</v>
      </c>
      <c r="K54" s="230"/>
      <c r="L54" s="89">
        <v>740093</v>
      </c>
      <c r="M54" s="89">
        <f>ROUND(L54,0)+ROUND(J54,0)</f>
        <v>740093</v>
      </c>
      <c r="N54" s="51"/>
    </row>
    <row r="55" spans="1:14">
      <c r="A55" s="52" t="s">
        <v>87</v>
      </c>
      <c r="B55" s="53" t="s">
        <v>85</v>
      </c>
      <c r="C55" s="76" t="str">
        <f>IF(J55&lt;0,IF(L55&gt;0,"Other Revenues (Expenses)","Other Expenses"),IF(J55&gt;0,IF(L55&gt;=0,"Other Revenues","Other Revenues (Expenses)"),IF(L55&lt;0,"Other Expenses",IF(L55&gt;0,"Other Revenues","Other Revenues (Expenses)"))))</f>
        <v>Other Revenues (Expenses)</v>
      </c>
      <c r="D55" s="35"/>
      <c r="E55" s="14"/>
      <c r="F55" s="14"/>
      <c r="G55" s="14"/>
      <c r="H55" s="35"/>
      <c r="I55" s="15"/>
      <c r="J55" s="58">
        <v>0</v>
      </c>
      <c r="K55" s="230"/>
      <c r="L55" s="58">
        <v>0</v>
      </c>
      <c r="M55" s="58">
        <f>ROUND(L55,0)+ROUND(J55,0)</f>
        <v>0</v>
      </c>
      <c r="N55" s="51"/>
    </row>
    <row r="56" spans="1:14">
      <c r="A56" s="52"/>
      <c r="B56" s="53"/>
      <c r="C56" s="35"/>
      <c r="D56" s="35"/>
      <c r="E56" s="14"/>
      <c r="F56" s="14"/>
      <c r="G56" s="14"/>
      <c r="H56" s="14"/>
      <c r="I56" s="15"/>
      <c r="J56" s="83"/>
      <c r="K56" s="84"/>
      <c r="L56" s="83"/>
      <c r="M56" s="83"/>
      <c r="N56" s="85"/>
    </row>
    <row r="57" spans="1:14">
      <c r="A57" s="70" t="s">
        <v>88</v>
      </c>
      <c r="B57" s="53"/>
      <c r="C57" s="29" t="s">
        <v>89</v>
      </c>
      <c r="D57" s="35"/>
      <c r="E57" s="35"/>
      <c r="F57" s="14"/>
      <c r="G57" s="14"/>
      <c r="H57" s="14"/>
      <c r="I57" s="15"/>
      <c r="J57" s="90">
        <f t="array" ref="J57">SUM(ROUND(J52:J55,0))</f>
        <v>13357335</v>
      </c>
      <c r="K57" s="59"/>
      <c r="L57" s="90">
        <f t="array" ref="L57">SUM(ROUND(L52:L55,0))</f>
        <v>740093</v>
      </c>
      <c r="M57" s="90">
        <f t="array" ref="M57">SUM(ROUND(M52:M55,0))</f>
        <v>14097428</v>
      </c>
      <c r="N57" s="91"/>
    </row>
    <row r="58" spans="1:14">
      <c r="A58" s="52"/>
      <c r="B58" s="53"/>
      <c r="C58" s="29"/>
      <c r="D58" s="35"/>
      <c r="E58" s="35"/>
      <c r="F58" s="14"/>
      <c r="G58" s="14"/>
      <c r="H58" s="14"/>
      <c r="I58" s="15"/>
      <c r="J58" s="59"/>
      <c r="K58" s="59"/>
      <c r="L58" s="59"/>
      <c r="M58" s="59"/>
      <c r="N58" s="77"/>
    </row>
    <row r="59" spans="1:14">
      <c r="A59" s="70"/>
      <c r="B59" s="53"/>
      <c r="C59" s="65" t="str">
        <f>IF(J59&lt;0,IF(L59&gt;0,"Increase (Decrease) in Net Position","Decrease in Net Position"),IF(J59&gt;0,IF(L59&gt;=0,"Increase in Net Position","Increase (Decrease) in Net Position"),IF(L59&lt;0,"Decrease in Net Position",IF(L59&gt;0,"Increase in Net Position","Increase (Decrease) in Net Position"))))</f>
        <v>Increase in Net Position</v>
      </c>
      <c r="D59" s="35"/>
      <c r="E59" s="35"/>
      <c r="F59" s="14"/>
      <c r="G59" s="14"/>
      <c r="H59" s="14"/>
      <c r="I59" s="15"/>
      <c r="J59" s="90">
        <f>J50+J57</f>
        <v>8488873</v>
      </c>
      <c r="K59" s="92"/>
      <c r="L59" s="90">
        <f>L50+L57</f>
        <v>4249951</v>
      </c>
      <c r="M59" s="90">
        <f>M50+M57</f>
        <v>12738824</v>
      </c>
      <c r="N59" s="91"/>
    </row>
    <row r="60" spans="1:14">
      <c r="A60" s="52"/>
      <c r="B60" s="53"/>
      <c r="C60" s="93"/>
      <c r="D60" s="35"/>
      <c r="E60" s="35"/>
      <c r="F60" s="14"/>
      <c r="G60" s="14"/>
      <c r="H60" s="14"/>
      <c r="I60" s="15"/>
      <c r="J60" s="94"/>
      <c r="K60" s="94"/>
      <c r="L60" s="94"/>
      <c r="M60" s="94"/>
      <c r="N60" s="95"/>
    </row>
    <row r="61" spans="1:14">
      <c r="A61" s="52" t="s">
        <v>90</v>
      </c>
      <c r="B61" s="53"/>
      <c r="C61" s="14" t="s">
        <v>91</v>
      </c>
      <c r="D61" s="35"/>
      <c r="E61" s="14"/>
      <c r="F61" s="14"/>
      <c r="G61" s="14"/>
      <c r="H61" s="14"/>
      <c r="I61" s="15"/>
      <c r="J61" s="96">
        <f>VLOOKUP($C$1,[23]VLOOKUPS!A44:D71,2,FALSE)</f>
        <v>184896923</v>
      </c>
      <c r="K61" s="49"/>
      <c r="L61" s="96">
        <f>VLOOKUP($C$1,[23]VLOOKUPS!A44:D71,3,FALSE)</f>
        <v>42827111</v>
      </c>
      <c r="M61" s="89">
        <f>ROUND(L61,0)+ROUND(J61,0)</f>
        <v>227724034</v>
      </c>
      <c r="N61" s="97"/>
    </row>
    <row r="62" spans="1:14">
      <c r="A62" s="52" t="s">
        <v>92</v>
      </c>
      <c r="B62" s="53" t="s">
        <v>93</v>
      </c>
      <c r="C62" s="14" t="s">
        <v>94</v>
      </c>
      <c r="D62" s="35"/>
      <c r="E62" s="14"/>
      <c r="F62" s="14"/>
      <c r="G62" s="14"/>
      <c r="H62" s="14"/>
      <c r="I62" s="15"/>
      <c r="J62" s="82">
        <v>-12661655</v>
      </c>
      <c r="K62" s="49"/>
      <c r="L62" s="82">
        <v>0</v>
      </c>
      <c r="M62" s="82">
        <f>ROUND(L62,0)+ROUND(J62,0)</f>
        <v>-12661655</v>
      </c>
      <c r="N62" s="81"/>
    </row>
    <row r="63" spans="1:14">
      <c r="A63" s="52"/>
      <c r="B63" s="53"/>
      <c r="C63" s="36"/>
      <c r="D63" s="36"/>
      <c r="E63" s="36"/>
      <c r="F63" s="36"/>
      <c r="G63" s="36"/>
      <c r="H63" s="98"/>
      <c r="I63" s="36"/>
      <c r="J63" s="92"/>
      <c r="K63" s="99"/>
      <c r="L63" s="99"/>
      <c r="M63" s="99"/>
      <c r="N63" s="100"/>
    </row>
    <row r="64" spans="1:14">
      <c r="A64" s="70"/>
      <c r="B64" s="53"/>
      <c r="C64" s="101" t="s">
        <v>95</v>
      </c>
      <c r="D64" s="36"/>
      <c r="E64" s="36"/>
      <c r="F64" s="36"/>
      <c r="G64" s="36"/>
      <c r="H64" s="60"/>
      <c r="I64" s="60"/>
      <c r="J64" s="90">
        <f t="array" ref="J64">SUM(ROUND(J61:J62,0))</f>
        <v>172235268</v>
      </c>
      <c r="K64" s="92"/>
      <c r="L64" s="90">
        <f t="array" ref="L64">SUM(ROUND(L61:L62,0))</f>
        <v>42827111</v>
      </c>
      <c r="M64" s="90">
        <f t="array" ref="M64">SUM(ROUND(M61:M62,0))</f>
        <v>215062379</v>
      </c>
      <c r="N64" s="91"/>
    </row>
    <row r="65" spans="1:14">
      <c r="A65" s="52"/>
      <c r="B65" s="53"/>
      <c r="C65" s="36"/>
      <c r="D65" s="36"/>
      <c r="E65" s="36"/>
      <c r="F65" s="36"/>
      <c r="G65" s="36"/>
      <c r="H65" s="102"/>
      <c r="I65" s="36"/>
      <c r="J65" s="102"/>
      <c r="K65" s="60"/>
      <c r="L65" s="60"/>
      <c r="M65" s="60"/>
      <c r="N65" s="61"/>
    </row>
    <row r="66" spans="1:14" ht="13.5" thickBot="1">
      <c r="A66" s="52"/>
      <c r="B66" s="53"/>
      <c r="C66" s="29" t="s">
        <v>96</v>
      </c>
      <c r="D66" s="35"/>
      <c r="E66" s="14"/>
      <c r="F66" s="14"/>
      <c r="G66" s="14"/>
      <c r="H66" s="14"/>
      <c r="I66" s="103"/>
      <c r="J66" s="104">
        <f>J59+J64</f>
        <v>180724141</v>
      </c>
      <c r="K66" s="105"/>
      <c r="L66" s="104">
        <f>L59+L64</f>
        <v>47077062</v>
      </c>
      <c r="M66" s="104">
        <f>M59+M64</f>
        <v>227801203</v>
      </c>
      <c r="N66" s="46"/>
    </row>
    <row r="67" spans="1:14" ht="13.5" thickTop="1">
      <c r="A67" s="70"/>
      <c r="B67" s="53"/>
      <c r="C67" s="14"/>
      <c r="D67" s="14"/>
      <c r="E67" s="14"/>
      <c r="F67" s="14"/>
      <c r="G67" s="14"/>
      <c r="H67" s="14"/>
      <c r="I67" s="15"/>
      <c r="J67" s="107"/>
      <c r="K67" s="15"/>
      <c r="L67" s="107"/>
      <c r="M67" s="107"/>
      <c r="N67" s="108"/>
    </row>
    <row r="68" spans="1:14">
      <c r="A68" s="52"/>
      <c r="B68" s="53"/>
      <c r="C68" s="35" t="s">
        <v>97</v>
      </c>
      <c r="D68" s="35"/>
      <c r="E68" s="35"/>
      <c r="F68" s="35"/>
      <c r="G68" s="35"/>
      <c r="H68" s="35"/>
      <c r="I68" s="87"/>
      <c r="J68" s="35"/>
      <c r="K68" s="87"/>
      <c r="L68" s="35"/>
      <c r="M68" s="35"/>
      <c r="N68" s="37"/>
    </row>
    <row r="69" spans="1:14">
      <c r="B69" s="72"/>
      <c r="I69" s="6"/>
      <c r="J69" s="109">
        <f>J66-[23]SNP!K119</f>
        <v>0</v>
      </c>
      <c r="K69" s="110"/>
      <c r="L69" s="111">
        <f>L66-[23]SNP!M119</f>
        <v>0</v>
      </c>
      <c r="M69" s="111">
        <f>M66-[23]SNP!N119</f>
        <v>0</v>
      </c>
      <c r="N69" s="112"/>
    </row>
    <row r="70" spans="1:14">
      <c r="B70" s="72"/>
      <c r="I70" s="113" t="s">
        <v>98</v>
      </c>
      <c r="J70" s="114"/>
      <c r="K70" s="115"/>
      <c r="L70" s="114"/>
      <c r="M70" s="114"/>
      <c r="N70" s="114"/>
    </row>
  </sheetData>
  <sheetProtection formatColumns="0" formatRows="0"/>
  <conditionalFormatting sqref="J69 L69">
    <cfRule type="cellIs" dxfId="149" priority="14" operator="notEqual">
      <formula>0</formula>
    </cfRule>
    <cfRule type="cellIs" dxfId="148" priority="15" operator="equal">
      <formula>0</formula>
    </cfRule>
  </conditionalFormatting>
  <conditionalFormatting sqref="J11:J15 F11:G11 L24:L30 L37:L45 J37:J45 L62 J62 L17:L18 J25:J29 J17:J18 F17:G17 L11:L15 L52:L55 J52:J55">
    <cfRule type="containsBlanks" dxfId="147" priority="12">
      <formula>LEN(TRIM(F11))=0</formula>
    </cfRule>
    <cfRule type="cellIs" dxfId="146" priority="13" operator="notEqual">
      <formula>0</formula>
    </cfRule>
  </conditionalFormatting>
  <conditionalFormatting sqref="J11">
    <cfRule type="cellIs" dxfId="145" priority="11" operator="notEqual">
      <formula>J20</formula>
    </cfRule>
  </conditionalFormatting>
  <conditionalFormatting sqref="L11">
    <cfRule type="cellIs" dxfId="144" priority="10" operator="notEqual">
      <formula>L20</formula>
    </cfRule>
  </conditionalFormatting>
  <conditionalFormatting sqref="M69">
    <cfRule type="cellIs" dxfId="143" priority="8" operator="notEqual">
      <formula>0</formula>
    </cfRule>
    <cfRule type="cellIs" dxfId="142" priority="9" operator="equal">
      <formula>0</formula>
    </cfRule>
  </conditionalFormatting>
  <conditionalFormatting sqref="M24:M30 M37:M45 M62 M17:M18 M11:M15 M52:M55">
    <cfRule type="containsBlanks" dxfId="141" priority="6">
      <formula>LEN(TRIM(M11))=0</formula>
    </cfRule>
    <cfRule type="cellIs" dxfId="140" priority="7" operator="notEqual">
      <formula>0</formula>
    </cfRule>
  </conditionalFormatting>
  <conditionalFormatting sqref="M11">
    <cfRule type="cellIs" dxfId="139" priority="5" operator="notEqual">
      <formula>M20</formula>
    </cfRule>
  </conditionalFormatting>
  <conditionalFormatting sqref="J24">
    <cfRule type="containsBlanks" dxfId="138" priority="3">
      <formula>LEN(TRIM(J24))=0</formula>
    </cfRule>
    <cfRule type="cellIs" dxfId="137" priority="4" operator="notEqual">
      <formula>0</formula>
    </cfRule>
  </conditionalFormatting>
  <conditionalFormatting sqref="M61">
    <cfRule type="containsBlanks" dxfId="136" priority="1">
      <formula>LEN(TRIM(M61))=0</formula>
    </cfRule>
    <cfRule type="cellIs" dxfId="135" priority="2" operator="notEqual">
      <formula>0</formula>
    </cfRule>
  </conditionalFormatting>
  <printOptions horizontalCentered="1"/>
  <pageMargins left="0.7" right="0.7" top="0.75" bottom="0.75" header="0.5" footer="0.5"/>
  <pageSetup scale="53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T70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0" style="1" hidden="1" customWidth="1"/>
    <col min="2" max="2" width="0" style="20" hidden="1" customWidth="1"/>
    <col min="3" max="8" width="11.140625" style="6"/>
    <col min="9" max="9" width="11.140625" style="11"/>
    <col min="10" max="10" width="13.5703125" style="6" customWidth="1"/>
    <col min="11" max="11" width="11.140625" style="11"/>
    <col min="12" max="12" width="13.42578125" style="6" customWidth="1"/>
    <col min="13" max="13" width="14.140625" style="6" customWidth="1"/>
    <col min="14" max="14" width="11.140625" style="6"/>
    <col min="15" max="15" width="11.140625" style="10"/>
    <col min="16" max="20" width="11.140625" style="5"/>
    <col min="21" max="16384" width="11.140625" style="6"/>
  </cols>
  <sheetData>
    <row r="1" spans="1:13">
      <c r="B1" s="2"/>
      <c r="C1" s="260" t="str">
        <f>'[24]Contact Information'!$C$5</f>
        <v>PENSACOLA STATE COLLEGE</v>
      </c>
      <c r="D1" s="260"/>
      <c r="E1" s="260"/>
      <c r="F1" s="260"/>
      <c r="G1" s="260"/>
      <c r="H1" s="260"/>
      <c r="I1" s="260"/>
      <c r="J1" s="260"/>
      <c r="K1" s="260"/>
      <c r="L1" s="260"/>
      <c r="M1" s="247"/>
    </row>
    <row r="2" spans="1:13">
      <c r="B2" s="2"/>
      <c r="C2" s="256" t="s">
        <v>0</v>
      </c>
      <c r="D2" s="256"/>
      <c r="E2" s="256"/>
      <c r="F2" s="256"/>
      <c r="G2" s="256"/>
      <c r="H2" s="256"/>
      <c r="I2" s="256"/>
      <c r="J2" s="256"/>
      <c r="K2" s="256"/>
      <c r="L2" s="256"/>
      <c r="M2" s="245"/>
    </row>
    <row r="3" spans="1:13">
      <c r="B3" s="2"/>
      <c r="C3" s="86" t="s">
        <v>1</v>
      </c>
      <c r="D3" s="86"/>
      <c r="E3" s="86"/>
      <c r="F3" s="86"/>
      <c r="G3" s="86"/>
      <c r="H3" s="86"/>
      <c r="I3" s="86"/>
      <c r="J3" s="86"/>
      <c r="K3" s="86"/>
      <c r="L3" s="86"/>
      <c r="M3" s="248"/>
    </row>
    <row r="4" spans="1:13">
      <c r="B4" s="2"/>
      <c r="C4" s="261" t="s">
        <v>297</v>
      </c>
      <c r="D4" s="261"/>
      <c r="E4" s="261"/>
      <c r="F4" s="261"/>
      <c r="G4" s="261"/>
      <c r="H4" s="261"/>
      <c r="I4" s="261"/>
      <c r="J4" s="261"/>
      <c r="K4" s="261"/>
      <c r="L4" s="261"/>
      <c r="M4" s="249"/>
    </row>
    <row r="5" spans="1:13">
      <c r="A5" s="12"/>
      <c r="B5" s="13"/>
      <c r="C5" s="14"/>
      <c r="D5" s="14"/>
      <c r="E5" s="14"/>
      <c r="F5" s="14"/>
      <c r="G5" s="14"/>
      <c r="H5" s="14"/>
      <c r="I5" s="15"/>
      <c r="J5" s="16"/>
      <c r="K5" s="17"/>
      <c r="L5" s="16"/>
      <c r="M5" s="16"/>
    </row>
    <row r="6" spans="1:13">
      <c r="C6" s="14"/>
      <c r="D6" s="14"/>
      <c r="E6" s="14"/>
      <c r="F6" s="14"/>
      <c r="G6" s="14"/>
      <c r="H6" s="14"/>
      <c r="I6" s="15"/>
      <c r="J6" s="249" t="s">
        <v>5</v>
      </c>
      <c r="K6" s="21"/>
      <c r="L6" s="22" t="s">
        <v>6</v>
      </c>
      <c r="M6" s="22" t="s">
        <v>7</v>
      </c>
    </row>
    <row r="7" spans="1:13">
      <c r="C7" s="14"/>
      <c r="D7" s="14"/>
      <c r="E7" s="14"/>
      <c r="F7" s="14"/>
      <c r="G7" s="14"/>
      <c r="H7" s="14"/>
      <c r="I7" s="15"/>
      <c r="J7" s="24"/>
      <c r="K7" s="25"/>
      <c r="L7" s="26" t="str">
        <f>[24]SNP!$M$9</f>
        <v>Unit</v>
      </c>
      <c r="M7" s="26"/>
    </row>
    <row r="8" spans="1:13">
      <c r="C8" s="29" t="s">
        <v>9</v>
      </c>
      <c r="D8" s="14"/>
      <c r="E8" s="14"/>
      <c r="F8" s="14"/>
      <c r="G8" s="14"/>
      <c r="H8" s="14"/>
      <c r="I8" s="15"/>
      <c r="J8" s="25"/>
      <c r="K8" s="25"/>
      <c r="L8" s="25"/>
      <c r="M8" s="25"/>
    </row>
    <row r="9" spans="1:13">
      <c r="A9" s="32" t="s">
        <v>10</v>
      </c>
      <c r="B9" s="33" t="s">
        <v>11</v>
      </c>
      <c r="C9" s="14" t="s">
        <v>12</v>
      </c>
      <c r="D9" s="14"/>
      <c r="E9" s="14"/>
      <c r="F9" s="14"/>
      <c r="G9" s="14"/>
      <c r="H9" s="14"/>
      <c r="I9" s="15"/>
      <c r="J9" s="17"/>
      <c r="K9" s="17"/>
      <c r="L9" s="17"/>
      <c r="M9" s="17"/>
    </row>
    <row r="10" spans="1:13">
      <c r="B10" s="34"/>
      <c r="C10" s="35"/>
      <c r="D10" s="36" t="s">
        <v>14</v>
      </c>
      <c r="E10" s="14"/>
      <c r="F10" s="14"/>
      <c r="G10" s="14"/>
      <c r="H10" s="14"/>
      <c r="I10" s="35"/>
      <c r="J10" s="35"/>
      <c r="K10" s="17"/>
      <c r="L10" s="35"/>
      <c r="M10" s="35"/>
    </row>
    <row r="11" spans="1:13">
      <c r="A11" s="1" t="s">
        <v>17</v>
      </c>
      <c r="B11" s="34" t="s">
        <v>18</v>
      </c>
      <c r="C11" s="35"/>
      <c r="D11" s="44" t="s">
        <v>19</v>
      </c>
      <c r="E11" s="35"/>
      <c r="F11" s="263">
        <v>-11095128.92</v>
      </c>
      <c r="G11" s="263"/>
      <c r="H11" s="45"/>
      <c r="I11" s="36"/>
      <c r="J11" s="228">
        <v>9080310.0700000003</v>
      </c>
      <c r="K11" s="229"/>
      <c r="L11" s="228">
        <v>0</v>
      </c>
      <c r="M11" s="228">
        <f>+J11+L11</f>
        <v>9080310.0700000003</v>
      </c>
    </row>
    <row r="12" spans="1:13">
      <c r="A12" s="1" t="s">
        <v>20</v>
      </c>
      <c r="B12" s="34" t="s">
        <v>21</v>
      </c>
      <c r="C12" s="35"/>
      <c r="D12" s="36" t="s">
        <v>22</v>
      </c>
      <c r="E12" s="14"/>
      <c r="F12" s="48"/>
      <c r="G12" s="49"/>
      <c r="H12" s="15"/>
      <c r="I12" s="35"/>
      <c r="J12" s="50">
        <v>1203170.56</v>
      </c>
      <c r="K12" s="230"/>
      <c r="L12" s="50">
        <v>0</v>
      </c>
      <c r="M12" s="50">
        <f>+J12+L12</f>
        <v>1203170.56</v>
      </c>
    </row>
    <row r="13" spans="1:13">
      <c r="A13" s="1" t="s">
        <v>23</v>
      </c>
      <c r="B13" s="34" t="s">
        <v>21</v>
      </c>
      <c r="C13" s="35"/>
      <c r="D13" s="36" t="s">
        <v>24</v>
      </c>
      <c r="E13" s="14"/>
      <c r="F13" s="48"/>
      <c r="G13" s="48"/>
      <c r="H13" s="14"/>
      <c r="I13" s="35"/>
      <c r="J13" s="50">
        <v>0</v>
      </c>
      <c r="K13" s="230"/>
      <c r="L13" s="50">
        <v>0</v>
      </c>
      <c r="M13" s="50">
        <f t="shared" ref="M13:M17" si="0">+J13+L13</f>
        <v>0</v>
      </c>
    </row>
    <row r="14" spans="1:13">
      <c r="A14" s="1" t="s">
        <v>25</v>
      </c>
      <c r="B14" s="34" t="s">
        <v>21</v>
      </c>
      <c r="C14" s="35"/>
      <c r="D14" s="36" t="s">
        <v>26</v>
      </c>
      <c r="E14" s="14"/>
      <c r="F14" s="48"/>
      <c r="G14" s="48"/>
      <c r="H14" s="14"/>
      <c r="I14" s="35"/>
      <c r="J14" s="50">
        <v>16808.34</v>
      </c>
      <c r="K14" s="230"/>
      <c r="L14" s="50">
        <v>0</v>
      </c>
      <c r="M14" s="50">
        <f t="shared" si="0"/>
        <v>16808.34</v>
      </c>
    </row>
    <row r="15" spans="1:13">
      <c r="A15" s="1" t="s">
        <v>27</v>
      </c>
      <c r="B15" s="34" t="s">
        <v>18</v>
      </c>
      <c r="C15" s="35"/>
      <c r="D15" s="36" t="s">
        <v>28</v>
      </c>
      <c r="E15" s="14"/>
      <c r="F15" s="48"/>
      <c r="G15" s="48"/>
      <c r="H15" s="35"/>
      <c r="I15" s="35"/>
      <c r="J15" s="50">
        <v>1042384.35</v>
      </c>
      <c r="K15" s="230"/>
      <c r="L15" s="50">
        <v>0</v>
      </c>
      <c r="M15" s="50">
        <f t="shared" si="0"/>
        <v>1042384.35</v>
      </c>
    </row>
    <row r="16" spans="1:13">
      <c r="A16" s="52"/>
      <c r="B16" s="53"/>
      <c r="C16" s="35"/>
      <c r="D16" s="36" t="s">
        <v>29</v>
      </c>
      <c r="E16" s="14"/>
      <c r="F16" s="54"/>
      <c r="G16" s="49"/>
      <c r="H16" s="55"/>
      <c r="I16" s="35"/>
      <c r="J16" s="35"/>
      <c r="K16" s="230"/>
      <c r="L16" s="35"/>
      <c r="M16" s="50">
        <f t="shared" si="0"/>
        <v>0</v>
      </c>
    </row>
    <row r="17" spans="1:13">
      <c r="A17" s="52" t="s">
        <v>30</v>
      </c>
      <c r="B17" s="53" t="s">
        <v>18</v>
      </c>
      <c r="C17" s="35"/>
      <c r="D17" s="44" t="s">
        <v>19</v>
      </c>
      <c r="E17" s="35"/>
      <c r="F17" s="263">
        <v>0</v>
      </c>
      <c r="G17" s="263"/>
      <c r="H17" s="55"/>
      <c r="I17" s="35"/>
      <c r="J17" s="50">
        <v>507206.26</v>
      </c>
      <c r="K17" s="230"/>
      <c r="L17" s="50">
        <v>0</v>
      </c>
      <c r="M17" s="50">
        <f t="shared" si="0"/>
        <v>507206.26</v>
      </c>
    </row>
    <row r="18" spans="1:13">
      <c r="A18" s="52" t="s">
        <v>31</v>
      </c>
      <c r="B18" s="56" t="s">
        <v>32</v>
      </c>
      <c r="C18" s="35"/>
      <c r="D18" s="57" t="s">
        <v>33</v>
      </c>
      <c r="E18" s="14"/>
      <c r="F18" s="14"/>
      <c r="G18" s="14"/>
      <c r="H18" s="14"/>
      <c r="I18" s="36"/>
      <c r="J18" s="58">
        <v>398215.71</v>
      </c>
      <c r="K18" s="230"/>
      <c r="L18" s="58">
        <v>3903872</v>
      </c>
      <c r="M18" s="58">
        <f>+J18+L18</f>
        <v>4302087.71</v>
      </c>
    </row>
    <row r="19" spans="1:13">
      <c r="A19" s="52"/>
      <c r="B19" s="56"/>
      <c r="C19" s="36"/>
      <c r="D19" s="36"/>
      <c r="E19" s="36"/>
      <c r="F19" s="36"/>
      <c r="G19" s="36"/>
      <c r="H19" s="59"/>
      <c r="I19" s="59"/>
      <c r="J19" s="59"/>
      <c r="K19" s="60"/>
      <c r="L19" s="60"/>
      <c r="M19" s="60"/>
    </row>
    <row r="20" spans="1:13">
      <c r="A20" s="52" t="s">
        <v>34</v>
      </c>
      <c r="B20" s="56"/>
      <c r="C20" s="35"/>
      <c r="D20" s="65" t="s">
        <v>35</v>
      </c>
      <c r="E20" s="35"/>
      <c r="F20" s="14"/>
      <c r="G20" s="14"/>
      <c r="H20" s="14"/>
      <c r="I20" s="15"/>
      <c r="J20" s="66">
        <f>ROUND(SUM(J11:J18),0)</f>
        <v>12248095</v>
      </c>
      <c r="K20" s="67"/>
      <c r="L20" s="66">
        <f>ROUND(SUM(L11:L18),0)</f>
        <v>3903872</v>
      </c>
      <c r="M20" s="66">
        <f>ROUND(SUM(M11:M18),0)</f>
        <v>16151967</v>
      </c>
    </row>
    <row r="21" spans="1:13">
      <c r="A21" s="52"/>
      <c r="B21" s="56"/>
      <c r="C21" s="14"/>
      <c r="D21" s="14"/>
      <c r="E21" s="14"/>
      <c r="F21" s="14"/>
      <c r="G21" s="14"/>
      <c r="H21" s="14"/>
      <c r="I21" s="15"/>
      <c r="J21" s="17"/>
      <c r="K21" s="17"/>
      <c r="L21" s="17"/>
      <c r="M21" s="17"/>
    </row>
    <row r="22" spans="1:13">
      <c r="A22" s="70"/>
      <c r="B22" s="71"/>
      <c r="C22" s="29" t="s">
        <v>36</v>
      </c>
      <c r="D22" s="14"/>
      <c r="E22" s="14"/>
      <c r="F22" s="14"/>
      <c r="G22" s="14"/>
      <c r="H22" s="14"/>
      <c r="I22" s="15"/>
      <c r="J22" s="16"/>
      <c r="K22" s="17"/>
      <c r="L22" s="16"/>
      <c r="M22" s="16"/>
    </row>
    <row r="23" spans="1:13">
      <c r="A23" s="52"/>
      <c r="B23" s="53"/>
      <c r="C23" s="14" t="s">
        <v>37</v>
      </c>
      <c r="D23" s="14"/>
      <c r="E23" s="14"/>
      <c r="F23" s="14"/>
      <c r="G23" s="35"/>
      <c r="H23" s="14"/>
      <c r="I23" s="15"/>
      <c r="J23" s="16"/>
      <c r="K23" s="17"/>
      <c r="L23" s="16"/>
      <c r="M23" s="16"/>
    </row>
    <row r="24" spans="1:13">
      <c r="A24" s="12" t="s">
        <v>38</v>
      </c>
      <c r="B24" s="72" t="s">
        <v>39</v>
      </c>
      <c r="C24" s="44"/>
      <c r="D24" s="36" t="s">
        <v>40</v>
      </c>
      <c r="E24" s="14"/>
      <c r="F24" s="14"/>
      <c r="G24" s="35"/>
      <c r="H24" s="14"/>
      <c r="I24" s="15"/>
      <c r="J24" s="50">
        <f>32541543.3+8211968.5-972575.01</f>
        <v>39780936.789999999</v>
      </c>
      <c r="K24" s="230"/>
      <c r="L24" s="50">
        <v>0</v>
      </c>
      <c r="M24" s="50">
        <f>+J24+L24</f>
        <v>39780936.789999999</v>
      </c>
    </row>
    <row r="25" spans="1:13">
      <c r="A25" s="1" t="s">
        <v>41</v>
      </c>
      <c r="B25" s="72" t="s">
        <v>39</v>
      </c>
      <c r="C25" s="44"/>
      <c r="D25" s="36" t="s">
        <v>42</v>
      </c>
      <c r="E25" s="14"/>
      <c r="F25" s="14"/>
      <c r="G25" s="35"/>
      <c r="H25" s="14"/>
      <c r="I25" s="15"/>
      <c r="J25" s="50">
        <v>9536348</v>
      </c>
      <c r="K25" s="230"/>
      <c r="L25" s="50">
        <v>505711</v>
      </c>
      <c r="M25" s="50">
        <f t="shared" ref="M25:M29" si="1">+J25+L25</f>
        <v>10042059</v>
      </c>
    </row>
    <row r="26" spans="1:13">
      <c r="A26" s="12" t="s">
        <v>43</v>
      </c>
      <c r="B26" s="34" t="s">
        <v>39</v>
      </c>
      <c r="C26" s="44"/>
      <c r="D26" s="36" t="s">
        <v>44</v>
      </c>
      <c r="E26" s="14"/>
      <c r="F26" s="14"/>
      <c r="G26" s="35"/>
      <c r="H26" s="14"/>
      <c r="I26" s="15"/>
      <c r="J26" s="50">
        <v>3812841.14</v>
      </c>
      <c r="K26" s="230"/>
      <c r="L26" s="50">
        <v>17729</v>
      </c>
      <c r="M26" s="50">
        <f t="shared" si="1"/>
        <v>3830570.14</v>
      </c>
    </row>
    <row r="27" spans="1:13">
      <c r="A27" s="1" t="s">
        <v>45</v>
      </c>
      <c r="B27" s="72" t="s">
        <v>39</v>
      </c>
      <c r="C27" s="44"/>
      <c r="D27" s="36" t="s">
        <v>46</v>
      </c>
      <c r="E27" s="14"/>
      <c r="F27" s="14"/>
      <c r="G27" s="35"/>
      <c r="H27" s="14"/>
      <c r="I27" s="15"/>
      <c r="J27" s="50">
        <v>9920368.6500000004</v>
      </c>
      <c r="K27" s="230"/>
      <c r="L27" s="50">
        <v>269134</v>
      </c>
      <c r="M27" s="50">
        <f t="shared" si="1"/>
        <v>10189502.65</v>
      </c>
    </row>
    <row r="28" spans="1:13">
      <c r="A28" s="12" t="s">
        <v>47</v>
      </c>
      <c r="B28" s="34" t="s">
        <v>39</v>
      </c>
      <c r="C28" s="44"/>
      <c r="D28" s="36" t="s">
        <v>48</v>
      </c>
      <c r="E28" s="14"/>
      <c r="F28" s="14"/>
      <c r="G28" s="35"/>
      <c r="H28" s="14"/>
      <c r="I28" s="15"/>
      <c r="J28" s="50">
        <v>7172206.96</v>
      </c>
      <c r="K28" s="230"/>
      <c r="L28" s="50">
        <v>1957802</v>
      </c>
      <c r="M28" s="50">
        <f t="shared" si="1"/>
        <v>9130008.9600000009</v>
      </c>
    </row>
    <row r="29" spans="1:13">
      <c r="A29" s="1" t="s">
        <v>49</v>
      </c>
      <c r="B29" s="34" t="s">
        <v>39</v>
      </c>
      <c r="C29" s="44"/>
      <c r="D29" s="36" t="s">
        <v>50</v>
      </c>
      <c r="E29" s="14"/>
      <c r="F29" s="14"/>
      <c r="G29" s="35"/>
      <c r="H29" s="14"/>
      <c r="I29" s="15"/>
      <c r="J29" s="50">
        <v>6642249.5899999999</v>
      </c>
      <c r="K29" s="230"/>
      <c r="L29" s="50">
        <v>215393</v>
      </c>
      <c r="M29" s="50">
        <f t="shared" si="1"/>
        <v>6857642.5899999999</v>
      </c>
    </row>
    <row r="30" spans="1:13">
      <c r="A30" s="12" t="s">
        <v>51</v>
      </c>
      <c r="B30" s="72" t="s">
        <v>52</v>
      </c>
      <c r="C30" s="44"/>
      <c r="D30" s="36" t="s">
        <v>53</v>
      </c>
      <c r="E30" s="14"/>
      <c r="F30" s="14"/>
      <c r="G30" s="35"/>
      <c r="H30" s="14"/>
      <c r="I30" s="15"/>
      <c r="J30" s="231">
        <f>'[24]Accounts by GL'!O481</f>
        <v>3067526.81</v>
      </c>
      <c r="K30" s="230"/>
      <c r="L30" s="58">
        <v>4576</v>
      </c>
      <c r="M30" s="236">
        <f>+J30+L30</f>
        <v>3072102.81</v>
      </c>
    </row>
    <row r="31" spans="1:13">
      <c r="B31" s="72"/>
      <c r="C31" s="44"/>
      <c r="D31" s="36"/>
      <c r="E31" s="14"/>
      <c r="F31" s="14"/>
      <c r="G31" s="35"/>
      <c r="H31" s="14"/>
      <c r="I31" s="15"/>
      <c r="J31" s="73"/>
      <c r="K31" s="73"/>
      <c r="L31" s="73"/>
      <c r="M31" s="73"/>
    </row>
    <row r="32" spans="1:13">
      <c r="A32" s="1" t="s">
        <v>54</v>
      </c>
      <c r="B32" s="72"/>
      <c r="C32" s="14"/>
      <c r="D32" s="65" t="s">
        <v>55</v>
      </c>
      <c r="E32" s="35"/>
      <c r="F32" s="14"/>
      <c r="G32" s="14"/>
      <c r="H32" s="14"/>
      <c r="I32" s="15"/>
      <c r="J32" s="66">
        <f>ROUND(SUM(J24:J30),0)</f>
        <v>79932478</v>
      </c>
      <c r="K32" s="59"/>
      <c r="L32" s="66">
        <f>ROUND(SUM(L24:L30),0)</f>
        <v>2970345</v>
      </c>
      <c r="M32" s="66">
        <f>ROUND(SUM(M24:M30),0)</f>
        <v>82902823</v>
      </c>
    </row>
    <row r="33" spans="1:13">
      <c r="A33" s="12"/>
      <c r="B33" s="72"/>
      <c r="C33" s="44"/>
      <c r="D33" s="76"/>
      <c r="E33" s="14"/>
      <c r="F33" s="14"/>
      <c r="G33" s="35"/>
      <c r="H33" s="14"/>
      <c r="I33" s="15"/>
      <c r="J33" s="59"/>
      <c r="K33" s="59"/>
      <c r="L33" s="59"/>
      <c r="M33" s="59"/>
    </row>
    <row r="34" spans="1:13">
      <c r="B34" s="72"/>
      <c r="C34" s="14"/>
      <c r="D34" s="65" t="str">
        <f>IF(J34&lt;0,IF(L34&gt;0,"Operating Income (Loss)","Operating Loss"),IF(J34&gt;0,IF(L34&gt;=0,"Operating Income","Operating Income (Loss)"),IF(L34&lt;0,"Operating Loss",IF(L34&gt;0,"Operating Income","Operating Income (Loss)"))))</f>
        <v>Operating Income (Loss)</v>
      </c>
      <c r="E34" s="35"/>
      <c r="F34" s="14"/>
      <c r="G34" s="14"/>
      <c r="H34" s="14"/>
      <c r="I34" s="15"/>
      <c r="J34" s="66">
        <f>J20-J32</f>
        <v>-67684383</v>
      </c>
      <c r="K34" s="67"/>
      <c r="L34" s="66">
        <f>L20-L32</f>
        <v>933527</v>
      </c>
      <c r="M34" s="66">
        <f>M20-M32</f>
        <v>-66750856</v>
      </c>
    </row>
    <row r="35" spans="1:13">
      <c r="A35" s="12"/>
      <c r="B35" s="72"/>
      <c r="C35" s="14"/>
      <c r="D35" s="14"/>
      <c r="E35" s="14"/>
      <c r="F35" s="14"/>
      <c r="G35" s="14"/>
      <c r="H35" s="14"/>
      <c r="I35" s="15"/>
      <c r="J35" s="78"/>
      <c r="K35" s="78"/>
      <c r="L35" s="78"/>
      <c r="M35" s="78"/>
    </row>
    <row r="36" spans="1:13">
      <c r="B36" s="72"/>
      <c r="C36" s="29" t="s">
        <v>56</v>
      </c>
      <c r="D36" s="35"/>
      <c r="E36" s="14"/>
      <c r="F36" s="14"/>
      <c r="G36" s="14"/>
      <c r="H36" s="14"/>
      <c r="I36" s="15"/>
      <c r="J36" s="16"/>
      <c r="K36" s="17"/>
      <c r="L36" s="16"/>
      <c r="M36" s="16"/>
    </row>
    <row r="37" spans="1:13">
      <c r="A37" s="12" t="s">
        <v>57</v>
      </c>
      <c r="B37" s="72" t="s">
        <v>58</v>
      </c>
      <c r="C37" s="36" t="s">
        <v>59</v>
      </c>
      <c r="D37" s="35"/>
      <c r="E37" s="14"/>
      <c r="F37" s="14"/>
      <c r="G37" s="35"/>
      <c r="H37" s="14"/>
      <c r="I37" s="15"/>
      <c r="J37" s="80">
        <v>34770267.18</v>
      </c>
      <c r="K37" s="49"/>
      <c r="L37" s="80">
        <v>0</v>
      </c>
      <c r="M37" s="80">
        <f>+J37+L37</f>
        <v>34770267.18</v>
      </c>
    </row>
    <row r="38" spans="1:13">
      <c r="A38" s="1" t="s">
        <v>60</v>
      </c>
      <c r="B38" s="72" t="s">
        <v>21</v>
      </c>
      <c r="C38" s="36" t="s">
        <v>61</v>
      </c>
      <c r="D38" s="35"/>
      <c r="E38" s="14"/>
      <c r="F38" s="14"/>
      <c r="G38" s="35"/>
      <c r="H38" s="14"/>
      <c r="I38" s="15"/>
      <c r="J38" s="80">
        <v>17665237.07</v>
      </c>
      <c r="K38" s="49"/>
      <c r="L38" s="80">
        <v>0</v>
      </c>
      <c r="M38" s="80">
        <f t="shared" ref="M38:M44" si="2">+J38+L38</f>
        <v>17665237.07</v>
      </c>
    </row>
    <row r="39" spans="1:13">
      <c r="A39" s="12" t="s">
        <v>62</v>
      </c>
      <c r="B39" s="72" t="s">
        <v>21</v>
      </c>
      <c r="C39" s="36" t="s">
        <v>63</v>
      </c>
      <c r="D39" s="35"/>
      <c r="E39" s="14"/>
      <c r="F39" s="14"/>
      <c r="G39" s="35"/>
      <c r="H39" s="14"/>
      <c r="I39" s="15"/>
      <c r="J39" s="80">
        <v>7839318.5999999996</v>
      </c>
      <c r="K39" s="49"/>
      <c r="L39" s="80">
        <v>0</v>
      </c>
      <c r="M39" s="80">
        <f t="shared" si="2"/>
        <v>7839318.5999999996</v>
      </c>
    </row>
    <row r="40" spans="1:13">
      <c r="A40" s="1" t="s">
        <v>64</v>
      </c>
      <c r="B40" s="72" t="s">
        <v>65</v>
      </c>
      <c r="C40" s="36" t="s">
        <v>66</v>
      </c>
      <c r="D40" s="35"/>
      <c r="E40" s="14"/>
      <c r="F40" s="14"/>
      <c r="G40" s="35"/>
      <c r="H40" s="14"/>
      <c r="I40" s="15"/>
      <c r="J40" s="80">
        <v>60296.73</v>
      </c>
      <c r="K40" s="49"/>
      <c r="L40" s="80">
        <v>461810</v>
      </c>
      <c r="M40" s="80">
        <f t="shared" si="2"/>
        <v>522106.73</v>
      </c>
    </row>
    <row r="41" spans="1:13">
      <c r="A41" s="12" t="s">
        <v>67</v>
      </c>
      <c r="B41" s="72" t="s">
        <v>65</v>
      </c>
      <c r="C41" s="36" t="str">
        <f>IF(J41&lt;0,IF(L41&gt;0,"Net Gain (Loss) on Investments","Net Loss on Investments"),IF(J41&gt;0,IF(L41&gt;=0,"Net Gain on Investments","Net Gain (Loss) on Investments"),IF(L41&lt;0,"Net Loss on Investments",IF(L41&gt;0,"Net Gain on Investments","Net Gain (Loss) on Investments"))))</f>
        <v>Net Gain on Investments</v>
      </c>
      <c r="D41" s="35"/>
      <c r="E41" s="14"/>
      <c r="F41" s="14"/>
      <c r="G41" s="35"/>
      <c r="H41" s="14"/>
      <c r="I41" s="15"/>
      <c r="J41" s="80">
        <v>0</v>
      </c>
      <c r="K41" s="49"/>
      <c r="L41" s="80">
        <v>881108</v>
      </c>
      <c r="M41" s="80">
        <f t="shared" si="2"/>
        <v>881108</v>
      </c>
    </row>
    <row r="42" spans="1:13">
      <c r="A42" s="1" t="s">
        <v>68</v>
      </c>
      <c r="B42" s="72" t="s">
        <v>32</v>
      </c>
      <c r="C42" s="36" t="s">
        <v>69</v>
      </c>
      <c r="D42" s="35"/>
      <c r="E42" s="14"/>
      <c r="F42" s="14"/>
      <c r="G42" s="35"/>
      <c r="H42" s="14"/>
      <c r="I42" s="15"/>
      <c r="J42" s="80">
        <v>5801026.8899999997</v>
      </c>
      <c r="K42" s="49"/>
      <c r="L42" s="80">
        <v>0</v>
      </c>
      <c r="M42" s="80">
        <f t="shared" si="2"/>
        <v>5801026.8899999997</v>
      </c>
    </row>
    <row r="43" spans="1:13">
      <c r="A43" s="12" t="s">
        <v>70</v>
      </c>
      <c r="B43" s="72" t="s">
        <v>71</v>
      </c>
      <c r="C43" s="36" t="str">
        <f>IF(J43&lt;0,IF(L43&gt;0,"Gain (Loss) on Disposal of Capital Assets","Loss on Disposal of Capital Assets"),IF(J43&gt;0,IF(L43&gt;=0,"Gain on Disposal of Capital Assets","Gain (Loss) on Disposal of Capital Assets"),IF(L43&lt;0,"Loss on Disposal of Capital Assets",IF(L43&gt;0,"Gain on Disposal of Capital Assets","Gain (Loss) on Disposal of Capital Assets"))))</f>
        <v>Loss on Disposal of Capital Assets</v>
      </c>
      <c r="D43" s="35"/>
      <c r="E43" s="14"/>
      <c r="F43" s="14"/>
      <c r="G43" s="35"/>
      <c r="H43" s="14"/>
      <c r="I43" s="15"/>
      <c r="J43" s="80">
        <f>99000-881515.97</f>
        <v>-782515.97</v>
      </c>
      <c r="K43" s="49"/>
      <c r="L43" s="80">
        <v>0</v>
      </c>
      <c r="M43" s="80">
        <f t="shared" si="2"/>
        <v>-782515.97</v>
      </c>
    </row>
    <row r="44" spans="1:13">
      <c r="A44" s="1" t="s">
        <v>72</v>
      </c>
      <c r="B44" s="72" t="s">
        <v>39</v>
      </c>
      <c r="C44" s="36" t="s">
        <v>73</v>
      </c>
      <c r="D44" s="35"/>
      <c r="E44" s="35"/>
      <c r="F44" s="35"/>
      <c r="G44" s="35"/>
      <c r="H44" s="35"/>
      <c r="I44" s="35"/>
      <c r="J44" s="80">
        <v>-42033.65</v>
      </c>
      <c r="K44" s="49"/>
      <c r="L44" s="80">
        <v>0</v>
      </c>
      <c r="M44" s="80">
        <f t="shared" si="2"/>
        <v>-42033.65</v>
      </c>
    </row>
    <row r="45" spans="1:13">
      <c r="A45" s="12" t="s">
        <v>74</v>
      </c>
      <c r="B45" s="72" t="s">
        <v>39</v>
      </c>
      <c r="C45" s="36" t="s">
        <v>75</v>
      </c>
      <c r="D45" s="35"/>
      <c r="E45" s="14"/>
      <c r="F45" s="14"/>
      <c r="G45" s="35"/>
      <c r="H45" s="14"/>
      <c r="I45" s="15"/>
      <c r="J45" s="82">
        <v>0</v>
      </c>
      <c r="K45" s="49"/>
      <c r="L45" s="82">
        <v>-2500</v>
      </c>
      <c r="M45" s="82">
        <f>+J45+L45</f>
        <v>-2500</v>
      </c>
    </row>
    <row r="46" spans="1:13">
      <c r="B46" s="72"/>
      <c r="C46" s="35"/>
      <c r="D46" s="35"/>
      <c r="E46" s="35"/>
      <c r="F46" s="35"/>
      <c r="G46" s="35"/>
      <c r="H46" s="35"/>
      <c r="I46" s="35"/>
      <c r="J46" s="83"/>
      <c r="K46" s="84"/>
      <c r="L46" s="83"/>
      <c r="M46" s="83"/>
    </row>
    <row r="47" spans="1:13">
      <c r="A47" s="52" t="s">
        <v>76</v>
      </c>
      <c r="B47" s="53"/>
      <c r="C47" s="29" t="s">
        <v>77</v>
      </c>
      <c r="D47" s="35"/>
      <c r="E47" s="14"/>
      <c r="F47" s="14"/>
      <c r="G47" s="14"/>
      <c r="H47" s="14"/>
      <c r="I47" s="15"/>
      <c r="J47" s="66">
        <f t="array" ref="J47">SUM(ROUND(J37:J45,0))</f>
        <v>65311597</v>
      </c>
      <c r="K47" s="59"/>
      <c r="L47" s="66">
        <f t="array" ref="L47">SUM(ROUND(L37:L45,0))</f>
        <v>1340418</v>
      </c>
      <c r="M47" s="66">
        <f t="array" ref="M47">SUM(ROUND(M37:M45,0))</f>
        <v>66652015</v>
      </c>
    </row>
    <row r="48" spans="1:13">
      <c r="A48" s="52"/>
      <c r="B48" s="53"/>
      <c r="C48" s="86"/>
      <c r="D48" s="87"/>
      <c r="E48" s="15"/>
      <c r="F48" s="15"/>
      <c r="G48" s="15"/>
      <c r="H48" s="15"/>
      <c r="I48" s="15"/>
      <c r="J48" s="59"/>
      <c r="K48" s="59"/>
      <c r="L48" s="59"/>
      <c r="M48" s="59"/>
    </row>
    <row r="49" spans="1:13">
      <c r="A49" s="52"/>
      <c r="B49" s="53"/>
      <c r="C49" s="65" t="str">
        <f>IF(J50&lt;0,IF(L50&gt;0,"Income (Loss) Before Other Revenues,","Loss Before Other Revenues,"),IF(J50&gt;0,IF(L50&gt;=0,"Income Before Other Revenues,","Income (Loss) Before Other Revenues,"),IF(L59&lt;0,"Loss Before Other Revenues,",IF(L59&gt;0,"Income Before Other Revenues,","Income (Loss) Before Other Revenues,"))))</f>
        <v>Income (Loss) Before Other Revenues,</v>
      </c>
      <c r="D49" s="35"/>
      <c r="E49" s="35"/>
      <c r="F49" s="14"/>
      <c r="G49" s="14"/>
      <c r="H49" s="14"/>
      <c r="I49" s="15"/>
      <c r="J49" s="35"/>
      <c r="K49" s="35"/>
      <c r="L49" s="35"/>
      <c r="M49" s="35"/>
    </row>
    <row r="50" spans="1:13">
      <c r="A50" s="52"/>
      <c r="B50" s="53"/>
      <c r="C50" s="14"/>
      <c r="D50" s="29" t="s">
        <v>78</v>
      </c>
      <c r="E50" s="14"/>
      <c r="F50" s="14"/>
      <c r="G50" s="14"/>
      <c r="H50" s="14"/>
      <c r="I50" s="15"/>
      <c r="J50" s="66">
        <f>J34+J47</f>
        <v>-2372786</v>
      </c>
      <c r="K50" s="59"/>
      <c r="L50" s="66">
        <f>L34+L47</f>
        <v>2273945</v>
      </c>
      <c r="M50" s="66">
        <f>M34+M47</f>
        <v>-98841</v>
      </c>
    </row>
    <row r="51" spans="1:13">
      <c r="A51" s="52"/>
      <c r="B51" s="53"/>
      <c r="C51" s="14"/>
      <c r="D51" s="29"/>
      <c r="E51" s="14"/>
      <c r="F51" s="14"/>
      <c r="G51" s="14"/>
      <c r="H51" s="14"/>
      <c r="I51" s="15"/>
      <c r="J51" s="17"/>
      <c r="K51" s="17"/>
      <c r="L51" s="17"/>
      <c r="M51" s="17"/>
    </row>
    <row r="52" spans="1:13">
      <c r="A52" s="52" t="s">
        <v>79</v>
      </c>
      <c r="B52" s="53" t="s">
        <v>58</v>
      </c>
      <c r="C52" s="36" t="s">
        <v>80</v>
      </c>
      <c r="D52" s="35"/>
      <c r="E52" s="14"/>
      <c r="F52" s="14"/>
      <c r="G52" s="14"/>
      <c r="H52" s="35"/>
      <c r="I52" s="15"/>
      <c r="J52" s="80">
        <v>1960802</v>
      </c>
      <c r="K52" s="49"/>
      <c r="L52" s="80">
        <v>0</v>
      </c>
      <c r="M52" s="80">
        <f>ROUND(L52,0)+ROUND(J52,0)</f>
        <v>1960802</v>
      </c>
    </row>
    <row r="53" spans="1:13">
      <c r="A53" s="52" t="s">
        <v>81</v>
      </c>
      <c r="B53" s="53" t="s">
        <v>82</v>
      </c>
      <c r="C53" s="36" t="s">
        <v>83</v>
      </c>
      <c r="D53" s="35"/>
      <c r="E53" s="14"/>
      <c r="F53" s="14"/>
      <c r="G53" s="14"/>
      <c r="H53" s="35"/>
      <c r="I53" s="15"/>
      <c r="J53" s="50">
        <v>2933110</v>
      </c>
      <c r="K53" s="230"/>
      <c r="L53" s="50">
        <v>0</v>
      </c>
      <c r="M53" s="50">
        <f>ROUND(L53,0)+ROUND(J53,0)</f>
        <v>2933110</v>
      </c>
    </row>
    <row r="54" spans="1:13">
      <c r="A54" s="52" t="s">
        <v>84</v>
      </c>
      <c r="B54" s="53" t="s">
        <v>85</v>
      </c>
      <c r="C54" s="14" t="s">
        <v>86</v>
      </c>
      <c r="D54" s="35"/>
      <c r="E54" s="14"/>
      <c r="F54" s="14"/>
      <c r="G54" s="14"/>
      <c r="H54" s="35"/>
      <c r="I54" s="15"/>
      <c r="J54" s="89">
        <v>0</v>
      </c>
      <c r="K54" s="230"/>
      <c r="L54" s="89">
        <v>254487</v>
      </c>
      <c r="M54" s="89">
        <f>ROUND(L54,0)+ROUND(J54,0)</f>
        <v>254487</v>
      </c>
    </row>
    <row r="55" spans="1:13">
      <c r="A55" s="52" t="s">
        <v>87</v>
      </c>
      <c r="B55" s="53" t="s">
        <v>85</v>
      </c>
      <c r="C55" s="76" t="str">
        <f>IF(J55&lt;0,IF(L55&gt;0,"Other Revenues (Expenses)","Other Expenses"),IF(J55&gt;0,IF(L55&gt;=0,"Other Revenues","Other Revenues (Expenses)"),IF(L55&lt;0,"Other Expenses",IF(L55&gt;0,"Other Revenues","Other Revenues (Expenses)"))))</f>
        <v>Other Revenues (Expenses)</v>
      </c>
      <c r="D55" s="35"/>
      <c r="E55" s="14"/>
      <c r="F55" s="14"/>
      <c r="G55" s="14"/>
      <c r="H55" s="35"/>
      <c r="I55" s="15"/>
      <c r="J55" s="58"/>
      <c r="K55" s="230"/>
      <c r="L55" s="58">
        <v>0</v>
      </c>
      <c r="M55" s="58">
        <f>ROUND(L55,0)+ROUND(J55,0)</f>
        <v>0</v>
      </c>
    </row>
    <row r="56" spans="1:13">
      <c r="A56" s="52"/>
      <c r="B56" s="53"/>
      <c r="C56" s="35"/>
      <c r="D56" s="35"/>
      <c r="E56" s="14"/>
      <c r="F56" s="14"/>
      <c r="G56" s="14"/>
      <c r="H56" s="14"/>
      <c r="I56" s="15"/>
      <c r="J56" s="83"/>
      <c r="K56" s="84"/>
      <c r="L56" s="83"/>
      <c r="M56" s="83"/>
    </row>
    <row r="57" spans="1:13">
      <c r="A57" s="70" t="s">
        <v>88</v>
      </c>
      <c r="B57" s="53"/>
      <c r="C57" s="29" t="s">
        <v>89</v>
      </c>
      <c r="D57" s="35"/>
      <c r="E57" s="35"/>
      <c r="F57" s="14"/>
      <c r="G57" s="14"/>
      <c r="H57" s="14"/>
      <c r="I57" s="15"/>
      <c r="J57" s="90">
        <f t="array" ref="J57">SUM(ROUND(J52:J55,0))</f>
        <v>4893912</v>
      </c>
      <c r="K57" s="59"/>
      <c r="L57" s="90">
        <f t="array" ref="L57">SUM(ROUND(L52:L55,0))</f>
        <v>254487</v>
      </c>
      <c r="M57" s="90">
        <f t="array" ref="M57">SUM(ROUND(M52:M55,0))</f>
        <v>5148399</v>
      </c>
    </row>
    <row r="58" spans="1:13">
      <c r="A58" s="52"/>
      <c r="B58" s="53"/>
      <c r="C58" s="29"/>
      <c r="D58" s="35"/>
      <c r="E58" s="35"/>
      <c r="F58" s="14"/>
      <c r="G58" s="14"/>
      <c r="H58" s="14"/>
      <c r="I58" s="15"/>
      <c r="J58" s="59"/>
      <c r="K58" s="59"/>
      <c r="L58" s="59"/>
      <c r="M58" s="59"/>
    </row>
    <row r="59" spans="1:13">
      <c r="A59" s="70"/>
      <c r="B59" s="53"/>
      <c r="C59" s="65" t="str">
        <f>IF(J59&lt;0,IF(L59&gt;0,"Increase (Decrease) in Net Position","Decrease in Net Position"),IF(J59&gt;0,IF(L59&gt;=0,"Increase in Net Position","Increase (Decrease) in Net Position"),IF(L59&lt;0,"Decrease in Net Position",IF(L59&gt;0,"Increase in Net Position","Increase (Decrease) in Net Position"))))</f>
        <v>Increase in Net Position</v>
      </c>
      <c r="D59" s="35"/>
      <c r="E59" s="35"/>
      <c r="F59" s="14"/>
      <c r="G59" s="14"/>
      <c r="H59" s="14"/>
      <c r="I59" s="15"/>
      <c r="J59" s="90">
        <f>J50+J57</f>
        <v>2521126</v>
      </c>
      <c r="K59" s="92"/>
      <c r="L59" s="90">
        <f>L50+L57</f>
        <v>2528432</v>
      </c>
      <c r="M59" s="90">
        <f>M50+M57</f>
        <v>5049558</v>
      </c>
    </row>
    <row r="60" spans="1:13">
      <c r="A60" s="52"/>
      <c r="B60" s="53"/>
      <c r="C60" s="93"/>
      <c r="D60" s="35"/>
      <c r="E60" s="35"/>
      <c r="F60" s="14"/>
      <c r="G60" s="14"/>
      <c r="H60" s="14"/>
      <c r="I60" s="15"/>
      <c r="J60" s="94"/>
      <c r="K60" s="94"/>
      <c r="L60" s="94"/>
      <c r="M60" s="94"/>
    </row>
    <row r="61" spans="1:13">
      <c r="A61" s="52" t="s">
        <v>90</v>
      </c>
      <c r="B61" s="53"/>
      <c r="C61" s="14" t="s">
        <v>91</v>
      </c>
      <c r="D61" s="35"/>
      <c r="E61" s="14"/>
      <c r="F61" s="14"/>
      <c r="G61" s="14"/>
      <c r="H61" s="14"/>
      <c r="I61" s="15"/>
      <c r="J61" s="96">
        <f>VLOOKUP($C$1,[24]VLOOKUPS!A44:D71,2,FALSE)</f>
        <v>66127174</v>
      </c>
      <c r="K61" s="49"/>
      <c r="L61" s="96">
        <f>VLOOKUP($C$1,[24]VLOOKUPS!A44:D71,3,FALSE)</f>
        <v>22005756</v>
      </c>
      <c r="M61" s="89">
        <f>ROUND(L61,0)+ROUND(J61,0)</f>
        <v>88132930</v>
      </c>
    </row>
    <row r="62" spans="1:13">
      <c r="A62" s="52" t="s">
        <v>92</v>
      </c>
      <c r="B62" s="53" t="s">
        <v>93</v>
      </c>
      <c r="C62" s="14" t="s">
        <v>94</v>
      </c>
      <c r="D62" s="35"/>
      <c r="E62" s="14"/>
      <c r="F62" s="14"/>
      <c r="G62" s="14"/>
      <c r="H62" s="14"/>
      <c r="I62" s="15"/>
      <c r="J62" s="82">
        <f>-10740652-7714761</f>
        <v>-18455413</v>
      </c>
      <c r="K62" s="49"/>
      <c r="L62" s="82">
        <v>0</v>
      </c>
      <c r="M62" s="82">
        <f>ROUND(L62,0)+ROUND(J62,0)</f>
        <v>-18455413</v>
      </c>
    </row>
    <row r="63" spans="1:13">
      <c r="A63" s="52"/>
      <c r="B63" s="53"/>
      <c r="C63" s="36"/>
      <c r="D63" s="36"/>
      <c r="E63" s="36"/>
      <c r="F63" s="36"/>
      <c r="G63" s="36"/>
      <c r="H63" s="98"/>
      <c r="I63" s="36"/>
      <c r="J63" s="92"/>
      <c r="K63" s="99"/>
      <c r="L63" s="99"/>
      <c r="M63" s="99"/>
    </row>
    <row r="64" spans="1:13">
      <c r="A64" s="70"/>
      <c r="B64" s="53"/>
      <c r="C64" s="101" t="s">
        <v>95</v>
      </c>
      <c r="D64" s="36"/>
      <c r="E64" s="36"/>
      <c r="F64" s="36"/>
      <c r="G64" s="36"/>
      <c r="H64" s="60"/>
      <c r="I64" s="60"/>
      <c r="J64" s="90">
        <f t="array" ref="J64">SUM(ROUND(J61:J62,0))</f>
        <v>47671761</v>
      </c>
      <c r="K64" s="92"/>
      <c r="L64" s="90">
        <f t="array" ref="L64">SUM(ROUND(L61:L62,0))</f>
        <v>22005756</v>
      </c>
      <c r="M64" s="90">
        <f t="array" ref="M64">SUM(ROUND(M61:M62,0))</f>
        <v>69677517</v>
      </c>
    </row>
    <row r="65" spans="1:13">
      <c r="A65" s="52"/>
      <c r="B65" s="53"/>
      <c r="C65" s="36"/>
      <c r="D65" s="36"/>
      <c r="E65" s="36"/>
      <c r="F65" s="36"/>
      <c r="G65" s="36"/>
      <c r="H65" s="102"/>
      <c r="I65" s="36"/>
      <c r="J65" s="102"/>
      <c r="K65" s="60"/>
      <c r="L65" s="60"/>
      <c r="M65" s="60"/>
    </row>
    <row r="66" spans="1:13" ht="13.5" thickBot="1">
      <c r="A66" s="52"/>
      <c r="B66" s="53"/>
      <c r="C66" s="29" t="s">
        <v>96</v>
      </c>
      <c r="D66" s="35"/>
      <c r="E66" s="14"/>
      <c r="F66" s="14"/>
      <c r="G66" s="14"/>
      <c r="H66" s="14"/>
      <c r="I66" s="103"/>
      <c r="J66" s="104">
        <f>J59+J64</f>
        <v>50192887</v>
      </c>
      <c r="K66" s="105"/>
      <c r="L66" s="104">
        <f>L59+L64</f>
        <v>24534188</v>
      </c>
      <c r="M66" s="104">
        <f>M59+M64</f>
        <v>74727075</v>
      </c>
    </row>
    <row r="67" spans="1:13" ht="13.5" thickTop="1">
      <c r="A67" s="70"/>
      <c r="B67" s="53"/>
      <c r="C67" s="14"/>
      <c r="D67" s="14"/>
      <c r="E67" s="14"/>
      <c r="F67" s="14"/>
      <c r="G67" s="14"/>
      <c r="H67" s="14"/>
      <c r="I67" s="15"/>
      <c r="J67" s="107"/>
      <c r="K67" s="15"/>
      <c r="L67" s="107"/>
      <c r="M67" s="107"/>
    </row>
    <row r="68" spans="1:13">
      <c r="A68" s="52"/>
      <c r="B68" s="53"/>
      <c r="C68" s="35" t="s">
        <v>97</v>
      </c>
      <c r="D68" s="35"/>
      <c r="E68" s="35"/>
      <c r="F68" s="35"/>
      <c r="G68" s="35"/>
      <c r="H68" s="35"/>
      <c r="I68" s="87"/>
      <c r="J68" s="35"/>
      <c r="K68" s="87"/>
      <c r="L68" s="35"/>
      <c r="M68" s="35"/>
    </row>
    <row r="69" spans="1:13">
      <c r="B69" s="72"/>
      <c r="I69" s="6"/>
      <c r="J69" s="109">
        <f>J66-[24]SNP!K119</f>
        <v>0</v>
      </c>
      <c r="K69" s="110"/>
      <c r="L69" s="111">
        <f>L66-[24]SNP!M119</f>
        <v>0</v>
      </c>
      <c r="M69" s="111">
        <f>M66-[24]SNP!N119</f>
        <v>0</v>
      </c>
    </row>
    <row r="70" spans="1:13">
      <c r="B70" s="72"/>
      <c r="I70" s="113" t="s">
        <v>98</v>
      </c>
      <c r="J70" s="114"/>
      <c r="K70" s="115"/>
      <c r="L70" s="114"/>
      <c r="M70" s="114"/>
    </row>
  </sheetData>
  <sheetProtection formatColumns="0" formatRows="0"/>
  <conditionalFormatting sqref="J69 L69">
    <cfRule type="cellIs" dxfId="134" priority="14" operator="notEqual">
      <formula>0</formula>
    </cfRule>
    <cfRule type="cellIs" dxfId="133" priority="15" operator="equal">
      <formula>0</formula>
    </cfRule>
  </conditionalFormatting>
  <conditionalFormatting sqref="J11:J15 F11:G11 L24:L30 L37:L45 J37:J45 L62 J62 L17:L18 J25:J29 J17:J18 F17:G17 L11:L15 L52:L55 J52:J55">
    <cfRule type="containsBlanks" dxfId="132" priority="12">
      <formula>LEN(TRIM(F11))=0</formula>
    </cfRule>
    <cfRule type="cellIs" dxfId="131" priority="13" operator="notEqual">
      <formula>0</formula>
    </cfRule>
  </conditionalFormatting>
  <conditionalFormatting sqref="J11">
    <cfRule type="cellIs" dxfId="130" priority="11" operator="notEqual">
      <formula>J20</formula>
    </cfRule>
  </conditionalFormatting>
  <conditionalFormatting sqref="L11">
    <cfRule type="cellIs" dxfId="129" priority="10" operator="notEqual">
      <formula>L20</formula>
    </cfRule>
  </conditionalFormatting>
  <conditionalFormatting sqref="M69">
    <cfRule type="cellIs" dxfId="128" priority="8" operator="notEqual">
      <formula>0</formula>
    </cfRule>
    <cfRule type="cellIs" dxfId="127" priority="9" operator="equal">
      <formula>0</formula>
    </cfRule>
  </conditionalFormatting>
  <conditionalFormatting sqref="M62 M52:M55 M11:M18 M24:M30 M37:M45">
    <cfRule type="containsBlanks" dxfId="126" priority="6">
      <formula>LEN(TRIM(M11))=0</formula>
    </cfRule>
    <cfRule type="cellIs" dxfId="125" priority="7" operator="notEqual">
      <formula>0</formula>
    </cfRule>
  </conditionalFormatting>
  <conditionalFormatting sqref="M11">
    <cfRule type="cellIs" dxfId="124" priority="5" operator="notEqual">
      <formula>M20</formula>
    </cfRule>
  </conditionalFormatting>
  <conditionalFormatting sqref="J24">
    <cfRule type="containsBlanks" dxfId="123" priority="3">
      <formula>LEN(TRIM(J24))=0</formula>
    </cfRule>
    <cfRule type="cellIs" dxfId="122" priority="4" operator="notEqual">
      <formula>0</formula>
    </cfRule>
  </conditionalFormatting>
  <conditionalFormatting sqref="M61">
    <cfRule type="containsBlanks" dxfId="121" priority="1">
      <formula>LEN(TRIM(M61))=0</formula>
    </cfRule>
    <cfRule type="cellIs" dxfId="120" priority="2" operator="notEqual">
      <formula>0</formula>
    </cfRule>
  </conditionalFormatting>
  <printOptions horizontalCentered="1"/>
  <pageMargins left="0.25" right="0.25" top="0.75" bottom="0.75" header="0.3" footer="0.3"/>
  <pageSetup scale="55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  <pageSetUpPr fitToPage="1"/>
  </sheetPr>
  <dimension ref="A1:T70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0" style="1" hidden="1" customWidth="1"/>
    <col min="2" max="2" width="0" style="20" hidden="1" customWidth="1"/>
    <col min="3" max="8" width="11.140625" style="6"/>
    <col min="9" max="9" width="11.140625" style="11"/>
    <col min="10" max="10" width="16" style="6" customWidth="1"/>
    <col min="11" max="11" width="11.140625" style="11"/>
    <col min="12" max="12" width="13.140625" style="6" customWidth="1"/>
    <col min="13" max="13" width="14.7109375" style="6" customWidth="1"/>
    <col min="14" max="14" width="11.140625" style="6"/>
    <col min="15" max="15" width="11.140625" style="10"/>
    <col min="16" max="20" width="11.140625" style="5"/>
    <col min="21" max="16384" width="11.140625" style="6"/>
  </cols>
  <sheetData>
    <row r="1" spans="1:14">
      <c r="B1" s="2"/>
      <c r="C1" s="260" t="str">
        <f>'[25]Contact Information'!$C$5</f>
        <v>POLK STATE COLLEGE</v>
      </c>
      <c r="D1" s="260"/>
      <c r="E1" s="260"/>
      <c r="F1" s="260"/>
      <c r="G1" s="260"/>
      <c r="H1" s="260"/>
      <c r="I1" s="260"/>
      <c r="J1" s="260"/>
      <c r="K1" s="260"/>
      <c r="L1" s="260"/>
      <c r="M1" s="247"/>
      <c r="N1" s="3"/>
    </row>
    <row r="2" spans="1:14">
      <c r="B2" s="2"/>
      <c r="C2" s="256" t="s">
        <v>0</v>
      </c>
      <c r="D2" s="256"/>
      <c r="E2" s="256"/>
      <c r="F2" s="256"/>
      <c r="G2" s="256"/>
      <c r="H2" s="256"/>
      <c r="I2" s="256"/>
      <c r="J2" s="256"/>
      <c r="K2" s="256"/>
      <c r="L2" s="256"/>
      <c r="M2" s="245"/>
      <c r="N2" s="7"/>
    </row>
    <row r="3" spans="1:14">
      <c r="B3" s="2"/>
      <c r="C3" s="86" t="s">
        <v>1</v>
      </c>
      <c r="D3" s="86"/>
      <c r="E3" s="86"/>
      <c r="F3" s="86"/>
      <c r="G3" s="86"/>
      <c r="H3" s="86"/>
      <c r="I3" s="86"/>
      <c r="J3" s="86"/>
      <c r="K3" s="86"/>
      <c r="L3" s="86"/>
      <c r="M3" s="248"/>
      <c r="N3" s="9" t="s">
        <v>2</v>
      </c>
    </row>
    <row r="4" spans="1:14">
      <c r="B4" s="2"/>
      <c r="C4" s="261" t="s">
        <v>297</v>
      </c>
      <c r="D4" s="261"/>
      <c r="E4" s="261"/>
      <c r="F4" s="261"/>
      <c r="G4" s="261"/>
      <c r="H4" s="261"/>
      <c r="I4" s="261"/>
      <c r="J4" s="261"/>
      <c r="K4" s="261"/>
      <c r="L4" s="261"/>
      <c r="M4" s="249"/>
      <c r="N4" s="11" t="str">
        <f>'[25]Contact Information'!$C$3</f>
        <v>2015.v02</v>
      </c>
    </row>
    <row r="5" spans="1:14">
      <c r="A5" s="12"/>
      <c r="B5" s="13"/>
      <c r="C5" s="14"/>
      <c r="D5" s="14"/>
      <c r="E5" s="14"/>
      <c r="F5" s="14"/>
      <c r="G5" s="14"/>
      <c r="H5" s="14"/>
      <c r="I5" s="15"/>
      <c r="J5" s="16"/>
      <c r="K5" s="17"/>
      <c r="L5" s="16"/>
      <c r="M5" s="16"/>
      <c r="N5" s="18"/>
    </row>
    <row r="6" spans="1:14">
      <c r="C6" s="14"/>
      <c r="D6" s="14"/>
      <c r="E6" s="14"/>
      <c r="F6" s="14"/>
      <c r="G6" s="14"/>
      <c r="H6" s="14"/>
      <c r="I6" s="15"/>
      <c r="J6" s="249" t="s">
        <v>5</v>
      </c>
      <c r="K6" s="21"/>
      <c r="L6" s="22" t="s">
        <v>6</v>
      </c>
      <c r="M6" s="22" t="s">
        <v>7</v>
      </c>
      <c r="N6" s="23"/>
    </row>
    <row r="7" spans="1:14">
      <c r="C7" s="14"/>
      <c r="D7" s="14"/>
      <c r="E7" s="14"/>
      <c r="F7" s="14"/>
      <c r="G7" s="14"/>
      <c r="H7" s="14"/>
      <c r="I7" s="15"/>
      <c r="J7" s="24"/>
      <c r="K7" s="25"/>
      <c r="L7" s="26" t="str">
        <f>[25]SNP!$M$9</f>
        <v>Unit</v>
      </c>
      <c r="M7" s="26"/>
      <c r="N7" s="27"/>
    </row>
    <row r="8" spans="1:14">
      <c r="C8" s="29" t="s">
        <v>9</v>
      </c>
      <c r="D8" s="14"/>
      <c r="E8" s="14"/>
      <c r="F8" s="14"/>
      <c r="G8" s="14"/>
      <c r="H8" s="14"/>
      <c r="I8" s="15"/>
      <c r="J8" s="25"/>
      <c r="K8" s="25"/>
      <c r="L8" s="25"/>
      <c r="M8" s="25"/>
      <c r="N8" s="30"/>
    </row>
    <row r="9" spans="1:14">
      <c r="A9" s="32" t="s">
        <v>10</v>
      </c>
      <c r="B9" s="33" t="s">
        <v>11</v>
      </c>
      <c r="C9" s="14" t="s">
        <v>12</v>
      </c>
      <c r="D9" s="14"/>
      <c r="E9" s="14"/>
      <c r="F9" s="14"/>
      <c r="G9" s="14"/>
      <c r="H9" s="14"/>
      <c r="I9" s="15"/>
      <c r="J9" s="17"/>
      <c r="K9" s="17"/>
      <c r="L9" s="17"/>
      <c r="M9" s="17"/>
      <c r="N9" s="18"/>
    </row>
    <row r="10" spans="1:14">
      <c r="B10" s="34"/>
      <c r="C10" s="35"/>
      <c r="D10" s="36" t="s">
        <v>14</v>
      </c>
      <c r="E10" s="14"/>
      <c r="F10" s="14"/>
      <c r="G10" s="14"/>
      <c r="H10" s="14"/>
      <c r="I10" s="35"/>
      <c r="J10" s="35"/>
      <c r="K10" s="17"/>
      <c r="L10" s="35"/>
      <c r="M10" s="35"/>
      <c r="N10" s="37"/>
    </row>
    <row r="11" spans="1:14">
      <c r="A11" s="1" t="s">
        <v>17</v>
      </c>
      <c r="B11" s="34" t="s">
        <v>18</v>
      </c>
      <c r="C11" s="35"/>
      <c r="D11" s="44" t="s">
        <v>19</v>
      </c>
      <c r="E11" s="35"/>
      <c r="F11" s="263">
        <v>11329316</v>
      </c>
      <c r="G11" s="263"/>
      <c r="H11" s="45"/>
      <c r="I11" s="36"/>
      <c r="J11" s="228">
        <v>13030246.41</v>
      </c>
      <c r="K11" s="229"/>
      <c r="L11" s="228">
        <v>0</v>
      </c>
      <c r="M11" s="228">
        <f>ROUND(L11,0)+ROUND(J11,0)</f>
        <v>13030246</v>
      </c>
      <c r="N11" s="46"/>
    </row>
    <row r="12" spans="1:14">
      <c r="A12" s="1" t="s">
        <v>20</v>
      </c>
      <c r="B12" s="34" t="s">
        <v>21</v>
      </c>
      <c r="C12" s="35"/>
      <c r="D12" s="36" t="s">
        <v>22</v>
      </c>
      <c r="E12" s="14"/>
      <c r="F12" s="48"/>
      <c r="G12" s="49"/>
      <c r="H12" s="15"/>
      <c r="I12" s="35"/>
      <c r="J12" s="50">
        <v>2690660.34</v>
      </c>
      <c r="K12" s="230"/>
      <c r="L12" s="50">
        <v>0</v>
      </c>
      <c r="M12" s="50">
        <f>ROUND(L12,0)+ROUND(J12,0)</f>
        <v>2690660</v>
      </c>
      <c r="N12" s="51"/>
    </row>
    <row r="13" spans="1:14">
      <c r="A13" s="1" t="s">
        <v>23</v>
      </c>
      <c r="B13" s="34" t="s">
        <v>21</v>
      </c>
      <c r="C13" s="35"/>
      <c r="D13" s="36" t="s">
        <v>24</v>
      </c>
      <c r="E13" s="14"/>
      <c r="F13" s="48"/>
      <c r="G13" s="48"/>
      <c r="H13" s="14"/>
      <c r="I13" s="35"/>
      <c r="J13" s="50">
        <v>5726832.3899999997</v>
      </c>
      <c r="K13" s="230"/>
      <c r="L13" s="50">
        <v>0</v>
      </c>
      <c r="M13" s="50">
        <f>ROUND(L13,0)+ROUND(J13,0)</f>
        <v>5726832</v>
      </c>
      <c r="N13" s="51"/>
    </row>
    <row r="14" spans="1:14">
      <c r="A14" s="1" t="s">
        <v>25</v>
      </c>
      <c r="B14" s="34" t="s">
        <v>21</v>
      </c>
      <c r="C14" s="35"/>
      <c r="D14" s="36" t="s">
        <v>26</v>
      </c>
      <c r="E14" s="14"/>
      <c r="F14" s="48"/>
      <c r="G14" s="48"/>
      <c r="H14" s="14"/>
      <c r="I14" s="35"/>
      <c r="J14" s="50">
        <v>231819.32</v>
      </c>
      <c r="K14" s="230"/>
      <c r="L14" s="50">
        <v>0</v>
      </c>
      <c r="M14" s="50">
        <f>ROUND(L14,0)+ROUND(J14,0)</f>
        <v>231819</v>
      </c>
      <c r="N14" s="51"/>
    </row>
    <row r="15" spans="1:14">
      <c r="A15" s="1" t="s">
        <v>27</v>
      </c>
      <c r="B15" s="34" t="s">
        <v>18</v>
      </c>
      <c r="C15" s="35"/>
      <c r="D15" s="36" t="s">
        <v>28</v>
      </c>
      <c r="E15" s="14"/>
      <c r="F15" s="48"/>
      <c r="G15" s="48"/>
      <c r="H15" s="35"/>
      <c r="I15" s="35"/>
      <c r="J15" s="50">
        <v>260945.88</v>
      </c>
      <c r="K15" s="230"/>
      <c r="L15" s="50">
        <v>0</v>
      </c>
      <c r="M15" s="50">
        <f>ROUND(L15,0)+ROUND(J15,0)</f>
        <v>260946</v>
      </c>
      <c r="N15" s="51"/>
    </row>
    <row r="16" spans="1:14">
      <c r="A16" s="52"/>
      <c r="B16" s="53"/>
      <c r="C16" s="35"/>
      <c r="D16" s="36" t="s">
        <v>29</v>
      </c>
      <c r="E16" s="14"/>
      <c r="F16" s="54"/>
      <c r="G16" s="49"/>
      <c r="H16" s="55"/>
      <c r="I16" s="35"/>
      <c r="J16" s="35"/>
      <c r="K16" s="230"/>
      <c r="L16" s="35"/>
      <c r="M16" s="35"/>
      <c r="N16" s="37"/>
    </row>
    <row r="17" spans="1:14">
      <c r="A17" s="52" t="s">
        <v>30</v>
      </c>
      <c r="B17" s="53" t="s">
        <v>18</v>
      </c>
      <c r="C17" s="35"/>
      <c r="D17" s="44" t="s">
        <v>19</v>
      </c>
      <c r="E17" s="35"/>
      <c r="F17" s="263">
        <v>0</v>
      </c>
      <c r="G17" s="263"/>
      <c r="H17" s="55"/>
      <c r="I17" s="35"/>
      <c r="J17" s="50">
        <v>692276.3</v>
      </c>
      <c r="K17" s="230"/>
      <c r="L17" s="50">
        <v>0</v>
      </c>
      <c r="M17" s="50">
        <f>ROUND(L17,0)+ROUND(J17,0)</f>
        <v>692276</v>
      </c>
      <c r="N17" s="51"/>
    </row>
    <row r="18" spans="1:14">
      <c r="A18" s="52" t="s">
        <v>31</v>
      </c>
      <c r="B18" s="56" t="s">
        <v>32</v>
      </c>
      <c r="C18" s="35"/>
      <c r="D18" s="57" t="s">
        <v>33</v>
      </c>
      <c r="E18" s="14"/>
      <c r="F18" s="14"/>
      <c r="G18" s="14"/>
      <c r="H18" s="14"/>
      <c r="I18" s="36"/>
      <c r="J18" s="58">
        <v>241714.77</v>
      </c>
      <c r="K18" s="230"/>
      <c r="L18" s="58">
        <v>212629</v>
      </c>
      <c r="M18" s="58">
        <f>ROUND(L18,0)+ROUND(J18,0)</f>
        <v>454344</v>
      </c>
      <c r="N18" s="51"/>
    </row>
    <row r="19" spans="1:14">
      <c r="A19" s="52"/>
      <c r="B19" s="56"/>
      <c r="C19" s="36"/>
      <c r="D19" s="36"/>
      <c r="E19" s="36"/>
      <c r="F19" s="36"/>
      <c r="G19" s="36"/>
      <c r="H19" s="59"/>
      <c r="I19" s="59"/>
      <c r="J19" s="59"/>
      <c r="K19" s="60"/>
      <c r="L19" s="60"/>
      <c r="M19" s="60"/>
      <c r="N19" s="61"/>
    </row>
    <row r="20" spans="1:14">
      <c r="A20" s="52" t="s">
        <v>34</v>
      </c>
      <c r="B20" s="56"/>
      <c r="C20" s="35"/>
      <c r="D20" s="65" t="s">
        <v>35</v>
      </c>
      <c r="E20" s="35"/>
      <c r="F20" s="14"/>
      <c r="G20" s="14"/>
      <c r="H20" s="14"/>
      <c r="I20" s="15"/>
      <c r="J20" s="66">
        <f t="array" ref="J20">SUM(ROUND(J11:J18,0))</f>
        <v>22874494</v>
      </c>
      <c r="K20" s="67"/>
      <c r="L20" s="66">
        <f t="array" ref="L20">SUM(ROUND(L11:L18,0))</f>
        <v>212629</v>
      </c>
      <c r="M20" s="66">
        <f t="array" ref="M20">SUM(ROUND(M11:M18,0))</f>
        <v>23087123</v>
      </c>
      <c r="N20" s="68"/>
    </row>
    <row r="21" spans="1:14">
      <c r="A21" s="52"/>
      <c r="B21" s="56"/>
      <c r="C21" s="14"/>
      <c r="D21" s="14"/>
      <c r="E21" s="14"/>
      <c r="F21" s="14"/>
      <c r="G21" s="14"/>
      <c r="H21" s="14"/>
      <c r="I21" s="15"/>
      <c r="J21" s="17"/>
      <c r="K21" s="17"/>
      <c r="L21" s="17"/>
      <c r="M21" s="17"/>
      <c r="N21" s="18"/>
    </row>
    <row r="22" spans="1:14">
      <c r="A22" s="70"/>
      <c r="B22" s="71"/>
      <c r="C22" s="29" t="s">
        <v>36</v>
      </c>
      <c r="D22" s="14"/>
      <c r="E22" s="14"/>
      <c r="F22" s="14"/>
      <c r="G22" s="14"/>
      <c r="H22" s="14"/>
      <c r="I22" s="15"/>
      <c r="J22" s="16"/>
      <c r="K22" s="17"/>
      <c r="L22" s="16"/>
      <c r="M22" s="16"/>
      <c r="N22" s="18"/>
    </row>
    <row r="23" spans="1:14">
      <c r="A23" s="52"/>
      <c r="B23" s="53"/>
      <c r="C23" s="14" t="s">
        <v>37</v>
      </c>
      <c r="D23" s="14"/>
      <c r="E23" s="14"/>
      <c r="F23" s="14"/>
      <c r="G23" s="35"/>
      <c r="H23" s="14"/>
      <c r="I23" s="15"/>
      <c r="J23" s="16"/>
      <c r="K23" s="17"/>
      <c r="L23" s="16"/>
      <c r="M23" s="16"/>
      <c r="N23" s="18"/>
    </row>
    <row r="24" spans="1:14">
      <c r="A24" s="12" t="s">
        <v>38</v>
      </c>
      <c r="B24" s="72" t="s">
        <v>39</v>
      </c>
      <c r="C24" s="44"/>
      <c r="D24" s="36" t="s">
        <v>40</v>
      </c>
      <c r="E24" s="14"/>
      <c r="F24" s="14"/>
      <c r="G24" s="35"/>
      <c r="H24" s="14"/>
      <c r="I24" s="15"/>
      <c r="J24" s="50">
        <v>41634326.969999999</v>
      </c>
      <c r="K24" s="230"/>
      <c r="L24" s="50">
        <v>801776</v>
      </c>
      <c r="M24" s="50">
        <f t="shared" ref="M24:M30" si="0">ROUND(L24,0)+ROUND(J24,0)</f>
        <v>42436103</v>
      </c>
      <c r="N24" s="51"/>
    </row>
    <row r="25" spans="1:14">
      <c r="A25" s="1" t="s">
        <v>41</v>
      </c>
      <c r="B25" s="72" t="s">
        <v>39</v>
      </c>
      <c r="C25" s="44"/>
      <c r="D25" s="36" t="s">
        <v>42</v>
      </c>
      <c r="E25" s="14"/>
      <c r="F25" s="14"/>
      <c r="G25" s="35"/>
      <c r="H25" s="14"/>
      <c r="I25" s="15"/>
      <c r="J25" s="50">
        <v>11720883.84</v>
      </c>
      <c r="K25" s="230"/>
      <c r="L25" s="50">
        <v>1326681</v>
      </c>
      <c r="M25" s="50">
        <f t="shared" si="0"/>
        <v>13047565</v>
      </c>
      <c r="N25" s="51"/>
    </row>
    <row r="26" spans="1:14">
      <c r="A26" s="12" t="s">
        <v>43</v>
      </c>
      <c r="B26" s="34" t="s">
        <v>39</v>
      </c>
      <c r="C26" s="44"/>
      <c r="D26" s="36" t="s">
        <v>44</v>
      </c>
      <c r="E26" s="14"/>
      <c r="F26" s="14"/>
      <c r="G26" s="35"/>
      <c r="H26" s="14"/>
      <c r="I26" s="15"/>
      <c r="J26" s="50">
        <v>2533002.0499999998</v>
      </c>
      <c r="K26" s="230"/>
      <c r="L26" s="50">
        <v>88652</v>
      </c>
      <c r="M26" s="50">
        <f t="shared" si="0"/>
        <v>2621654</v>
      </c>
      <c r="N26" s="51"/>
    </row>
    <row r="27" spans="1:14">
      <c r="A27" s="1" t="s">
        <v>45</v>
      </c>
      <c r="B27" s="72" t="s">
        <v>39</v>
      </c>
      <c r="C27" s="44"/>
      <c r="D27" s="36" t="s">
        <v>46</v>
      </c>
      <c r="E27" s="14"/>
      <c r="F27" s="14"/>
      <c r="G27" s="35"/>
      <c r="H27" s="14"/>
      <c r="I27" s="15"/>
      <c r="J27" s="50">
        <v>10780562.41</v>
      </c>
      <c r="K27" s="230"/>
      <c r="L27" s="50">
        <v>395102</v>
      </c>
      <c r="M27" s="50">
        <f t="shared" si="0"/>
        <v>11175664</v>
      </c>
      <c r="N27" s="51"/>
    </row>
    <row r="28" spans="1:14">
      <c r="A28" s="12" t="s">
        <v>47</v>
      </c>
      <c r="B28" s="34" t="s">
        <v>39</v>
      </c>
      <c r="C28" s="44"/>
      <c r="D28" s="36" t="s">
        <v>48</v>
      </c>
      <c r="E28" s="14"/>
      <c r="F28" s="14"/>
      <c r="G28" s="35"/>
      <c r="H28" s="14"/>
      <c r="I28" s="15"/>
      <c r="J28" s="50">
        <v>5065923.78</v>
      </c>
      <c r="K28" s="230"/>
      <c r="L28" s="50">
        <f>2381843+164438+144896+17262+11549</f>
        <v>2719988</v>
      </c>
      <c r="M28" s="50">
        <f t="shared" si="0"/>
        <v>7785912</v>
      </c>
      <c r="N28" s="51"/>
    </row>
    <row r="29" spans="1:14">
      <c r="A29" s="1" t="s">
        <v>49</v>
      </c>
      <c r="B29" s="34" t="s">
        <v>39</v>
      </c>
      <c r="C29" s="44"/>
      <c r="D29" s="36" t="s">
        <v>50</v>
      </c>
      <c r="E29" s="14"/>
      <c r="F29" s="14"/>
      <c r="G29" s="35"/>
      <c r="H29" s="14"/>
      <c r="I29" s="15"/>
      <c r="J29" s="50">
        <v>5681575.6600000001</v>
      </c>
      <c r="K29" s="230"/>
      <c r="L29" s="50">
        <v>42547</v>
      </c>
      <c r="M29" s="50">
        <f t="shared" si="0"/>
        <v>5724123</v>
      </c>
      <c r="N29" s="51"/>
    </row>
    <row r="30" spans="1:14">
      <c r="A30" s="12" t="s">
        <v>51</v>
      </c>
      <c r="B30" s="72" t="s">
        <v>52</v>
      </c>
      <c r="C30" s="44"/>
      <c r="D30" s="36" t="s">
        <v>53</v>
      </c>
      <c r="E30" s="14"/>
      <c r="F30" s="14"/>
      <c r="G30" s="35"/>
      <c r="H30" s="14"/>
      <c r="I30" s="15"/>
      <c r="J30" s="231">
        <f>'[25]Accounts by GL'!O481</f>
        <v>3248420.41</v>
      </c>
      <c r="K30" s="230"/>
      <c r="L30" s="58">
        <v>0</v>
      </c>
      <c r="M30" s="58">
        <f t="shared" si="0"/>
        <v>3248420</v>
      </c>
      <c r="N30" s="51"/>
    </row>
    <row r="31" spans="1:14">
      <c r="B31" s="72"/>
      <c r="C31" s="44"/>
      <c r="D31" s="36"/>
      <c r="E31" s="14"/>
      <c r="F31" s="14"/>
      <c r="G31" s="35"/>
      <c r="H31" s="14"/>
      <c r="I31" s="15"/>
      <c r="J31" s="73"/>
      <c r="K31" s="73"/>
      <c r="L31" s="73"/>
      <c r="M31" s="73"/>
      <c r="N31" s="74"/>
    </row>
    <row r="32" spans="1:14">
      <c r="A32" s="1" t="s">
        <v>54</v>
      </c>
      <c r="B32" s="72"/>
      <c r="C32" s="14"/>
      <c r="D32" s="65" t="s">
        <v>55</v>
      </c>
      <c r="E32" s="35"/>
      <c r="F32" s="14"/>
      <c r="G32" s="14"/>
      <c r="H32" s="14"/>
      <c r="I32" s="15"/>
      <c r="J32" s="66">
        <f t="array" ref="J32">SUM(ROUND(J24:J30,0))</f>
        <v>80664695</v>
      </c>
      <c r="K32" s="59"/>
      <c r="L32" s="66">
        <f t="array" ref="L32">SUM(ROUND(L24:L30,0))</f>
        <v>5374746</v>
      </c>
      <c r="M32" s="66">
        <f t="array" ref="M32">SUM(ROUND(M24:M30,0))</f>
        <v>86039441</v>
      </c>
      <c r="N32" s="68"/>
    </row>
    <row r="33" spans="1:14">
      <c r="A33" s="12"/>
      <c r="B33" s="72"/>
      <c r="C33" s="44"/>
      <c r="D33" s="76"/>
      <c r="E33" s="14"/>
      <c r="F33" s="14"/>
      <c r="G33" s="35"/>
      <c r="H33" s="14"/>
      <c r="I33" s="15"/>
      <c r="J33" s="59"/>
      <c r="K33" s="59"/>
      <c r="L33" s="59"/>
      <c r="M33" s="59"/>
      <c r="N33" s="77"/>
    </row>
    <row r="34" spans="1:14">
      <c r="B34" s="72"/>
      <c r="C34" s="14"/>
      <c r="D34" s="65" t="str">
        <f>IF(J34&lt;0,IF(L34&gt;0,"Operating Income (Loss)","Operating Loss"),IF(J34&gt;0,IF(L34&gt;=0,"Operating Income","Operating Income (Loss)"),IF(L34&lt;0,"Operating Loss",IF(L34&gt;0,"Operating Income","Operating Income (Loss)"))))</f>
        <v>Operating Loss</v>
      </c>
      <c r="E34" s="35"/>
      <c r="F34" s="14"/>
      <c r="G34" s="14"/>
      <c r="H34" s="14"/>
      <c r="I34" s="15"/>
      <c r="J34" s="66">
        <f>J20-J32</f>
        <v>-57790201</v>
      </c>
      <c r="K34" s="67"/>
      <c r="L34" s="66">
        <f>L20-L32</f>
        <v>-5162117</v>
      </c>
      <c r="M34" s="66">
        <f>M20-M32</f>
        <v>-62952318</v>
      </c>
      <c r="N34" s="68"/>
    </row>
    <row r="35" spans="1:14">
      <c r="A35" s="12"/>
      <c r="B35" s="72"/>
      <c r="C35" s="14"/>
      <c r="D35" s="14"/>
      <c r="E35" s="14"/>
      <c r="F35" s="14"/>
      <c r="G35" s="14"/>
      <c r="H35" s="14"/>
      <c r="I35" s="15"/>
      <c r="J35" s="78"/>
      <c r="K35" s="78"/>
      <c r="L35" s="78"/>
      <c r="M35" s="78"/>
      <c r="N35" s="79"/>
    </row>
    <row r="36" spans="1:14">
      <c r="B36" s="72"/>
      <c r="C36" s="29" t="s">
        <v>56</v>
      </c>
      <c r="D36" s="35"/>
      <c r="E36" s="14"/>
      <c r="F36" s="14"/>
      <c r="G36" s="14"/>
      <c r="H36" s="14"/>
      <c r="I36" s="15"/>
      <c r="J36" s="16"/>
      <c r="K36" s="17"/>
      <c r="L36" s="16"/>
      <c r="M36" s="16"/>
      <c r="N36" s="18"/>
    </row>
    <row r="37" spans="1:14">
      <c r="A37" s="12" t="s">
        <v>57</v>
      </c>
      <c r="B37" s="72" t="s">
        <v>58</v>
      </c>
      <c r="C37" s="36" t="s">
        <v>59</v>
      </c>
      <c r="D37" s="35"/>
      <c r="E37" s="14"/>
      <c r="F37" s="14"/>
      <c r="G37" s="35"/>
      <c r="H37" s="14"/>
      <c r="I37" s="15"/>
      <c r="J37" s="80">
        <v>27613170.890000001</v>
      </c>
      <c r="K37" s="49"/>
      <c r="L37" s="80">
        <v>0</v>
      </c>
      <c r="M37" s="80">
        <f t="shared" ref="M37:M45" si="1">ROUND(L37,0)+ROUND(J37,0)</f>
        <v>27613171</v>
      </c>
      <c r="N37" s="81"/>
    </row>
    <row r="38" spans="1:14">
      <c r="A38" s="1" t="s">
        <v>60</v>
      </c>
      <c r="B38" s="72" t="s">
        <v>21</v>
      </c>
      <c r="C38" s="36" t="s">
        <v>61</v>
      </c>
      <c r="D38" s="35"/>
      <c r="E38" s="14"/>
      <c r="F38" s="14"/>
      <c r="G38" s="35"/>
      <c r="H38" s="14"/>
      <c r="I38" s="15"/>
      <c r="J38" s="80">
        <v>21919568.859999999</v>
      </c>
      <c r="K38" s="49"/>
      <c r="L38" s="80">
        <v>0</v>
      </c>
      <c r="M38" s="80">
        <f t="shared" si="1"/>
        <v>21919569</v>
      </c>
      <c r="N38" s="81"/>
    </row>
    <row r="39" spans="1:14">
      <c r="A39" s="12" t="s">
        <v>62</v>
      </c>
      <c r="B39" s="72" t="s">
        <v>21</v>
      </c>
      <c r="C39" s="36" t="s">
        <v>63</v>
      </c>
      <c r="D39" s="35"/>
      <c r="E39" s="14"/>
      <c r="F39" s="14"/>
      <c r="G39" s="35"/>
      <c r="H39" s="14"/>
      <c r="I39" s="15"/>
      <c r="J39" s="80">
        <v>1180609.52</v>
      </c>
      <c r="K39" s="49"/>
      <c r="L39" s="80">
        <f>1457973+984799-167552</f>
        <v>2275220</v>
      </c>
      <c r="M39" s="80">
        <f t="shared" si="1"/>
        <v>3455830</v>
      </c>
      <c r="N39" s="81"/>
    </row>
    <row r="40" spans="1:14">
      <c r="A40" s="1" t="s">
        <v>64</v>
      </c>
      <c r="B40" s="72" t="s">
        <v>65</v>
      </c>
      <c r="C40" s="36" t="s">
        <v>66</v>
      </c>
      <c r="D40" s="35"/>
      <c r="E40" s="14"/>
      <c r="F40" s="14"/>
      <c r="G40" s="35"/>
      <c r="H40" s="14"/>
      <c r="I40" s="15"/>
      <c r="J40" s="80">
        <v>18174.62</v>
      </c>
      <c r="K40" s="49"/>
      <c r="L40" s="80">
        <v>881528</v>
      </c>
      <c r="M40" s="80">
        <f t="shared" si="1"/>
        <v>899703</v>
      </c>
      <c r="N40" s="81"/>
    </row>
    <row r="41" spans="1:14">
      <c r="A41" s="12" t="s">
        <v>67</v>
      </c>
      <c r="B41" s="72" t="s">
        <v>65</v>
      </c>
      <c r="C41" s="36" t="str">
        <f>IF(J41&lt;0,IF(L41&gt;0,"Net Gain (Loss) on Investments","Net Loss on Investments"),IF(J41&gt;0,IF(L41&gt;=0,"Net Gain on Investments","Net Gain (Loss) on Investments"),IF(L41&lt;0,"Net Loss on Investments",IF(L41&gt;0,"Net Gain on Investments","Net Gain (Loss) on Investments"))))</f>
        <v>Net Gain on Investments</v>
      </c>
      <c r="D41" s="35"/>
      <c r="E41" s="14"/>
      <c r="F41" s="14"/>
      <c r="G41" s="35"/>
      <c r="H41" s="14"/>
      <c r="I41" s="15"/>
      <c r="J41" s="80">
        <v>0</v>
      </c>
      <c r="K41" s="49"/>
      <c r="L41" s="80">
        <v>12557</v>
      </c>
      <c r="M41" s="80">
        <f t="shared" si="1"/>
        <v>12557</v>
      </c>
      <c r="N41" s="81"/>
    </row>
    <row r="42" spans="1:14">
      <c r="A42" s="1" t="s">
        <v>68</v>
      </c>
      <c r="B42" s="72" t="s">
        <v>32</v>
      </c>
      <c r="C42" s="36" t="s">
        <v>69</v>
      </c>
      <c r="D42" s="35"/>
      <c r="E42" s="14"/>
      <c r="F42" s="14"/>
      <c r="G42" s="35"/>
      <c r="H42" s="14"/>
      <c r="I42" s="15"/>
      <c r="J42" s="80"/>
      <c r="K42" s="49"/>
      <c r="L42" s="80">
        <v>26476</v>
      </c>
      <c r="M42" s="80">
        <f t="shared" si="1"/>
        <v>26476</v>
      </c>
      <c r="N42" s="81"/>
    </row>
    <row r="43" spans="1:14">
      <c r="A43" s="12" t="s">
        <v>70</v>
      </c>
      <c r="B43" s="72" t="s">
        <v>71</v>
      </c>
      <c r="C43" s="36" t="str">
        <f>IF(J43&lt;0,IF(L43&gt;0,"Gain (Loss) on Disposal of Capital Assets","Loss on Disposal of Capital Assets"),IF(J43&gt;0,IF(L43&gt;=0,"Gain on Disposal of Capital Assets","Gain (Loss) on Disposal of Capital Assets"),IF(L43&lt;0,"Loss on Disposal of Capital Assets",IF(L43&gt;0,"Gain on Disposal of Capital Assets","Gain (Loss) on Disposal of Capital Assets"))))</f>
        <v>Gain on Disposal of Capital Assets</v>
      </c>
      <c r="D43" s="35"/>
      <c r="E43" s="14"/>
      <c r="F43" s="14"/>
      <c r="G43" s="35"/>
      <c r="H43" s="14"/>
      <c r="I43" s="15"/>
      <c r="J43" s="80">
        <v>13963.43</v>
      </c>
      <c r="K43" s="49"/>
      <c r="L43" s="80">
        <v>0</v>
      </c>
      <c r="M43" s="80">
        <f t="shared" si="1"/>
        <v>13963</v>
      </c>
      <c r="N43" s="81"/>
    </row>
    <row r="44" spans="1:14">
      <c r="A44" s="1" t="s">
        <v>72</v>
      </c>
      <c r="B44" s="72" t="s">
        <v>39</v>
      </c>
      <c r="C44" s="36" t="s">
        <v>73</v>
      </c>
      <c r="D44" s="35"/>
      <c r="E44" s="35"/>
      <c r="F44" s="35"/>
      <c r="G44" s="35"/>
      <c r="H44" s="35"/>
      <c r="I44" s="35"/>
      <c r="J44" s="80">
        <v>-37042.5</v>
      </c>
      <c r="K44" s="49"/>
      <c r="L44" s="80">
        <v>0</v>
      </c>
      <c r="M44" s="80">
        <f t="shared" si="1"/>
        <v>-37043</v>
      </c>
      <c r="N44" s="81"/>
    </row>
    <row r="45" spans="1:14">
      <c r="A45" s="12" t="s">
        <v>74</v>
      </c>
      <c r="B45" s="72" t="s">
        <v>39</v>
      </c>
      <c r="C45" s="36" t="s">
        <v>75</v>
      </c>
      <c r="D45" s="35"/>
      <c r="E45" s="14"/>
      <c r="F45" s="14"/>
      <c r="G45" s="35"/>
      <c r="H45" s="14"/>
      <c r="I45" s="15"/>
      <c r="J45" s="82">
        <v>0</v>
      </c>
      <c r="K45" s="49"/>
      <c r="L45" s="82"/>
      <c r="M45" s="82">
        <f t="shared" si="1"/>
        <v>0</v>
      </c>
      <c r="N45" s="81"/>
    </row>
    <row r="46" spans="1:14">
      <c r="B46" s="72"/>
      <c r="C46" s="35"/>
      <c r="D46" s="35"/>
      <c r="E46" s="35"/>
      <c r="F46" s="35"/>
      <c r="G46" s="35"/>
      <c r="H46" s="35"/>
      <c r="I46" s="35"/>
      <c r="J46" s="83"/>
      <c r="K46" s="84"/>
      <c r="L46" s="83"/>
      <c r="M46" s="83"/>
      <c r="N46" s="85"/>
    </row>
    <row r="47" spans="1:14">
      <c r="A47" s="52" t="s">
        <v>76</v>
      </c>
      <c r="B47" s="53"/>
      <c r="C47" s="29" t="s">
        <v>77</v>
      </c>
      <c r="D47" s="35"/>
      <c r="E47" s="14"/>
      <c r="F47" s="14"/>
      <c r="G47" s="14"/>
      <c r="H47" s="14"/>
      <c r="I47" s="15"/>
      <c r="J47" s="66">
        <f t="array" ref="J47">SUM(ROUND(J37:J45,0))</f>
        <v>50708445</v>
      </c>
      <c r="K47" s="59"/>
      <c r="L47" s="66">
        <f t="array" ref="L47">SUM(ROUND(L37:L45,0))</f>
        <v>3195781</v>
      </c>
      <c r="M47" s="66">
        <f t="array" ref="M47">SUM(ROUND(M37:M45,0))</f>
        <v>53904226</v>
      </c>
      <c r="N47" s="68"/>
    </row>
    <row r="48" spans="1:14">
      <c r="A48" s="52"/>
      <c r="B48" s="53"/>
      <c r="C48" s="86"/>
      <c r="D48" s="87"/>
      <c r="E48" s="15"/>
      <c r="F48" s="15"/>
      <c r="G48" s="15"/>
      <c r="H48" s="15"/>
      <c r="I48" s="15"/>
      <c r="J48" s="59"/>
      <c r="K48" s="59"/>
      <c r="L48" s="59"/>
      <c r="M48" s="59"/>
      <c r="N48" s="77"/>
    </row>
    <row r="49" spans="1:14">
      <c r="A49" s="52"/>
      <c r="B49" s="53"/>
      <c r="C49" s="65" t="str">
        <f>IF(J50&lt;0,IF(L50&gt;0,"Income (Loss) Before Other Revenues,","Loss Before Other Revenues,"),IF(J50&gt;0,IF(L50&gt;=0,"Income Before Other Revenues,","Income (Loss) Before Other Revenues,"),IF(L59&lt;0,"Loss Before Other Revenues,",IF(L59&gt;0,"Income Before Other Revenues,","Income (Loss) Before Other Revenues,"))))</f>
        <v>Loss Before Other Revenues,</v>
      </c>
      <c r="D49" s="35"/>
      <c r="E49" s="35"/>
      <c r="F49" s="14"/>
      <c r="G49" s="14"/>
      <c r="H49" s="14"/>
      <c r="I49" s="15"/>
      <c r="J49" s="35"/>
      <c r="K49" s="35"/>
      <c r="L49" s="35"/>
      <c r="M49" s="35"/>
      <c r="N49" s="37"/>
    </row>
    <row r="50" spans="1:14">
      <c r="A50" s="52"/>
      <c r="B50" s="53"/>
      <c r="C50" s="14"/>
      <c r="D50" s="29" t="s">
        <v>78</v>
      </c>
      <c r="E50" s="14"/>
      <c r="F50" s="14"/>
      <c r="G50" s="14"/>
      <c r="H50" s="14"/>
      <c r="I50" s="15"/>
      <c r="J50" s="66">
        <f>J34+J47</f>
        <v>-7081756</v>
      </c>
      <c r="K50" s="59"/>
      <c r="L50" s="66">
        <f>L34+L47</f>
        <v>-1966336</v>
      </c>
      <c r="M50" s="66">
        <f>M34+M47</f>
        <v>-9048092</v>
      </c>
      <c r="N50" s="68"/>
    </row>
    <row r="51" spans="1:14">
      <c r="A51" s="52"/>
      <c r="B51" s="53"/>
      <c r="C51" s="14"/>
      <c r="D51" s="29"/>
      <c r="E51" s="14"/>
      <c r="F51" s="14"/>
      <c r="G51" s="14"/>
      <c r="H51" s="14"/>
      <c r="I51" s="15"/>
      <c r="J51" s="17"/>
      <c r="K51" s="17"/>
      <c r="L51" s="17"/>
      <c r="M51" s="17"/>
      <c r="N51" s="18"/>
    </row>
    <row r="52" spans="1:14">
      <c r="A52" s="52" t="s">
        <v>79</v>
      </c>
      <c r="B52" s="53" t="s">
        <v>58</v>
      </c>
      <c r="C52" s="36" t="s">
        <v>80</v>
      </c>
      <c r="D52" s="35"/>
      <c r="E52" s="14"/>
      <c r="F52" s="14"/>
      <c r="G52" s="14"/>
      <c r="H52" s="35"/>
      <c r="I52" s="15"/>
      <c r="J52" s="80">
        <v>14589178.859999999</v>
      </c>
      <c r="K52" s="49"/>
      <c r="L52" s="80">
        <v>0</v>
      </c>
      <c r="M52" s="80">
        <f>ROUND(L52,0)+ROUND(J52,0)</f>
        <v>14589179</v>
      </c>
      <c r="N52" s="81"/>
    </row>
    <row r="53" spans="1:14">
      <c r="A53" s="52" t="s">
        <v>81</v>
      </c>
      <c r="B53" s="53" t="s">
        <v>82</v>
      </c>
      <c r="C53" s="36" t="s">
        <v>83</v>
      </c>
      <c r="D53" s="35"/>
      <c r="E53" s="14"/>
      <c r="F53" s="14"/>
      <c r="G53" s="14"/>
      <c r="H53" s="35"/>
      <c r="I53" s="15"/>
      <c r="J53" s="50">
        <v>2805957</v>
      </c>
      <c r="K53" s="230"/>
      <c r="L53" s="50">
        <v>0</v>
      </c>
      <c r="M53" s="50">
        <f>ROUND(L53,0)+ROUND(J53,0)</f>
        <v>2805957</v>
      </c>
      <c r="N53" s="51"/>
    </row>
    <row r="54" spans="1:14">
      <c r="A54" s="52" t="s">
        <v>84</v>
      </c>
      <c r="B54" s="53" t="s">
        <v>85</v>
      </c>
      <c r="C54" s="14" t="s">
        <v>86</v>
      </c>
      <c r="D54" s="35"/>
      <c r="E54" s="14"/>
      <c r="F54" s="14"/>
      <c r="G54" s="14"/>
      <c r="H54" s="35"/>
      <c r="I54" s="15"/>
      <c r="J54" s="89">
        <v>0</v>
      </c>
      <c r="K54" s="230"/>
      <c r="L54" s="89">
        <v>167552</v>
      </c>
      <c r="M54" s="89">
        <f>ROUND(L54,0)+ROUND(J54,0)</f>
        <v>167552</v>
      </c>
      <c r="N54" s="51"/>
    </row>
    <row r="55" spans="1:14">
      <c r="A55" s="52" t="s">
        <v>87</v>
      </c>
      <c r="B55" s="53" t="s">
        <v>85</v>
      </c>
      <c r="C55" s="76" t="str">
        <f>IF(J55&lt;0,IF(L55&gt;0,"Other Revenues (Expenses)","Other Expenses"),IF(J55&gt;0,IF(L55&gt;=0,"Other Revenues","Other Revenues (Expenses)"),IF(L55&lt;0,"Other Expenses",IF(L55&gt;0,"Other Revenues","Other Revenues (Expenses)"))))</f>
        <v>Other Revenues (Expenses)</v>
      </c>
      <c r="D55" s="35"/>
      <c r="E55" s="14"/>
      <c r="F55" s="14"/>
      <c r="G55" s="14"/>
      <c r="H55" s="35"/>
      <c r="I55" s="15"/>
      <c r="J55" s="58">
        <v>0</v>
      </c>
      <c r="K55" s="230"/>
      <c r="L55" s="58">
        <v>0</v>
      </c>
      <c r="M55" s="58">
        <f>ROUND(L55,0)+ROUND(J55,0)</f>
        <v>0</v>
      </c>
      <c r="N55" s="51"/>
    </row>
    <row r="56" spans="1:14">
      <c r="A56" s="52"/>
      <c r="B56" s="53"/>
      <c r="C56" s="35"/>
      <c r="D56" s="35"/>
      <c r="E56" s="14"/>
      <c r="F56" s="14"/>
      <c r="G56" s="14"/>
      <c r="H56" s="14"/>
      <c r="I56" s="15"/>
      <c r="J56" s="83"/>
      <c r="K56" s="84"/>
      <c r="L56" s="83"/>
      <c r="M56" s="83"/>
      <c r="N56" s="85"/>
    </row>
    <row r="57" spans="1:14">
      <c r="A57" s="70" t="s">
        <v>88</v>
      </c>
      <c r="B57" s="53"/>
      <c r="C57" s="29" t="s">
        <v>89</v>
      </c>
      <c r="D57" s="35"/>
      <c r="E57" s="35"/>
      <c r="F57" s="14"/>
      <c r="G57" s="14"/>
      <c r="H57" s="14"/>
      <c r="I57" s="15"/>
      <c r="J57" s="90">
        <f t="array" ref="J57">SUM(ROUND(J52:J55,0))</f>
        <v>17395136</v>
      </c>
      <c r="K57" s="59"/>
      <c r="L57" s="90">
        <f t="array" ref="L57">SUM(ROUND(L52:L55,0))</f>
        <v>167552</v>
      </c>
      <c r="M57" s="90">
        <f t="array" ref="M57">SUM(ROUND(M52:M55,0))</f>
        <v>17562688</v>
      </c>
      <c r="N57" s="91"/>
    </row>
    <row r="58" spans="1:14">
      <c r="A58" s="52"/>
      <c r="B58" s="53"/>
      <c r="C58" s="29"/>
      <c r="D58" s="35"/>
      <c r="E58" s="35"/>
      <c r="F58" s="14"/>
      <c r="G58" s="14"/>
      <c r="H58" s="14"/>
      <c r="I58" s="15"/>
      <c r="J58" s="59"/>
      <c r="K58" s="59"/>
      <c r="L58" s="59"/>
      <c r="M58" s="59"/>
      <c r="N58" s="77"/>
    </row>
    <row r="59" spans="1:14">
      <c r="A59" s="70"/>
      <c r="B59" s="53"/>
      <c r="C59" s="65" t="str">
        <f>IF(J59&lt;0,IF(L59&gt;0,"Increase (Decrease) in Net Position","Decrease in Net Position"),IF(J59&gt;0,IF(L59&gt;=0,"Increase in Net Position","Increase (Decrease) in Net Position"),IF(L59&lt;0,"Decrease in Net Position",IF(L59&gt;0,"Increase in Net Position","Increase (Decrease) in Net Position"))))</f>
        <v>Increase (Decrease) in Net Position</v>
      </c>
      <c r="D59" s="35"/>
      <c r="E59" s="35"/>
      <c r="F59" s="14"/>
      <c r="G59" s="14"/>
      <c r="H59" s="14"/>
      <c r="I59" s="15"/>
      <c r="J59" s="90">
        <f>J50+J57</f>
        <v>10313380</v>
      </c>
      <c r="K59" s="92"/>
      <c r="L59" s="90">
        <f>L50+L57</f>
        <v>-1798784</v>
      </c>
      <c r="M59" s="90">
        <f>M50+M57</f>
        <v>8514596</v>
      </c>
      <c r="N59" s="91"/>
    </row>
    <row r="60" spans="1:14">
      <c r="A60" s="52"/>
      <c r="B60" s="53"/>
      <c r="C60" s="93"/>
      <c r="D60" s="35"/>
      <c r="E60" s="35"/>
      <c r="F60" s="14"/>
      <c r="G60" s="14"/>
      <c r="H60" s="14"/>
      <c r="I60" s="15"/>
      <c r="J60" s="94"/>
      <c r="K60" s="94"/>
      <c r="L60" s="94"/>
      <c r="M60" s="94"/>
      <c r="N60" s="95"/>
    </row>
    <row r="61" spans="1:14">
      <c r="A61" s="52" t="s">
        <v>90</v>
      </c>
      <c r="B61" s="53"/>
      <c r="C61" s="14" t="s">
        <v>91</v>
      </c>
      <c r="D61" s="35"/>
      <c r="E61" s="14"/>
      <c r="F61" s="14"/>
      <c r="G61" s="14"/>
      <c r="H61" s="14"/>
      <c r="I61" s="15"/>
      <c r="J61" s="96">
        <f>VLOOKUP($C$1,[25]VLOOKUPS!A44:D71,2,FALSE)</f>
        <v>93965821</v>
      </c>
      <c r="K61" s="49"/>
      <c r="L61" s="96">
        <f>VLOOKUP($C$1,[25]VLOOKUPS!A44:D71,3,FALSE)</f>
        <v>26848685</v>
      </c>
      <c r="M61" s="89">
        <f>ROUND(L61,0)+ROUND(J61,0)</f>
        <v>120814506</v>
      </c>
      <c r="N61" s="97"/>
    </row>
    <row r="62" spans="1:14">
      <c r="A62" s="52" t="s">
        <v>92</v>
      </c>
      <c r="B62" s="53" t="s">
        <v>93</v>
      </c>
      <c r="C62" s="14" t="s">
        <v>94</v>
      </c>
      <c r="D62" s="35"/>
      <c r="E62" s="14"/>
      <c r="F62" s="14"/>
      <c r="G62" s="14"/>
      <c r="H62" s="14"/>
      <c r="I62" s="15"/>
      <c r="J62" s="82">
        <v>-13286780.98</v>
      </c>
      <c r="K62" s="49"/>
      <c r="L62" s="82">
        <v>0</v>
      </c>
      <c r="M62" s="82">
        <f>ROUND(L62,0)+ROUND(J62,0)</f>
        <v>-13286781</v>
      </c>
      <c r="N62" s="81"/>
    </row>
    <row r="63" spans="1:14">
      <c r="A63" s="52"/>
      <c r="B63" s="53"/>
      <c r="C63" s="36"/>
      <c r="D63" s="36"/>
      <c r="E63" s="36"/>
      <c r="F63" s="36"/>
      <c r="G63" s="36"/>
      <c r="H63" s="98"/>
      <c r="I63" s="36"/>
      <c r="J63" s="92"/>
      <c r="K63" s="99"/>
      <c r="L63" s="99"/>
      <c r="M63" s="99"/>
      <c r="N63" s="100"/>
    </row>
    <row r="64" spans="1:14">
      <c r="A64" s="70"/>
      <c r="B64" s="53"/>
      <c r="C64" s="101" t="s">
        <v>95</v>
      </c>
      <c r="D64" s="36"/>
      <c r="E64" s="36"/>
      <c r="F64" s="36"/>
      <c r="G64" s="36"/>
      <c r="H64" s="60"/>
      <c r="I64" s="60"/>
      <c r="J64" s="90">
        <f t="array" ref="J64">SUM(ROUND(J61:J62,0))</f>
        <v>80679040</v>
      </c>
      <c r="K64" s="92"/>
      <c r="L64" s="90">
        <f t="array" ref="L64">SUM(ROUND(L61:L62,0))</f>
        <v>26848685</v>
      </c>
      <c r="M64" s="90">
        <f t="array" ref="M64">SUM(ROUND(M61:M62,0))</f>
        <v>107527725</v>
      </c>
      <c r="N64" s="91"/>
    </row>
    <row r="65" spans="1:14">
      <c r="A65" s="52"/>
      <c r="B65" s="53"/>
      <c r="C65" s="36"/>
      <c r="D65" s="36"/>
      <c r="E65" s="36"/>
      <c r="F65" s="36"/>
      <c r="G65" s="36"/>
      <c r="H65" s="102"/>
      <c r="I65" s="36"/>
      <c r="J65" s="102"/>
      <c r="K65" s="60"/>
      <c r="L65" s="60"/>
      <c r="M65" s="60"/>
      <c r="N65" s="61"/>
    </row>
    <row r="66" spans="1:14" ht="13.5" thickBot="1">
      <c r="A66" s="52"/>
      <c r="B66" s="53"/>
      <c r="C66" s="29" t="s">
        <v>96</v>
      </c>
      <c r="D66" s="35"/>
      <c r="E66" s="14"/>
      <c r="F66" s="14"/>
      <c r="G66" s="14"/>
      <c r="H66" s="14"/>
      <c r="I66" s="103"/>
      <c r="J66" s="104">
        <f>J59+J64</f>
        <v>90992420</v>
      </c>
      <c r="K66" s="105"/>
      <c r="L66" s="104">
        <f>L59+L64</f>
        <v>25049901</v>
      </c>
      <c r="M66" s="104">
        <f>M59+M64</f>
        <v>116042321</v>
      </c>
      <c r="N66" s="46"/>
    </row>
    <row r="67" spans="1:14" ht="13.5" thickTop="1">
      <c r="A67" s="70"/>
      <c r="B67" s="53"/>
      <c r="C67" s="14"/>
      <c r="D67" s="14"/>
      <c r="E67" s="14"/>
      <c r="F67" s="14"/>
      <c r="G67" s="14"/>
      <c r="H67" s="14"/>
      <c r="I67" s="15"/>
      <c r="J67" s="107"/>
      <c r="K67" s="15"/>
      <c r="L67" s="107"/>
      <c r="M67" s="107"/>
      <c r="N67" s="108"/>
    </row>
    <row r="68" spans="1:14">
      <c r="A68" s="52"/>
      <c r="B68" s="53"/>
      <c r="C68" s="35" t="s">
        <v>97</v>
      </c>
      <c r="D68" s="35"/>
      <c r="E68" s="35"/>
      <c r="F68" s="35"/>
      <c r="G68" s="35"/>
      <c r="H68" s="35"/>
      <c r="I68" s="87"/>
      <c r="J68" s="35"/>
      <c r="K68" s="87"/>
      <c r="L68" s="35"/>
      <c r="M68" s="35"/>
      <c r="N68" s="37"/>
    </row>
    <row r="69" spans="1:14">
      <c r="B69" s="72"/>
      <c r="I69" s="6"/>
      <c r="J69" s="109">
        <f>J66-[25]SNP!K119</f>
        <v>0</v>
      </c>
      <c r="K69" s="110"/>
      <c r="L69" s="111">
        <f>L66-[25]SNP!M119</f>
        <v>0</v>
      </c>
      <c r="M69" s="111">
        <f>M66-[25]SNP!N119</f>
        <v>0</v>
      </c>
      <c r="N69" s="112"/>
    </row>
    <row r="70" spans="1:14">
      <c r="B70" s="72"/>
      <c r="I70" s="113" t="s">
        <v>98</v>
      </c>
      <c r="J70" s="114"/>
      <c r="K70" s="115"/>
      <c r="L70" s="114"/>
      <c r="M70" s="114"/>
      <c r="N70" s="114"/>
    </row>
  </sheetData>
  <sheetProtection formatColumns="0" formatRows="0"/>
  <conditionalFormatting sqref="J69 L69">
    <cfRule type="cellIs" dxfId="119" priority="14" operator="notEqual">
      <formula>0</formula>
    </cfRule>
    <cfRule type="cellIs" dxfId="118" priority="15" operator="equal">
      <formula>0</formula>
    </cfRule>
  </conditionalFormatting>
  <conditionalFormatting sqref="J11:J15 F11:G11 L24:L30 L37:L45 J37:J45 L62 J62 L17:L18 J25:J29 J17:J18 F17:G17 L11:L15 L52:L55 J52:J55">
    <cfRule type="containsBlanks" dxfId="117" priority="12">
      <formula>LEN(TRIM(F11))=0</formula>
    </cfRule>
    <cfRule type="cellIs" dxfId="116" priority="13" operator="notEqual">
      <formula>0</formula>
    </cfRule>
  </conditionalFormatting>
  <conditionalFormatting sqref="J11">
    <cfRule type="cellIs" dxfId="115" priority="11" operator="notEqual">
      <formula>J20</formula>
    </cfRule>
  </conditionalFormatting>
  <conditionalFormatting sqref="L11">
    <cfRule type="cellIs" dxfId="114" priority="10" operator="notEqual">
      <formula>L20</formula>
    </cfRule>
  </conditionalFormatting>
  <conditionalFormatting sqref="M69">
    <cfRule type="cellIs" dxfId="113" priority="8" operator="notEqual">
      <formula>0</formula>
    </cfRule>
    <cfRule type="cellIs" dxfId="112" priority="9" operator="equal">
      <formula>0</formula>
    </cfRule>
  </conditionalFormatting>
  <conditionalFormatting sqref="M24:M30 M37:M45 M62 M17:M18 M11:M15 M52:M55">
    <cfRule type="containsBlanks" dxfId="111" priority="6">
      <formula>LEN(TRIM(M11))=0</formula>
    </cfRule>
    <cfRule type="cellIs" dxfId="110" priority="7" operator="notEqual">
      <formula>0</formula>
    </cfRule>
  </conditionalFormatting>
  <conditionalFormatting sqref="M11">
    <cfRule type="cellIs" dxfId="109" priority="5" operator="notEqual">
      <formula>M20</formula>
    </cfRule>
  </conditionalFormatting>
  <conditionalFormatting sqref="J24">
    <cfRule type="containsBlanks" dxfId="108" priority="3">
      <formula>LEN(TRIM(J24))=0</formula>
    </cfRule>
    <cfRule type="cellIs" dxfId="107" priority="4" operator="notEqual">
      <formula>0</formula>
    </cfRule>
  </conditionalFormatting>
  <conditionalFormatting sqref="M61">
    <cfRule type="containsBlanks" dxfId="106" priority="1">
      <formula>LEN(TRIM(M61))=0</formula>
    </cfRule>
    <cfRule type="cellIs" dxfId="105" priority="2" operator="notEqual">
      <formula>0</formula>
    </cfRule>
  </conditionalFormatting>
  <printOptions horizontalCentered="1"/>
  <pageMargins left="0.7" right="0.7" top="0.75" bottom="0.75" header="0.5" footer="0.5"/>
  <pageSetup scale="54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  <pageSetUpPr fitToPage="1"/>
  </sheetPr>
  <dimension ref="A1:T70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0" style="1" hidden="1" customWidth="1"/>
    <col min="2" max="2" width="0" style="20" hidden="1" customWidth="1"/>
    <col min="3" max="8" width="11.140625" style="6"/>
    <col min="9" max="9" width="11.140625" style="11"/>
    <col min="10" max="10" width="16" style="6" customWidth="1"/>
    <col min="11" max="11" width="11.140625" style="11"/>
    <col min="12" max="12" width="14" style="6" customWidth="1"/>
    <col min="13" max="13" width="16.7109375" style="6" customWidth="1"/>
    <col min="14" max="14" width="11.140625" style="6"/>
    <col min="15" max="15" width="11.140625" style="10"/>
    <col min="16" max="20" width="11.140625" style="5"/>
    <col min="21" max="16384" width="11.140625" style="6"/>
  </cols>
  <sheetData>
    <row r="1" spans="1:14">
      <c r="B1" s="2"/>
      <c r="C1" s="260" t="str">
        <f>'[26]Contact Information'!$C$5</f>
        <v>ST. JOHNS RIVER STATE COLLEGE</v>
      </c>
      <c r="D1" s="260"/>
      <c r="E1" s="260"/>
      <c r="F1" s="260"/>
      <c r="G1" s="260"/>
      <c r="H1" s="260"/>
      <c r="I1" s="260"/>
      <c r="J1" s="260"/>
      <c r="K1" s="260"/>
      <c r="L1" s="260"/>
      <c r="M1" s="247"/>
      <c r="N1" s="3"/>
    </row>
    <row r="2" spans="1:14">
      <c r="B2" s="2"/>
      <c r="C2" s="256" t="s">
        <v>0</v>
      </c>
      <c r="D2" s="256"/>
      <c r="E2" s="256"/>
      <c r="F2" s="256"/>
      <c r="G2" s="256"/>
      <c r="H2" s="256"/>
      <c r="I2" s="256"/>
      <c r="J2" s="256"/>
      <c r="K2" s="256"/>
      <c r="L2" s="256"/>
      <c r="M2" s="245"/>
      <c r="N2" s="7"/>
    </row>
    <row r="3" spans="1:14">
      <c r="B3" s="2"/>
      <c r="C3" s="86" t="s">
        <v>1</v>
      </c>
      <c r="D3" s="86"/>
      <c r="E3" s="86"/>
      <c r="F3" s="86"/>
      <c r="G3" s="86"/>
      <c r="H3" s="86"/>
      <c r="I3" s="86"/>
      <c r="J3" s="86"/>
      <c r="K3" s="86"/>
      <c r="L3" s="86"/>
      <c r="M3" s="248"/>
      <c r="N3" s="9" t="s">
        <v>2</v>
      </c>
    </row>
    <row r="4" spans="1:14">
      <c r="B4" s="2"/>
      <c r="C4" s="261" t="s">
        <v>297</v>
      </c>
      <c r="D4" s="261"/>
      <c r="E4" s="261"/>
      <c r="F4" s="261"/>
      <c r="G4" s="261"/>
      <c r="H4" s="261"/>
      <c r="I4" s="261"/>
      <c r="J4" s="261"/>
      <c r="K4" s="261"/>
      <c r="L4" s="261"/>
      <c r="M4" s="249"/>
      <c r="N4" s="11" t="str">
        <f>'[26]Contact Information'!$C$3</f>
        <v>2015.v02</v>
      </c>
    </row>
    <row r="5" spans="1:14">
      <c r="A5" s="12"/>
      <c r="B5" s="13"/>
      <c r="C5" s="14"/>
      <c r="D5" s="14"/>
      <c r="E5" s="14"/>
      <c r="F5" s="14"/>
      <c r="G5" s="14"/>
      <c r="H5" s="14"/>
      <c r="I5" s="15"/>
      <c r="J5" s="16"/>
      <c r="K5" s="17"/>
      <c r="L5" s="16"/>
      <c r="M5" s="16"/>
      <c r="N5" s="18"/>
    </row>
    <row r="6" spans="1:14">
      <c r="C6" s="14"/>
      <c r="D6" s="14"/>
      <c r="E6" s="14"/>
      <c r="F6" s="14"/>
      <c r="G6" s="14"/>
      <c r="H6" s="14"/>
      <c r="I6" s="15"/>
      <c r="J6" s="249" t="s">
        <v>5</v>
      </c>
      <c r="K6" s="21"/>
      <c r="L6" s="22" t="s">
        <v>6</v>
      </c>
      <c r="M6" s="22" t="s">
        <v>7</v>
      </c>
      <c r="N6" s="23"/>
    </row>
    <row r="7" spans="1:14">
      <c r="C7" s="14"/>
      <c r="D7" s="14"/>
      <c r="E7" s="14"/>
      <c r="F7" s="14"/>
      <c r="G7" s="14"/>
      <c r="H7" s="14"/>
      <c r="I7" s="15"/>
      <c r="J7" s="24"/>
      <c r="K7" s="25"/>
      <c r="L7" s="26" t="str">
        <f>[26]SNP!$M$9</f>
        <v>Unit</v>
      </c>
      <c r="M7" s="26"/>
      <c r="N7" s="27"/>
    </row>
    <row r="8" spans="1:14">
      <c r="C8" s="29" t="s">
        <v>9</v>
      </c>
      <c r="D8" s="14"/>
      <c r="E8" s="14"/>
      <c r="F8" s="14"/>
      <c r="G8" s="14"/>
      <c r="H8" s="14"/>
      <c r="I8" s="15"/>
      <c r="J8" s="25"/>
      <c r="K8" s="25"/>
      <c r="L8" s="25"/>
      <c r="M8" s="25"/>
      <c r="N8" s="30"/>
    </row>
    <row r="9" spans="1:14">
      <c r="A9" s="32" t="s">
        <v>10</v>
      </c>
      <c r="B9" s="33" t="s">
        <v>11</v>
      </c>
      <c r="C9" s="14" t="s">
        <v>12</v>
      </c>
      <c r="D9" s="14"/>
      <c r="E9" s="14"/>
      <c r="F9" s="14"/>
      <c r="G9" s="14"/>
      <c r="H9" s="14"/>
      <c r="I9" s="15"/>
      <c r="J9" s="17"/>
      <c r="K9" s="17"/>
      <c r="L9" s="17"/>
      <c r="M9" s="17"/>
      <c r="N9" s="18"/>
    </row>
    <row r="10" spans="1:14">
      <c r="B10" s="34"/>
      <c r="C10" s="35"/>
      <c r="D10" s="36" t="s">
        <v>14</v>
      </c>
      <c r="E10" s="14"/>
      <c r="F10" s="14"/>
      <c r="G10" s="14"/>
      <c r="H10" s="14"/>
      <c r="I10" s="35"/>
      <c r="J10" s="35"/>
      <c r="K10" s="17"/>
      <c r="L10" s="35"/>
      <c r="M10" s="35"/>
      <c r="N10" s="37"/>
    </row>
    <row r="11" spans="1:14">
      <c r="A11" s="1" t="s">
        <v>17</v>
      </c>
      <c r="B11" s="34" t="s">
        <v>18</v>
      </c>
      <c r="C11" s="35"/>
      <c r="D11" s="44" t="s">
        <v>19</v>
      </c>
      <c r="E11" s="35"/>
      <c r="F11" s="263">
        <v>3708704</v>
      </c>
      <c r="G11" s="263"/>
      <c r="H11" s="45"/>
      <c r="I11" s="36"/>
      <c r="J11" s="228">
        <v>9154756</v>
      </c>
      <c r="K11" s="229"/>
      <c r="L11" s="228">
        <v>0</v>
      </c>
      <c r="M11" s="228">
        <f>ROUND(L11,0)+ROUND(J11,0)</f>
        <v>9154756</v>
      </c>
      <c r="N11" s="46"/>
    </row>
    <row r="12" spans="1:14">
      <c r="A12" s="1" t="s">
        <v>20</v>
      </c>
      <c r="B12" s="34" t="s">
        <v>21</v>
      </c>
      <c r="C12" s="35"/>
      <c r="D12" s="36" t="s">
        <v>22</v>
      </c>
      <c r="E12" s="14"/>
      <c r="F12" s="48"/>
      <c r="G12" s="49"/>
      <c r="H12" s="15"/>
      <c r="I12" s="35"/>
      <c r="J12" s="50">
        <v>1593298</v>
      </c>
      <c r="K12" s="230"/>
      <c r="L12" s="50">
        <v>0</v>
      </c>
      <c r="M12" s="50">
        <f>ROUND(L12,0)+ROUND(J12,0)</f>
        <v>1593298</v>
      </c>
      <c r="N12" s="51"/>
    </row>
    <row r="13" spans="1:14">
      <c r="A13" s="1" t="s">
        <v>23</v>
      </c>
      <c r="B13" s="34" t="s">
        <v>21</v>
      </c>
      <c r="C13" s="35"/>
      <c r="D13" s="36" t="s">
        <v>24</v>
      </c>
      <c r="E13" s="14"/>
      <c r="F13" s="48"/>
      <c r="G13" s="48"/>
      <c r="H13" s="14"/>
      <c r="I13" s="35"/>
      <c r="J13" s="50">
        <v>109302.79</v>
      </c>
      <c r="K13" s="230"/>
      <c r="L13" s="50">
        <v>0</v>
      </c>
      <c r="M13" s="50">
        <f>ROUND(L13,0)+ROUND(J13,0)</f>
        <v>109303</v>
      </c>
      <c r="N13" s="51"/>
    </row>
    <row r="14" spans="1:14">
      <c r="A14" s="1" t="s">
        <v>25</v>
      </c>
      <c r="B14" s="34" t="s">
        <v>21</v>
      </c>
      <c r="C14" s="35"/>
      <c r="D14" s="36" t="s">
        <v>26</v>
      </c>
      <c r="E14" s="14"/>
      <c r="F14" s="48"/>
      <c r="G14" s="48"/>
      <c r="H14" s="14"/>
      <c r="I14" s="35"/>
      <c r="J14" s="50">
        <v>274541.89</v>
      </c>
      <c r="K14" s="230"/>
      <c r="L14" s="50">
        <v>0</v>
      </c>
      <c r="M14" s="50">
        <f>ROUND(L14,0)+ROUND(J14,0)</f>
        <v>274542</v>
      </c>
      <c r="N14" s="51"/>
    </row>
    <row r="15" spans="1:14">
      <c r="A15" s="1" t="s">
        <v>27</v>
      </c>
      <c r="B15" s="34" t="s">
        <v>18</v>
      </c>
      <c r="C15" s="35"/>
      <c r="D15" s="36" t="s">
        <v>28</v>
      </c>
      <c r="E15" s="14"/>
      <c r="F15" s="48"/>
      <c r="G15" s="48"/>
      <c r="H15" s="35"/>
      <c r="I15" s="35"/>
      <c r="J15" s="50">
        <v>0</v>
      </c>
      <c r="K15" s="230"/>
      <c r="L15" s="50">
        <v>0</v>
      </c>
      <c r="M15" s="50">
        <f>ROUND(L15,0)+ROUND(J15,0)</f>
        <v>0</v>
      </c>
      <c r="N15" s="51"/>
    </row>
    <row r="16" spans="1:14">
      <c r="A16" s="52"/>
      <c r="B16" s="53"/>
      <c r="C16" s="35"/>
      <c r="D16" s="36" t="s">
        <v>29</v>
      </c>
      <c r="E16" s="14"/>
      <c r="F16" s="54"/>
      <c r="G16" s="49"/>
      <c r="H16" s="55"/>
      <c r="I16" s="35"/>
      <c r="J16" s="35"/>
      <c r="K16" s="230"/>
      <c r="L16" s="35"/>
      <c r="M16" s="35"/>
      <c r="N16" s="37"/>
    </row>
    <row r="17" spans="1:14">
      <c r="A17" s="52" t="s">
        <v>30</v>
      </c>
      <c r="B17" s="53" t="s">
        <v>18</v>
      </c>
      <c r="C17" s="35"/>
      <c r="D17" s="44" t="s">
        <v>19</v>
      </c>
      <c r="E17" s="35"/>
      <c r="F17" s="263">
        <v>909989</v>
      </c>
      <c r="G17" s="263"/>
      <c r="H17" s="55"/>
      <c r="I17" s="35"/>
      <c r="J17" s="50">
        <v>2741974</v>
      </c>
      <c r="K17" s="230"/>
      <c r="L17" s="50">
        <v>0</v>
      </c>
      <c r="M17" s="50">
        <f>ROUND(L17,0)+ROUND(J17,0)</f>
        <v>2741974</v>
      </c>
      <c r="N17" s="51"/>
    </row>
    <row r="18" spans="1:14">
      <c r="A18" s="52" t="s">
        <v>31</v>
      </c>
      <c r="B18" s="56" t="s">
        <v>32</v>
      </c>
      <c r="C18" s="35"/>
      <c r="D18" s="57" t="s">
        <v>33</v>
      </c>
      <c r="E18" s="14"/>
      <c r="F18" s="14"/>
      <c r="G18" s="14"/>
      <c r="H18" s="14"/>
      <c r="I18" s="36"/>
      <c r="J18" s="58">
        <v>67895.86</v>
      </c>
      <c r="K18" s="230"/>
      <c r="L18" s="58">
        <v>554188</v>
      </c>
      <c r="M18" s="58">
        <f>ROUND(L18,0)+ROUND(J18,0)</f>
        <v>622084</v>
      </c>
      <c r="N18" s="51"/>
    </row>
    <row r="19" spans="1:14">
      <c r="A19" s="52"/>
      <c r="B19" s="56"/>
      <c r="C19" s="36"/>
      <c r="D19" s="36"/>
      <c r="E19" s="36"/>
      <c r="F19" s="36"/>
      <c r="G19" s="36"/>
      <c r="H19" s="59"/>
      <c r="I19" s="59"/>
      <c r="J19" s="59"/>
      <c r="K19" s="60"/>
      <c r="L19" s="60"/>
      <c r="M19" s="60"/>
      <c r="N19" s="61"/>
    </row>
    <row r="20" spans="1:14">
      <c r="A20" s="52" t="s">
        <v>34</v>
      </c>
      <c r="B20" s="56"/>
      <c r="C20" s="35"/>
      <c r="D20" s="65" t="s">
        <v>35</v>
      </c>
      <c r="E20" s="35"/>
      <c r="F20" s="14"/>
      <c r="G20" s="14"/>
      <c r="H20" s="14"/>
      <c r="I20" s="15"/>
      <c r="J20" s="66">
        <f t="array" ref="J20">SUM(ROUND(J11:J18,0))</f>
        <v>13941769</v>
      </c>
      <c r="K20" s="67"/>
      <c r="L20" s="66">
        <f t="array" ref="L20">SUM(ROUND(L11:L18,0))</f>
        <v>554188</v>
      </c>
      <c r="M20" s="66">
        <f t="array" ref="M20">SUM(ROUND(M11:M18,0))</f>
        <v>14495957</v>
      </c>
      <c r="N20" s="68"/>
    </row>
    <row r="21" spans="1:14">
      <c r="A21" s="52"/>
      <c r="B21" s="56"/>
      <c r="C21" s="14"/>
      <c r="D21" s="14"/>
      <c r="E21" s="14"/>
      <c r="F21" s="14"/>
      <c r="G21" s="14"/>
      <c r="H21" s="14"/>
      <c r="I21" s="15"/>
      <c r="J21" s="17"/>
      <c r="K21" s="17"/>
      <c r="L21" s="17"/>
      <c r="M21" s="17"/>
      <c r="N21" s="18"/>
    </row>
    <row r="22" spans="1:14">
      <c r="A22" s="70"/>
      <c r="B22" s="71"/>
      <c r="C22" s="29" t="s">
        <v>36</v>
      </c>
      <c r="D22" s="14"/>
      <c r="E22" s="14"/>
      <c r="F22" s="14"/>
      <c r="G22" s="14"/>
      <c r="H22" s="14"/>
      <c r="I22" s="15"/>
      <c r="J22" s="16"/>
      <c r="K22" s="17"/>
      <c r="L22" s="16"/>
      <c r="M22" s="16"/>
      <c r="N22" s="18"/>
    </row>
    <row r="23" spans="1:14">
      <c r="A23" s="52"/>
      <c r="B23" s="53"/>
      <c r="C23" s="14" t="s">
        <v>37</v>
      </c>
      <c r="D23" s="14"/>
      <c r="E23" s="14"/>
      <c r="F23" s="14"/>
      <c r="G23" s="35"/>
      <c r="H23" s="14"/>
      <c r="I23" s="15"/>
      <c r="J23" s="16"/>
      <c r="K23" s="17"/>
      <c r="L23" s="16"/>
      <c r="M23" s="16"/>
      <c r="N23" s="18"/>
    </row>
    <row r="24" spans="1:14">
      <c r="A24" s="12" t="s">
        <v>38</v>
      </c>
      <c r="B24" s="72" t="s">
        <v>39</v>
      </c>
      <c r="C24" s="44"/>
      <c r="D24" s="36" t="s">
        <v>40</v>
      </c>
      <c r="E24" s="14"/>
      <c r="F24" s="14"/>
      <c r="G24" s="35"/>
      <c r="H24" s="14"/>
      <c r="I24" s="15"/>
      <c r="J24" s="50">
        <v>25637359.489999998</v>
      </c>
      <c r="K24" s="230"/>
      <c r="L24" s="50">
        <v>0</v>
      </c>
      <c r="M24" s="50">
        <f t="shared" ref="M24:M30" si="0">ROUND(L24,0)+ROUND(J24,0)</f>
        <v>25637359</v>
      </c>
      <c r="N24" s="51"/>
    </row>
    <row r="25" spans="1:14">
      <c r="A25" s="1" t="s">
        <v>41</v>
      </c>
      <c r="B25" s="72" t="s">
        <v>39</v>
      </c>
      <c r="C25" s="44"/>
      <c r="D25" s="36" t="s">
        <v>42</v>
      </c>
      <c r="E25" s="14"/>
      <c r="F25" s="14"/>
      <c r="G25" s="35"/>
      <c r="H25" s="14"/>
      <c r="I25" s="15"/>
      <c r="J25" s="50">
        <v>8531670</v>
      </c>
      <c r="K25" s="230"/>
      <c r="L25" s="50">
        <v>303432</v>
      </c>
      <c r="M25" s="50">
        <f t="shared" si="0"/>
        <v>8835102</v>
      </c>
      <c r="N25" s="51"/>
    </row>
    <row r="26" spans="1:14">
      <c r="A26" s="12" t="s">
        <v>43</v>
      </c>
      <c r="B26" s="34" t="s">
        <v>39</v>
      </c>
      <c r="C26" s="44"/>
      <c r="D26" s="36" t="s">
        <v>44</v>
      </c>
      <c r="E26" s="14"/>
      <c r="F26" s="14"/>
      <c r="G26" s="35"/>
      <c r="H26" s="14"/>
      <c r="I26" s="15"/>
      <c r="J26" s="50">
        <v>1234871</v>
      </c>
      <c r="K26" s="230"/>
      <c r="L26" s="50">
        <v>0</v>
      </c>
      <c r="M26" s="50">
        <f t="shared" si="0"/>
        <v>1234871</v>
      </c>
      <c r="N26" s="51"/>
    </row>
    <row r="27" spans="1:14">
      <c r="A27" s="1" t="s">
        <v>45</v>
      </c>
      <c r="B27" s="72" t="s">
        <v>39</v>
      </c>
      <c r="C27" s="44"/>
      <c r="D27" s="36" t="s">
        <v>46</v>
      </c>
      <c r="E27" s="14"/>
      <c r="F27" s="14"/>
      <c r="G27" s="35"/>
      <c r="H27" s="14"/>
      <c r="I27" s="15"/>
      <c r="J27" s="50">
        <v>3119375</v>
      </c>
      <c r="K27" s="230"/>
      <c r="L27" s="50">
        <v>17650</v>
      </c>
      <c r="M27" s="50">
        <f t="shared" si="0"/>
        <v>3137025</v>
      </c>
      <c r="N27" s="51"/>
    </row>
    <row r="28" spans="1:14">
      <c r="A28" s="12" t="s">
        <v>47</v>
      </c>
      <c r="B28" s="34" t="s">
        <v>39</v>
      </c>
      <c r="C28" s="44"/>
      <c r="D28" s="36" t="s">
        <v>48</v>
      </c>
      <c r="E28" s="14"/>
      <c r="F28" s="14"/>
      <c r="G28" s="35"/>
      <c r="H28" s="14"/>
      <c r="I28" s="15"/>
      <c r="J28" s="50">
        <v>2307142</v>
      </c>
      <c r="K28" s="230"/>
      <c r="L28" s="50">
        <v>197433</v>
      </c>
      <c r="M28" s="50">
        <f t="shared" si="0"/>
        <v>2504575</v>
      </c>
      <c r="N28" s="51"/>
    </row>
    <row r="29" spans="1:14">
      <c r="A29" s="1" t="s">
        <v>49</v>
      </c>
      <c r="B29" s="34" t="s">
        <v>39</v>
      </c>
      <c r="C29" s="44"/>
      <c r="D29" s="36" t="s">
        <v>50</v>
      </c>
      <c r="E29" s="14"/>
      <c r="F29" s="14"/>
      <c r="G29" s="35"/>
      <c r="H29" s="14"/>
      <c r="I29" s="15"/>
      <c r="J29" s="50">
        <v>6327031</v>
      </c>
      <c r="K29" s="230"/>
      <c r="L29" s="50">
        <v>0</v>
      </c>
      <c r="M29" s="50">
        <f t="shared" si="0"/>
        <v>6327031</v>
      </c>
      <c r="N29" s="51"/>
    </row>
    <row r="30" spans="1:14">
      <c r="A30" s="12" t="s">
        <v>51</v>
      </c>
      <c r="B30" s="72" t="s">
        <v>52</v>
      </c>
      <c r="C30" s="44"/>
      <c r="D30" s="36" t="s">
        <v>53</v>
      </c>
      <c r="E30" s="14"/>
      <c r="F30" s="14"/>
      <c r="G30" s="35"/>
      <c r="H30" s="14"/>
      <c r="I30" s="15"/>
      <c r="J30" s="231">
        <f>'[26]Accounts by GL'!O481</f>
        <v>2254679.06</v>
      </c>
      <c r="K30" s="230"/>
      <c r="L30" s="58">
        <v>0</v>
      </c>
      <c r="M30" s="58">
        <f t="shared" si="0"/>
        <v>2254679</v>
      </c>
      <c r="N30" s="51"/>
    </row>
    <row r="31" spans="1:14">
      <c r="B31" s="72"/>
      <c r="C31" s="44"/>
      <c r="D31" s="36"/>
      <c r="E31" s="14"/>
      <c r="F31" s="14"/>
      <c r="G31" s="35"/>
      <c r="H31" s="14"/>
      <c r="I31" s="15"/>
      <c r="J31" s="73"/>
      <c r="K31" s="73"/>
      <c r="L31" s="73"/>
      <c r="M31" s="73"/>
      <c r="N31" s="74"/>
    </row>
    <row r="32" spans="1:14">
      <c r="A32" s="1" t="s">
        <v>54</v>
      </c>
      <c r="B32" s="72"/>
      <c r="C32" s="14"/>
      <c r="D32" s="65" t="s">
        <v>55</v>
      </c>
      <c r="E32" s="35"/>
      <c r="F32" s="14"/>
      <c r="G32" s="14"/>
      <c r="H32" s="14"/>
      <c r="I32" s="15"/>
      <c r="J32" s="66">
        <f t="array" ref="J32">SUM(ROUND(J24:J30,0))</f>
        <v>49412127</v>
      </c>
      <c r="K32" s="59"/>
      <c r="L32" s="66">
        <f t="array" ref="L32">SUM(ROUND(L24:L30,0))</f>
        <v>518515</v>
      </c>
      <c r="M32" s="66">
        <f t="array" ref="M32">SUM(ROUND(M24:M30,0))</f>
        <v>49930642</v>
      </c>
      <c r="N32" s="68"/>
    </row>
    <row r="33" spans="1:14">
      <c r="A33" s="12"/>
      <c r="B33" s="72"/>
      <c r="C33" s="44"/>
      <c r="D33" s="76"/>
      <c r="E33" s="14"/>
      <c r="F33" s="14"/>
      <c r="G33" s="35"/>
      <c r="H33" s="14"/>
      <c r="I33" s="15"/>
      <c r="J33" s="59"/>
      <c r="K33" s="59"/>
      <c r="L33" s="59"/>
      <c r="M33" s="59"/>
      <c r="N33" s="77"/>
    </row>
    <row r="34" spans="1:14">
      <c r="B34" s="72"/>
      <c r="C34" s="14"/>
      <c r="D34" s="65" t="str">
        <f>IF(J34&lt;0,IF(L34&gt;0,"Operating Income (Loss)","Operating Loss"),IF(J34&gt;0,IF(L34&gt;=0,"Operating Income","Operating Income (Loss)"),IF(L34&lt;0,"Operating Loss",IF(L34&gt;0,"Operating Income","Operating Income (Loss)"))))</f>
        <v>Operating Income (Loss)</v>
      </c>
      <c r="E34" s="35"/>
      <c r="F34" s="14"/>
      <c r="G34" s="14"/>
      <c r="H34" s="14"/>
      <c r="I34" s="15"/>
      <c r="J34" s="66">
        <f>J20-J32</f>
        <v>-35470358</v>
      </c>
      <c r="K34" s="67"/>
      <c r="L34" s="66">
        <f>L20-L32</f>
        <v>35673</v>
      </c>
      <c r="M34" s="66">
        <f>M20-M32</f>
        <v>-35434685</v>
      </c>
      <c r="N34" s="68"/>
    </row>
    <row r="35" spans="1:14">
      <c r="A35" s="12"/>
      <c r="B35" s="72"/>
      <c r="C35" s="14"/>
      <c r="D35" s="14"/>
      <c r="E35" s="14"/>
      <c r="F35" s="14"/>
      <c r="G35" s="14"/>
      <c r="H35" s="14"/>
      <c r="I35" s="15"/>
      <c r="J35" s="78"/>
      <c r="K35" s="78"/>
      <c r="L35" s="78"/>
      <c r="M35" s="78"/>
      <c r="N35" s="79"/>
    </row>
    <row r="36" spans="1:14">
      <c r="B36" s="72"/>
      <c r="C36" s="29" t="s">
        <v>56</v>
      </c>
      <c r="D36" s="35"/>
      <c r="E36" s="14"/>
      <c r="F36" s="14"/>
      <c r="G36" s="14"/>
      <c r="H36" s="14"/>
      <c r="I36" s="15"/>
      <c r="J36" s="16"/>
      <c r="K36" s="17"/>
      <c r="L36" s="16"/>
      <c r="M36" s="16"/>
      <c r="N36" s="18"/>
    </row>
    <row r="37" spans="1:14">
      <c r="A37" s="12" t="s">
        <v>57</v>
      </c>
      <c r="B37" s="72" t="s">
        <v>58</v>
      </c>
      <c r="C37" s="36" t="s">
        <v>59</v>
      </c>
      <c r="D37" s="35"/>
      <c r="E37" s="14"/>
      <c r="F37" s="14"/>
      <c r="G37" s="35"/>
      <c r="H37" s="14"/>
      <c r="I37" s="15"/>
      <c r="J37" s="80">
        <v>18006689.050000001</v>
      </c>
      <c r="K37" s="49"/>
      <c r="L37" s="80">
        <v>0</v>
      </c>
      <c r="M37" s="80">
        <f t="shared" ref="M37:M45" si="1">ROUND(L37,0)+ROUND(J37,0)</f>
        <v>18006689</v>
      </c>
      <c r="N37" s="81"/>
    </row>
    <row r="38" spans="1:14">
      <c r="A38" s="1" t="s">
        <v>60</v>
      </c>
      <c r="B38" s="72" t="s">
        <v>21</v>
      </c>
      <c r="C38" s="36" t="s">
        <v>61</v>
      </c>
      <c r="D38" s="35"/>
      <c r="E38" s="14"/>
      <c r="F38" s="14"/>
      <c r="G38" s="35"/>
      <c r="H38" s="14"/>
      <c r="I38" s="15"/>
      <c r="J38" s="80">
        <v>11760302.75</v>
      </c>
      <c r="K38" s="49"/>
      <c r="L38" s="80">
        <v>0</v>
      </c>
      <c r="M38" s="80">
        <f t="shared" si="1"/>
        <v>11760303</v>
      </c>
      <c r="N38" s="81"/>
    </row>
    <row r="39" spans="1:14">
      <c r="A39" s="12" t="s">
        <v>62</v>
      </c>
      <c r="B39" s="72" t="s">
        <v>21</v>
      </c>
      <c r="C39" s="36" t="s">
        <v>63</v>
      </c>
      <c r="D39" s="35"/>
      <c r="E39" s="14"/>
      <c r="F39" s="14"/>
      <c r="G39" s="35"/>
      <c r="H39" s="14"/>
      <c r="I39" s="15"/>
      <c r="J39" s="80">
        <v>545824.49</v>
      </c>
      <c r="K39" s="49"/>
      <c r="L39" s="80">
        <v>0</v>
      </c>
      <c r="M39" s="80">
        <f t="shared" si="1"/>
        <v>545824</v>
      </c>
      <c r="N39" s="81"/>
    </row>
    <row r="40" spans="1:14">
      <c r="A40" s="1" t="s">
        <v>64</v>
      </c>
      <c r="B40" s="72" t="s">
        <v>65</v>
      </c>
      <c r="C40" s="36" t="s">
        <v>66</v>
      </c>
      <c r="D40" s="35"/>
      <c r="E40" s="14"/>
      <c r="F40" s="14"/>
      <c r="G40" s="35"/>
      <c r="H40" s="14"/>
      <c r="I40" s="15"/>
      <c r="J40" s="80">
        <v>140004.47</v>
      </c>
      <c r="K40" s="49"/>
      <c r="L40" s="80">
        <v>390998</v>
      </c>
      <c r="M40" s="80">
        <f t="shared" si="1"/>
        <v>531002</v>
      </c>
      <c r="N40" s="81"/>
    </row>
    <row r="41" spans="1:14">
      <c r="A41" s="12" t="s">
        <v>67</v>
      </c>
      <c r="B41" s="72" t="s">
        <v>65</v>
      </c>
      <c r="C41" s="36" t="str">
        <f>IF(J41&lt;0,IF(L41&gt;0,"Net Gain (Loss) on Investments","Net Loss on Investments"),IF(J41&gt;0,IF(L41&gt;=0,"Net Gain on Investments","Net Gain (Loss) on Investments"),IF(L41&lt;0,"Net Loss on Investments",IF(L41&gt;0,"Net Gain on Investments","Net Gain (Loss) on Investments"))))</f>
        <v>Net Gain (Loss) on Investments</v>
      </c>
      <c r="D41" s="35"/>
      <c r="E41" s="14"/>
      <c r="F41" s="14"/>
      <c r="G41" s="35"/>
      <c r="H41" s="14"/>
      <c r="I41" s="15"/>
      <c r="J41" s="80">
        <v>0</v>
      </c>
      <c r="K41" s="49"/>
      <c r="L41" s="80">
        <v>0</v>
      </c>
      <c r="M41" s="80">
        <f t="shared" si="1"/>
        <v>0</v>
      </c>
      <c r="N41" s="81"/>
    </row>
    <row r="42" spans="1:14">
      <c r="A42" s="1" t="s">
        <v>68</v>
      </c>
      <c r="B42" s="72" t="s">
        <v>32</v>
      </c>
      <c r="C42" s="36" t="s">
        <v>69</v>
      </c>
      <c r="D42" s="35"/>
      <c r="E42" s="14"/>
      <c r="F42" s="14"/>
      <c r="G42" s="35"/>
      <c r="H42" s="14"/>
      <c r="I42" s="15"/>
      <c r="J42" s="80">
        <v>326510.7</v>
      </c>
      <c r="K42" s="49"/>
      <c r="L42" s="80">
        <v>0</v>
      </c>
      <c r="M42" s="80">
        <f t="shared" si="1"/>
        <v>326511</v>
      </c>
      <c r="N42" s="81"/>
    </row>
    <row r="43" spans="1:14">
      <c r="A43" s="12" t="s">
        <v>70</v>
      </c>
      <c r="B43" s="72" t="s">
        <v>71</v>
      </c>
      <c r="C43" s="36" t="str">
        <f>IF(J43&lt;0,IF(L43&gt;0,"Gain (Loss) on Disposal of Capital Assets","Loss on Disposal of Capital Assets"),IF(J43&gt;0,IF(L43&gt;=0,"Gain on Disposal of Capital Assets","Gain (Loss) on Disposal of Capital Assets"),IF(L43&lt;0,"Loss on Disposal of Capital Assets",IF(L43&gt;0,"Gain on Disposal of Capital Assets","Gain (Loss) on Disposal of Capital Assets"))))</f>
        <v>Gain (Loss) on Disposal of Capital Assets</v>
      </c>
      <c r="D43" s="35"/>
      <c r="E43" s="14"/>
      <c r="F43" s="14"/>
      <c r="G43" s="35"/>
      <c r="H43" s="14"/>
      <c r="I43" s="15"/>
      <c r="J43" s="80">
        <v>0</v>
      </c>
      <c r="K43" s="49"/>
      <c r="L43" s="80">
        <v>0</v>
      </c>
      <c r="M43" s="80">
        <f t="shared" si="1"/>
        <v>0</v>
      </c>
      <c r="N43" s="81"/>
    </row>
    <row r="44" spans="1:14">
      <c r="A44" s="1" t="s">
        <v>72</v>
      </c>
      <c r="B44" s="72" t="s">
        <v>39</v>
      </c>
      <c r="C44" s="36" t="s">
        <v>73</v>
      </c>
      <c r="D44" s="35"/>
      <c r="E44" s="35"/>
      <c r="F44" s="35"/>
      <c r="G44" s="35"/>
      <c r="H44" s="35"/>
      <c r="I44" s="35"/>
      <c r="J44" s="80">
        <v>-2352</v>
      </c>
      <c r="K44" s="49"/>
      <c r="L44" s="80">
        <v>0</v>
      </c>
      <c r="M44" s="80">
        <f t="shared" si="1"/>
        <v>-2352</v>
      </c>
      <c r="N44" s="81"/>
    </row>
    <row r="45" spans="1:14">
      <c r="A45" s="12" t="s">
        <v>74</v>
      </c>
      <c r="B45" s="72" t="s">
        <v>39</v>
      </c>
      <c r="C45" s="36" t="s">
        <v>75</v>
      </c>
      <c r="D45" s="35"/>
      <c r="E45" s="14"/>
      <c r="F45" s="14"/>
      <c r="G45" s="35"/>
      <c r="H45" s="14"/>
      <c r="I45" s="15"/>
      <c r="J45" s="82">
        <v>0</v>
      </c>
      <c r="K45" s="49"/>
      <c r="L45" s="82">
        <v>0</v>
      </c>
      <c r="M45" s="82">
        <f t="shared" si="1"/>
        <v>0</v>
      </c>
      <c r="N45" s="81"/>
    </row>
    <row r="46" spans="1:14">
      <c r="B46" s="72"/>
      <c r="C46" s="35"/>
      <c r="D46" s="35"/>
      <c r="E46" s="35"/>
      <c r="F46" s="35"/>
      <c r="G46" s="35"/>
      <c r="H46" s="35"/>
      <c r="I46" s="35"/>
      <c r="J46" s="83"/>
      <c r="K46" s="84"/>
      <c r="L46" s="83"/>
      <c r="M46" s="83"/>
      <c r="N46" s="85"/>
    </row>
    <row r="47" spans="1:14">
      <c r="A47" s="52" t="s">
        <v>76</v>
      </c>
      <c r="B47" s="53"/>
      <c r="C47" s="29" t="s">
        <v>77</v>
      </c>
      <c r="D47" s="35"/>
      <c r="E47" s="14"/>
      <c r="F47" s="14"/>
      <c r="G47" s="14"/>
      <c r="H47" s="14"/>
      <c r="I47" s="15"/>
      <c r="J47" s="66">
        <f t="array" ref="J47">SUM(ROUND(J37:J45,0))</f>
        <v>30776979</v>
      </c>
      <c r="K47" s="59"/>
      <c r="L47" s="66">
        <f t="array" ref="L47">SUM(ROUND(L37:L45,0))</f>
        <v>390998</v>
      </c>
      <c r="M47" s="66">
        <f t="array" ref="M47">SUM(ROUND(M37:M45,0))</f>
        <v>31167977</v>
      </c>
      <c r="N47" s="68"/>
    </row>
    <row r="48" spans="1:14">
      <c r="A48" s="52"/>
      <c r="B48" s="53"/>
      <c r="C48" s="86"/>
      <c r="D48" s="87"/>
      <c r="E48" s="15"/>
      <c r="F48" s="15"/>
      <c r="G48" s="15"/>
      <c r="H48" s="15"/>
      <c r="I48" s="15"/>
      <c r="J48" s="59"/>
      <c r="K48" s="59"/>
      <c r="L48" s="59"/>
      <c r="M48" s="59"/>
      <c r="N48" s="77"/>
    </row>
    <row r="49" spans="1:14">
      <c r="A49" s="52"/>
      <c r="B49" s="53"/>
      <c r="C49" s="65" t="str">
        <f>IF(J50&lt;0,IF(L50&gt;0,"Income (Loss) Before Other Revenues,","Loss Before Other Revenues,"),IF(J50&gt;0,IF(L50&gt;=0,"Income Before Other Revenues,","Income (Loss) Before Other Revenues,"),IF(L59&lt;0,"Loss Before Other Revenues,",IF(L59&gt;0,"Income Before Other Revenues,","Income (Loss) Before Other Revenues,"))))</f>
        <v>Income (Loss) Before Other Revenues,</v>
      </c>
      <c r="D49" s="35"/>
      <c r="E49" s="35"/>
      <c r="F49" s="14"/>
      <c r="G49" s="14"/>
      <c r="H49" s="14"/>
      <c r="I49" s="15"/>
      <c r="J49" s="35"/>
      <c r="K49" s="35"/>
      <c r="L49" s="35"/>
      <c r="M49" s="35"/>
      <c r="N49" s="37"/>
    </row>
    <row r="50" spans="1:14">
      <c r="A50" s="52"/>
      <c r="B50" s="53"/>
      <c r="C50" s="14"/>
      <c r="D50" s="29" t="s">
        <v>78</v>
      </c>
      <c r="E50" s="14"/>
      <c r="F50" s="14"/>
      <c r="G50" s="14"/>
      <c r="H50" s="14"/>
      <c r="I50" s="15"/>
      <c r="J50" s="66">
        <f>J34+J47</f>
        <v>-4693379</v>
      </c>
      <c r="K50" s="59"/>
      <c r="L50" s="66">
        <f>L34+L47</f>
        <v>426671</v>
      </c>
      <c r="M50" s="66">
        <f>M34+M47</f>
        <v>-4266708</v>
      </c>
      <c r="N50" s="68"/>
    </row>
    <row r="51" spans="1:14">
      <c r="A51" s="52"/>
      <c r="B51" s="53"/>
      <c r="C51" s="14"/>
      <c r="D51" s="29"/>
      <c r="E51" s="14"/>
      <c r="F51" s="14"/>
      <c r="G51" s="14"/>
      <c r="H51" s="14"/>
      <c r="I51" s="15"/>
      <c r="J51" s="17"/>
      <c r="K51" s="17"/>
      <c r="L51" s="17"/>
      <c r="M51" s="17"/>
      <c r="N51" s="18"/>
    </row>
    <row r="52" spans="1:14">
      <c r="A52" s="52" t="s">
        <v>79</v>
      </c>
      <c r="B52" s="53" t="s">
        <v>58</v>
      </c>
      <c r="C52" s="36" t="s">
        <v>80</v>
      </c>
      <c r="D52" s="35"/>
      <c r="E52" s="14"/>
      <c r="F52" s="14"/>
      <c r="G52" s="14"/>
      <c r="H52" s="35"/>
      <c r="I52" s="15"/>
      <c r="J52" s="80">
        <v>3685296.65</v>
      </c>
      <c r="K52" s="49"/>
      <c r="L52" s="80">
        <v>0</v>
      </c>
      <c r="M52" s="80">
        <f>ROUND(L52,0)+ROUND(J52,0)</f>
        <v>3685297</v>
      </c>
      <c r="N52" s="81"/>
    </row>
    <row r="53" spans="1:14">
      <c r="A53" s="52" t="s">
        <v>81</v>
      </c>
      <c r="B53" s="53" t="s">
        <v>82</v>
      </c>
      <c r="C53" s="36" t="s">
        <v>83</v>
      </c>
      <c r="D53" s="35"/>
      <c r="E53" s="14"/>
      <c r="F53" s="14"/>
      <c r="G53" s="14"/>
      <c r="H53" s="35"/>
      <c r="I53" s="15"/>
      <c r="J53" s="50">
        <v>1897019.86</v>
      </c>
      <c r="K53" s="230"/>
      <c r="L53" s="50">
        <v>0</v>
      </c>
      <c r="M53" s="50">
        <f>ROUND(L53,0)+ROUND(J53,0)</f>
        <v>1897020</v>
      </c>
      <c r="N53" s="51"/>
    </row>
    <row r="54" spans="1:14">
      <c r="A54" s="52" t="s">
        <v>84</v>
      </c>
      <c r="B54" s="53" t="s">
        <v>85</v>
      </c>
      <c r="C54" s="14" t="s">
        <v>86</v>
      </c>
      <c r="D54" s="35"/>
      <c r="E54" s="14"/>
      <c r="F54" s="14"/>
      <c r="G54" s="14"/>
      <c r="H54" s="35"/>
      <c r="I54" s="15"/>
      <c r="J54" s="89">
        <v>0</v>
      </c>
      <c r="K54" s="230"/>
      <c r="L54" s="89">
        <v>0</v>
      </c>
      <c r="M54" s="89">
        <f>ROUND(L54,0)+ROUND(J54,0)</f>
        <v>0</v>
      </c>
      <c r="N54" s="51"/>
    </row>
    <row r="55" spans="1:14">
      <c r="A55" s="52" t="s">
        <v>87</v>
      </c>
      <c r="B55" s="53" t="s">
        <v>85</v>
      </c>
      <c r="C55" s="76" t="str">
        <f>IF(J55&lt;0,IF(L55&gt;0,"Other Revenues (Expenses)","Other Expenses"),IF(J55&gt;0,IF(L55&gt;=0,"Other Revenues","Other Revenues (Expenses)"),IF(L55&lt;0,"Other Expenses",IF(L55&gt;0,"Other Revenues","Other Revenues (Expenses)"))))</f>
        <v>Other Revenues (Expenses)</v>
      </c>
      <c r="D55" s="35"/>
      <c r="E55" s="14"/>
      <c r="F55" s="14"/>
      <c r="G55" s="14"/>
      <c r="H55" s="35"/>
      <c r="I55" s="15"/>
      <c r="J55" s="58">
        <v>0</v>
      </c>
      <c r="K55" s="230"/>
      <c r="L55" s="58">
        <v>0</v>
      </c>
      <c r="M55" s="58">
        <f>ROUND(L55,0)+ROUND(J55,0)</f>
        <v>0</v>
      </c>
      <c r="N55" s="51"/>
    </row>
    <row r="56" spans="1:14">
      <c r="A56" s="52"/>
      <c r="B56" s="53"/>
      <c r="C56" s="35"/>
      <c r="D56" s="35"/>
      <c r="E56" s="14"/>
      <c r="F56" s="14"/>
      <c r="G56" s="14"/>
      <c r="H56" s="14"/>
      <c r="I56" s="15"/>
      <c r="J56" s="83"/>
      <c r="K56" s="84"/>
      <c r="L56" s="83"/>
      <c r="M56" s="83"/>
      <c r="N56" s="85"/>
    </row>
    <row r="57" spans="1:14">
      <c r="A57" s="70" t="s">
        <v>88</v>
      </c>
      <c r="B57" s="53"/>
      <c r="C57" s="29" t="s">
        <v>89</v>
      </c>
      <c r="D57" s="35"/>
      <c r="E57" s="35"/>
      <c r="F57" s="14"/>
      <c r="G57" s="14"/>
      <c r="H57" s="14"/>
      <c r="I57" s="15"/>
      <c r="J57" s="90">
        <f t="array" ref="J57">SUM(ROUND(J52:J55,0))</f>
        <v>5582317</v>
      </c>
      <c r="K57" s="59"/>
      <c r="L57" s="90">
        <f t="array" ref="L57">SUM(ROUND(L52:L55,0))</f>
        <v>0</v>
      </c>
      <c r="M57" s="90">
        <f t="array" ref="M57">SUM(ROUND(M52:M55,0))</f>
        <v>5582317</v>
      </c>
      <c r="N57" s="91"/>
    </row>
    <row r="58" spans="1:14">
      <c r="A58" s="52"/>
      <c r="B58" s="53"/>
      <c r="C58" s="29"/>
      <c r="D58" s="35"/>
      <c r="E58" s="35"/>
      <c r="F58" s="14"/>
      <c r="G58" s="14"/>
      <c r="H58" s="14"/>
      <c r="I58" s="15"/>
      <c r="J58" s="59"/>
      <c r="K58" s="59"/>
      <c r="L58" s="59"/>
      <c r="M58" s="59"/>
      <c r="N58" s="77"/>
    </row>
    <row r="59" spans="1:14">
      <c r="A59" s="70"/>
      <c r="B59" s="53"/>
      <c r="C59" s="65" t="str">
        <f>IF(J59&lt;0,IF(L59&gt;0,"Increase (Decrease) in Net Position","Decrease in Net Position"),IF(J59&gt;0,IF(L59&gt;=0,"Increase in Net Position","Increase (Decrease) in Net Position"),IF(L59&lt;0,"Decrease in Net Position",IF(L59&gt;0,"Increase in Net Position","Increase (Decrease) in Net Position"))))</f>
        <v>Increase in Net Position</v>
      </c>
      <c r="D59" s="35"/>
      <c r="E59" s="35"/>
      <c r="F59" s="14"/>
      <c r="G59" s="14"/>
      <c r="H59" s="14"/>
      <c r="I59" s="15"/>
      <c r="J59" s="90">
        <f>J50+J57</f>
        <v>888938</v>
      </c>
      <c r="K59" s="92"/>
      <c r="L59" s="90">
        <f>L50+L57</f>
        <v>426671</v>
      </c>
      <c r="M59" s="90">
        <f>M50+M57</f>
        <v>1315609</v>
      </c>
      <c r="N59" s="91"/>
    </row>
    <row r="60" spans="1:14">
      <c r="A60" s="52"/>
      <c r="B60" s="53"/>
      <c r="C60" s="93"/>
      <c r="D60" s="35"/>
      <c r="E60" s="35"/>
      <c r="F60" s="14"/>
      <c r="G60" s="14"/>
      <c r="H60" s="14"/>
      <c r="I60" s="15"/>
      <c r="J60" s="94"/>
      <c r="K60" s="94"/>
      <c r="L60" s="94"/>
      <c r="M60" s="94"/>
      <c r="N60" s="95"/>
    </row>
    <row r="61" spans="1:14">
      <c r="A61" s="52" t="s">
        <v>90</v>
      </c>
      <c r="B61" s="53"/>
      <c r="C61" s="14" t="s">
        <v>91</v>
      </c>
      <c r="D61" s="35"/>
      <c r="E61" s="14"/>
      <c r="F61" s="14"/>
      <c r="G61" s="14"/>
      <c r="H61" s="14"/>
      <c r="I61" s="15"/>
      <c r="J61" s="96">
        <f>VLOOKUP($C$1,[26]VLOOKUPS!A44:D71,2,FALSE)</f>
        <v>62704412</v>
      </c>
      <c r="K61" s="49"/>
      <c r="L61" s="96">
        <f>VLOOKUP($C$1,[26]VLOOKUPS!A44:D71,3,FALSE)</f>
        <v>4475560</v>
      </c>
      <c r="M61" s="89">
        <f>ROUND(L61,0)+ROUND(J61,0)</f>
        <v>67179972</v>
      </c>
      <c r="N61" s="97"/>
    </row>
    <row r="62" spans="1:14">
      <c r="A62" s="52" t="s">
        <v>92</v>
      </c>
      <c r="B62" s="53" t="s">
        <v>93</v>
      </c>
      <c r="C62" s="14" t="s">
        <v>94</v>
      </c>
      <c r="D62" s="35"/>
      <c r="E62" s="14"/>
      <c r="F62" s="14"/>
      <c r="G62" s="14"/>
      <c r="H62" s="14"/>
      <c r="I62" s="15"/>
      <c r="J62" s="82">
        <v>-9977171</v>
      </c>
      <c r="K62" s="49"/>
      <c r="L62" s="82">
        <v>0</v>
      </c>
      <c r="M62" s="82">
        <f>ROUND(L62,0)+ROUND(J62,0)</f>
        <v>-9977171</v>
      </c>
      <c r="N62" s="81"/>
    </row>
    <row r="63" spans="1:14">
      <c r="A63" s="52"/>
      <c r="B63" s="53"/>
      <c r="C63" s="36"/>
      <c r="D63" s="36"/>
      <c r="E63" s="36"/>
      <c r="F63" s="36"/>
      <c r="G63" s="36"/>
      <c r="H63" s="98"/>
      <c r="I63" s="36"/>
      <c r="J63" s="92"/>
      <c r="K63" s="99"/>
      <c r="L63" s="99"/>
      <c r="M63" s="99"/>
      <c r="N63" s="100"/>
    </row>
    <row r="64" spans="1:14">
      <c r="A64" s="70"/>
      <c r="B64" s="53"/>
      <c r="C64" s="101" t="s">
        <v>95</v>
      </c>
      <c r="D64" s="36"/>
      <c r="E64" s="36"/>
      <c r="F64" s="36"/>
      <c r="G64" s="36"/>
      <c r="H64" s="60"/>
      <c r="I64" s="60"/>
      <c r="J64" s="90">
        <f t="array" ref="J64">SUM(ROUND(J61:J62,0))</f>
        <v>52727241</v>
      </c>
      <c r="K64" s="92"/>
      <c r="L64" s="90">
        <f t="array" ref="L64">SUM(ROUND(L61:L62,0))</f>
        <v>4475560</v>
      </c>
      <c r="M64" s="90">
        <f t="array" ref="M64">SUM(ROUND(M61:M62,0))</f>
        <v>57202801</v>
      </c>
      <c r="N64" s="91"/>
    </row>
    <row r="65" spans="1:14">
      <c r="A65" s="52"/>
      <c r="B65" s="53"/>
      <c r="C65" s="36"/>
      <c r="D65" s="36"/>
      <c r="E65" s="36"/>
      <c r="F65" s="36"/>
      <c r="G65" s="36"/>
      <c r="H65" s="102"/>
      <c r="I65" s="36"/>
      <c r="J65" s="102"/>
      <c r="K65" s="60"/>
      <c r="L65" s="60"/>
      <c r="M65" s="60"/>
      <c r="N65" s="61"/>
    </row>
    <row r="66" spans="1:14" ht="13.5" thickBot="1">
      <c r="A66" s="52"/>
      <c r="B66" s="53"/>
      <c r="C66" s="29" t="s">
        <v>96</v>
      </c>
      <c r="D66" s="35"/>
      <c r="E66" s="14"/>
      <c r="F66" s="14"/>
      <c r="G66" s="14"/>
      <c r="H66" s="14"/>
      <c r="I66" s="103"/>
      <c r="J66" s="104">
        <f>J59+J64</f>
        <v>53616179</v>
      </c>
      <c r="K66" s="105"/>
      <c r="L66" s="104">
        <f>L59+L64</f>
        <v>4902231</v>
      </c>
      <c r="M66" s="104">
        <f>M59+M64</f>
        <v>58518410</v>
      </c>
      <c r="N66" s="46"/>
    </row>
    <row r="67" spans="1:14" ht="13.5" thickTop="1">
      <c r="A67" s="70"/>
      <c r="B67" s="53"/>
      <c r="C67" s="14"/>
      <c r="D67" s="14"/>
      <c r="E67" s="14"/>
      <c r="F67" s="14"/>
      <c r="G67" s="14"/>
      <c r="H67" s="14"/>
      <c r="I67" s="15"/>
      <c r="J67" s="107"/>
      <c r="K67" s="15"/>
      <c r="L67" s="107"/>
      <c r="M67" s="107"/>
      <c r="N67" s="108"/>
    </row>
    <row r="68" spans="1:14">
      <c r="A68" s="52"/>
      <c r="B68" s="53"/>
      <c r="C68" s="35" t="s">
        <v>97</v>
      </c>
      <c r="D68" s="35"/>
      <c r="E68" s="35"/>
      <c r="F68" s="35"/>
      <c r="G68" s="35"/>
      <c r="H68" s="35"/>
      <c r="I68" s="87"/>
      <c r="J68" s="35"/>
      <c r="K68" s="87"/>
      <c r="L68" s="35"/>
      <c r="M68" s="35"/>
      <c r="N68" s="37"/>
    </row>
    <row r="69" spans="1:14">
      <c r="B69" s="72"/>
      <c r="I69" s="6"/>
      <c r="J69" s="109">
        <f>J66-[26]SNP!K119</f>
        <v>0</v>
      </c>
      <c r="K69" s="110"/>
      <c r="L69" s="111">
        <f>L66-[26]SNP!M119</f>
        <v>0</v>
      </c>
      <c r="M69" s="111">
        <f>M66-[26]SNP!N119</f>
        <v>0</v>
      </c>
      <c r="N69" s="112"/>
    </row>
    <row r="70" spans="1:14">
      <c r="B70" s="72"/>
      <c r="I70" s="113" t="s">
        <v>98</v>
      </c>
      <c r="J70" s="114"/>
      <c r="K70" s="115"/>
      <c r="L70" s="114"/>
      <c r="M70" s="114"/>
      <c r="N70" s="114"/>
    </row>
  </sheetData>
  <sheetProtection formatColumns="0" formatRows="0"/>
  <conditionalFormatting sqref="J69 L69">
    <cfRule type="cellIs" dxfId="104" priority="14" operator="notEqual">
      <formula>0</formula>
    </cfRule>
    <cfRule type="cellIs" dxfId="103" priority="15" operator="equal">
      <formula>0</formula>
    </cfRule>
  </conditionalFormatting>
  <conditionalFormatting sqref="J11:J15 F11:G11 L24:L30 L37:L45 J37:J45 L62 J62 L17:L18 J25:J29 J17:J18 F17:G17 L11:L15 L52:L55 J52:J55">
    <cfRule type="containsBlanks" dxfId="102" priority="12">
      <formula>LEN(TRIM(F11))=0</formula>
    </cfRule>
    <cfRule type="cellIs" dxfId="101" priority="13" operator="notEqual">
      <formula>0</formula>
    </cfRule>
  </conditionalFormatting>
  <conditionalFormatting sqref="J11">
    <cfRule type="cellIs" dxfId="100" priority="11" operator="notEqual">
      <formula>J20</formula>
    </cfRule>
  </conditionalFormatting>
  <conditionalFormatting sqref="L11">
    <cfRule type="cellIs" dxfId="99" priority="10" operator="notEqual">
      <formula>L20</formula>
    </cfRule>
  </conditionalFormatting>
  <conditionalFormatting sqref="M69">
    <cfRule type="cellIs" dxfId="98" priority="8" operator="notEqual">
      <formula>0</formula>
    </cfRule>
    <cfRule type="cellIs" dxfId="97" priority="9" operator="equal">
      <formula>0</formula>
    </cfRule>
  </conditionalFormatting>
  <conditionalFormatting sqref="M24:M30 M37:M45 M62 M17:M18 M11:M15 M52:M55">
    <cfRule type="containsBlanks" dxfId="96" priority="6">
      <formula>LEN(TRIM(M11))=0</formula>
    </cfRule>
    <cfRule type="cellIs" dxfId="95" priority="7" operator="notEqual">
      <formula>0</formula>
    </cfRule>
  </conditionalFormatting>
  <conditionalFormatting sqref="M11">
    <cfRule type="cellIs" dxfId="94" priority="5" operator="notEqual">
      <formula>M20</formula>
    </cfRule>
  </conditionalFormatting>
  <conditionalFormatting sqref="J24">
    <cfRule type="containsBlanks" dxfId="93" priority="3">
      <formula>LEN(TRIM(J24))=0</formula>
    </cfRule>
    <cfRule type="cellIs" dxfId="92" priority="4" operator="notEqual">
      <formula>0</formula>
    </cfRule>
  </conditionalFormatting>
  <conditionalFormatting sqref="M61">
    <cfRule type="containsBlanks" dxfId="91" priority="1">
      <formula>LEN(TRIM(M61))=0</formula>
    </cfRule>
    <cfRule type="cellIs" dxfId="90" priority="2" operator="notEqual">
      <formula>0</formula>
    </cfRule>
  </conditionalFormatting>
  <printOptions horizontalCentered="1"/>
  <pageMargins left="0.7" right="0.7" top="0.75" bottom="0.75" header="0.5" footer="0.5"/>
  <pageSetup scale="53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T70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0" style="1" hidden="1" customWidth="1"/>
    <col min="2" max="2" width="0" style="20" hidden="1" customWidth="1"/>
    <col min="3" max="8" width="11.140625" style="6"/>
    <col min="9" max="9" width="11.140625" style="11"/>
    <col min="10" max="10" width="14.140625" style="6" customWidth="1"/>
    <col min="11" max="11" width="11.140625" style="11"/>
    <col min="12" max="12" width="14" style="6" customWidth="1"/>
    <col min="13" max="13" width="16" style="6" customWidth="1"/>
    <col min="14" max="14" width="11.140625" style="6"/>
    <col min="15" max="15" width="11.140625" style="10"/>
    <col min="16" max="20" width="11.140625" style="5"/>
    <col min="21" max="16384" width="11.140625" style="6"/>
  </cols>
  <sheetData>
    <row r="1" spans="1:14">
      <c r="B1" s="2"/>
      <c r="C1" s="260" t="str">
        <f>'[27]Contact Information'!$C$5</f>
        <v>ST. PETERSBURG COLLEGE</v>
      </c>
      <c r="D1" s="260"/>
      <c r="E1" s="260"/>
      <c r="F1" s="260"/>
      <c r="G1" s="260"/>
      <c r="H1" s="260"/>
      <c r="I1" s="260"/>
      <c r="J1" s="260"/>
      <c r="K1" s="260"/>
      <c r="L1" s="260"/>
      <c r="M1" s="247"/>
      <c r="N1" s="3"/>
    </row>
    <row r="2" spans="1:14">
      <c r="B2" s="2"/>
      <c r="C2" s="256" t="s">
        <v>0</v>
      </c>
      <c r="D2" s="256"/>
      <c r="E2" s="256"/>
      <c r="F2" s="256"/>
      <c r="G2" s="256"/>
      <c r="H2" s="256"/>
      <c r="I2" s="256"/>
      <c r="J2" s="256"/>
      <c r="K2" s="256"/>
      <c r="L2" s="256"/>
      <c r="M2" s="245"/>
      <c r="N2" s="7"/>
    </row>
    <row r="3" spans="1:14">
      <c r="B3" s="2"/>
      <c r="C3" s="86" t="s">
        <v>1</v>
      </c>
      <c r="D3" s="86"/>
      <c r="E3" s="86"/>
      <c r="F3" s="86"/>
      <c r="G3" s="86"/>
      <c r="H3" s="86"/>
      <c r="I3" s="86"/>
      <c r="J3" s="86"/>
      <c r="K3" s="86"/>
      <c r="L3" s="86"/>
      <c r="M3" s="248"/>
      <c r="N3" s="9" t="s">
        <v>2</v>
      </c>
    </row>
    <row r="4" spans="1:14">
      <c r="B4" s="2"/>
      <c r="C4" s="261" t="s">
        <v>297</v>
      </c>
      <c r="D4" s="261"/>
      <c r="E4" s="261"/>
      <c r="F4" s="261"/>
      <c r="G4" s="261"/>
      <c r="H4" s="261"/>
      <c r="I4" s="261"/>
      <c r="J4" s="261"/>
      <c r="K4" s="261"/>
      <c r="L4" s="261"/>
      <c r="M4" s="249"/>
      <c r="N4" s="11" t="str">
        <f>'[27]Contact Information'!$C$3</f>
        <v>2015.v02</v>
      </c>
    </row>
    <row r="5" spans="1:14">
      <c r="A5" s="12"/>
      <c r="B5" s="13"/>
      <c r="C5" s="14"/>
      <c r="D5" s="14"/>
      <c r="E5" s="14"/>
      <c r="F5" s="14"/>
      <c r="G5" s="14"/>
      <c r="H5" s="14"/>
      <c r="I5" s="15"/>
      <c r="J5" s="16"/>
      <c r="K5" s="17"/>
      <c r="L5" s="16"/>
      <c r="M5" s="16"/>
      <c r="N5" s="18"/>
    </row>
    <row r="6" spans="1:14">
      <c r="C6" s="14"/>
      <c r="D6" s="14"/>
      <c r="E6" s="14"/>
      <c r="F6" s="14"/>
      <c r="G6" s="14"/>
      <c r="H6" s="14"/>
      <c r="I6" s="15"/>
      <c r="J6" s="249" t="s">
        <v>5</v>
      </c>
      <c r="K6" s="21"/>
      <c r="L6" s="22" t="s">
        <v>6</v>
      </c>
      <c r="M6" s="22" t="s">
        <v>7</v>
      </c>
      <c r="N6" s="23"/>
    </row>
    <row r="7" spans="1:14">
      <c r="C7" s="14"/>
      <c r="D7" s="14"/>
      <c r="E7" s="14"/>
      <c r="F7" s="14"/>
      <c r="G7" s="14"/>
      <c r="H7" s="14"/>
      <c r="I7" s="15"/>
      <c r="J7" s="24"/>
      <c r="K7" s="25"/>
      <c r="L7" s="26" t="str">
        <f>[27]SNP!$M$9</f>
        <v>Unit</v>
      </c>
      <c r="M7" s="26"/>
      <c r="N7" s="27"/>
    </row>
    <row r="8" spans="1:14">
      <c r="C8" s="29" t="s">
        <v>9</v>
      </c>
      <c r="D8" s="14"/>
      <c r="E8" s="14"/>
      <c r="F8" s="14"/>
      <c r="G8" s="14"/>
      <c r="H8" s="14"/>
      <c r="I8" s="15"/>
      <c r="J8" s="25"/>
      <c r="K8" s="25"/>
      <c r="L8" s="25"/>
      <c r="M8" s="25"/>
      <c r="N8" s="30"/>
    </row>
    <row r="9" spans="1:14">
      <c r="A9" s="32" t="s">
        <v>10</v>
      </c>
      <c r="B9" s="33" t="s">
        <v>11</v>
      </c>
      <c r="C9" s="14" t="s">
        <v>12</v>
      </c>
      <c r="D9" s="14"/>
      <c r="E9" s="14"/>
      <c r="F9" s="14"/>
      <c r="G9" s="14"/>
      <c r="H9" s="14"/>
      <c r="I9" s="15"/>
      <c r="J9" s="17"/>
      <c r="K9" s="17"/>
      <c r="L9" s="17"/>
      <c r="M9" s="17"/>
      <c r="N9" s="18"/>
    </row>
    <row r="10" spans="1:14">
      <c r="B10" s="34"/>
      <c r="C10" s="35"/>
      <c r="D10" s="36" t="s">
        <v>14</v>
      </c>
      <c r="E10" s="14"/>
      <c r="F10" s="14"/>
      <c r="G10" s="14"/>
      <c r="H10" s="14"/>
      <c r="I10" s="35"/>
      <c r="J10" s="35"/>
      <c r="K10" s="17"/>
      <c r="L10" s="35"/>
      <c r="M10" s="35"/>
      <c r="N10" s="37"/>
    </row>
    <row r="11" spans="1:14">
      <c r="A11" s="1" t="s">
        <v>17</v>
      </c>
      <c r="B11" s="34" t="s">
        <v>18</v>
      </c>
      <c r="C11" s="35"/>
      <c r="D11" s="44" t="s">
        <v>19</v>
      </c>
      <c r="E11" s="35"/>
      <c r="F11" s="263">
        <v>33551931</v>
      </c>
      <c r="G11" s="263"/>
      <c r="H11" s="45"/>
      <c r="I11" s="36"/>
      <c r="J11" s="228">
        <v>42194636.18</v>
      </c>
      <c r="K11" s="229"/>
      <c r="L11" s="228">
        <v>0</v>
      </c>
      <c r="M11" s="228">
        <f>ROUND(L11,0)+ROUND(J11,0)</f>
        <v>42194636</v>
      </c>
      <c r="N11" s="46"/>
    </row>
    <row r="12" spans="1:14">
      <c r="A12" s="1" t="s">
        <v>20</v>
      </c>
      <c r="B12" s="34" t="s">
        <v>21</v>
      </c>
      <c r="C12" s="35"/>
      <c r="D12" s="36" t="s">
        <v>22</v>
      </c>
      <c r="E12" s="14"/>
      <c r="F12" s="48"/>
      <c r="G12" s="49"/>
      <c r="H12" s="15"/>
      <c r="I12" s="35"/>
      <c r="J12" s="50">
        <v>517316.61</v>
      </c>
      <c r="K12" s="230"/>
      <c r="L12" s="50">
        <v>0</v>
      </c>
      <c r="M12" s="50">
        <f>ROUND(L12,0)+ROUND(J12,0)</f>
        <v>517317</v>
      </c>
      <c r="N12" s="51"/>
    </row>
    <row r="13" spans="1:14">
      <c r="A13" s="1" t="s">
        <v>23</v>
      </c>
      <c r="B13" s="34" t="s">
        <v>21</v>
      </c>
      <c r="C13" s="35"/>
      <c r="D13" s="36" t="s">
        <v>24</v>
      </c>
      <c r="E13" s="14"/>
      <c r="F13" s="48"/>
      <c r="G13" s="48"/>
      <c r="H13" s="14"/>
      <c r="I13" s="35"/>
      <c r="J13" s="50">
        <v>1746981.46</v>
      </c>
      <c r="K13" s="230"/>
      <c r="L13" s="50">
        <v>0</v>
      </c>
      <c r="M13" s="50">
        <f>ROUND(L13,0)+ROUND(J13,0)</f>
        <v>1746981</v>
      </c>
      <c r="N13" s="51"/>
    </row>
    <row r="14" spans="1:14">
      <c r="A14" s="1" t="s">
        <v>25</v>
      </c>
      <c r="B14" s="34" t="s">
        <v>21</v>
      </c>
      <c r="C14" s="35"/>
      <c r="D14" s="36" t="s">
        <v>26</v>
      </c>
      <c r="E14" s="14"/>
      <c r="F14" s="48"/>
      <c r="G14" s="48"/>
      <c r="H14" s="14"/>
      <c r="I14" s="35"/>
      <c r="J14" s="50">
        <v>1000592.79</v>
      </c>
      <c r="K14" s="230"/>
      <c r="L14" s="50">
        <v>0</v>
      </c>
      <c r="M14" s="50">
        <f>ROUND(L14,0)+ROUND(J14,0)</f>
        <v>1000593</v>
      </c>
      <c r="N14" s="51"/>
    </row>
    <row r="15" spans="1:14">
      <c r="A15" s="1" t="s">
        <v>27</v>
      </c>
      <c r="B15" s="34" t="s">
        <v>18</v>
      </c>
      <c r="C15" s="35"/>
      <c r="D15" s="36" t="s">
        <v>28</v>
      </c>
      <c r="E15" s="14"/>
      <c r="F15" s="48"/>
      <c r="G15" s="48"/>
      <c r="H15" s="35"/>
      <c r="I15" s="35"/>
      <c r="J15" s="50">
        <v>3070553.55</v>
      </c>
      <c r="K15" s="230"/>
      <c r="L15" s="50">
        <v>0</v>
      </c>
      <c r="M15" s="50">
        <f>ROUND(L15,0)+ROUND(J15,0)</f>
        <v>3070554</v>
      </c>
      <c r="N15" s="51"/>
    </row>
    <row r="16" spans="1:14">
      <c r="A16" s="52"/>
      <c r="B16" s="53"/>
      <c r="C16" s="35"/>
      <c r="D16" s="36" t="s">
        <v>29</v>
      </c>
      <c r="E16" s="14"/>
      <c r="F16" s="54"/>
      <c r="G16" s="49"/>
      <c r="H16" s="55"/>
      <c r="I16" s="35"/>
      <c r="J16" s="35"/>
      <c r="K16" s="230"/>
      <c r="L16" s="35"/>
      <c r="M16" s="35"/>
      <c r="N16" s="37"/>
    </row>
    <row r="17" spans="1:14">
      <c r="A17" s="52" t="s">
        <v>30</v>
      </c>
      <c r="B17" s="53" t="s">
        <v>18</v>
      </c>
      <c r="C17" s="35"/>
      <c r="D17" s="44" t="s">
        <v>19</v>
      </c>
      <c r="E17" s="35"/>
      <c r="F17" s="263">
        <v>0</v>
      </c>
      <c r="G17" s="263"/>
      <c r="H17" s="55"/>
      <c r="I17" s="35"/>
      <c r="J17" s="50">
        <v>3434449.05</v>
      </c>
      <c r="K17" s="230"/>
      <c r="L17" s="50">
        <v>0</v>
      </c>
      <c r="M17" s="50">
        <f>ROUND(L17,0)+ROUND(J17,0)</f>
        <v>3434449</v>
      </c>
      <c r="N17" s="51"/>
    </row>
    <row r="18" spans="1:14">
      <c r="A18" s="52" t="s">
        <v>31</v>
      </c>
      <c r="B18" s="56" t="s">
        <v>32</v>
      </c>
      <c r="C18" s="35"/>
      <c r="D18" s="57" t="s">
        <v>33</v>
      </c>
      <c r="E18" s="14"/>
      <c r="F18" s="14"/>
      <c r="G18" s="14"/>
      <c r="H18" s="14"/>
      <c r="I18" s="36"/>
      <c r="J18" s="58">
        <v>156717.43</v>
      </c>
      <c r="K18" s="230"/>
      <c r="L18" s="58">
        <v>3564495</v>
      </c>
      <c r="M18" s="58">
        <f>ROUND(L18,0)+ROUND(J18,0)</f>
        <v>3721212</v>
      </c>
      <c r="N18" s="51"/>
    </row>
    <row r="19" spans="1:14">
      <c r="A19" s="52"/>
      <c r="B19" s="56"/>
      <c r="C19" s="36"/>
      <c r="D19" s="36"/>
      <c r="E19" s="36"/>
      <c r="F19" s="36"/>
      <c r="G19" s="36"/>
      <c r="H19" s="59"/>
      <c r="I19" s="59"/>
      <c r="J19" s="59"/>
      <c r="K19" s="60"/>
      <c r="L19" s="60"/>
      <c r="M19" s="60"/>
      <c r="N19" s="61"/>
    </row>
    <row r="20" spans="1:14">
      <c r="A20" s="52" t="s">
        <v>34</v>
      </c>
      <c r="B20" s="56"/>
      <c r="C20" s="35"/>
      <c r="D20" s="65" t="s">
        <v>35</v>
      </c>
      <c r="E20" s="35"/>
      <c r="F20" s="14"/>
      <c r="G20" s="14"/>
      <c r="H20" s="14"/>
      <c r="I20" s="15"/>
      <c r="J20" s="66">
        <f t="array" ref="J20">SUM(ROUND(J11:J18,0))</f>
        <v>52121247</v>
      </c>
      <c r="K20" s="67"/>
      <c r="L20" s="66">
        <f t="array" ref="L20">SUM(ROUND(L11:L18,0))</f>
        <v>3564495</v>
      </c>
      <c r="M20" s="66">
        <f t="array" ref="M20">SUM(ROUND(M11:M18,0))</f>
        <v>55685742</v>
      </c>
      <c r="N20" s="68"/>
    </row>
    <row r="21" spans="1:14">
      <c r="A21" s="52"/>
      <c r="B21" s="56"/>
      <c r="C21" s="14"/>
      <c r="D21" s="14"/>
      <c r="E21" s="14"/>
      <c r="F21" s="14"/>
      <c r="G21" s="14"/>
      <c r="H21" s="14"/>
      <c r="I21" s="15"/>
      <c r="J21" s="17"/>
      <c r="K21" s="17"/>
      <c r="L21" s="17"/>
      <c r="M21" s="17"/>
      <c r="N21" s="18"/>
    </row>
    <row r="22" spans="1:14">
      <c r="A22" s="70"/>
      <c r="B22" s="71"/>
      <c r="C22" s="29" t="s">
        <v>36</v>
      </c>
      <c r="D22" s="14"/>
      <c r="E22" s="14"/>
      <c r="F22" s="14"/>
      <c r="G22" s="14"/>
      <c r="H22" s="14"/>
      <c r="I22" s="15"/>
      <c r="J22" s="16"/>
      <c r="K22" s="17"/>
      <c r="L22" s="16"/>
      <c r="M22" s="16"/>
      <c r="N22" s="18"/>
    </row>
    <row r="23" spans="1:14">
      <c r="A23" s="52"/>
      <c r="B23" s="53"/>
      <c r="C23" s="14" t="s">
        <v>37</v>
      </c>
      <c r="D23" s="14"/>
      <c r="E23" s="14"/>
      <c r="F23" s="14"/>
      <c r="G23" s="35"/>
      <c r="H23" s="14"/>
      <c r="I23" s="15"/>
      <c r="J23" s="16"/>
      <c r="K23" s="17"/>
      <c r="L23" s="16"/>
      <c r="M23" s="16"/>
      <c r="N23" s="18"/>
    </row>
    <row r="24" spans="1:14">
      <c r="A24" s="12" t="s">
        <v>38</v>
      </c>
      <c r="B24" s="72" t="s">
        <v>39</v>
      </c>
      <c r="C24" s="44"/>
      <c r="D24" s="36" t="s">
        <v>40</v>
      </c>
      <c r="E24" s="14"/>
      <c r="F24" s="14"/>
      <c r="G24" s="35"/>
      <c r="H24" s="14"/>
      <c r="I24" s="15"/>
      <c r="J24" s="50">
        <f>100701035.87+25269573.98</f>
        <v>125970609.85000001</v>
      </c>
      <c r="K24" s="230"/>
      <c r="L24" s="50">
        <v>0</v>
      </c>
      <c r="M24" s="50">
        <f t="shared" ref="M24:M30" si="0">ROUND(L24,0)+ROUND(J24,0)</f>
        <v>125970610</v>
      </c>
      <c r="N24" s="51"/>
    </row>
    <row r="25" spans="1:14">
      <c r="A25" s="1" t="s">
        <v>41</v>
      </c>
      <c r="B25" s="72" t="s">
        <v>39</v>
      </c>
      <c r="C25" s="44"/>
      <c r="D25" s="36" t="s">
        <v>42</v>
      </c>
      <c r="E25" s="14"/>
      <c r="F25" s="14"/>
      <c r="G25" s="35"/>
      <c r="H25" s="14"/>
      <c r="I25" s="15"/>
      <c r="J25" s="50">
        <v>35111496.020000003</v>
      </c>
      <c r="K25" s="230"/>
      <c r="L25" s="50">
        <v>2954393</v>
      </c>
      <c r="M25" s="50">
        <f t="shared" si="0"/>
        <v>38065889</v>
      </c>
      <c r="N25" s="51"/>
    </row>
    <row r="26" spans="1:14">
      <c r="A26" s="12" t="s">
        <v>43</v>
      </c>
      <c r="B26" s="34" t="s">
        <v>39</v>
      </c>
      <c r="C26" s="44"/>
      <c r="D26" s="36" t="s">
        <v>44</v>
      </c>
      <c r="E26" s="14"/>
      <c r="F26" s="14"/>
      <c r="G26" s="35"/>
      <c r="H26" s="14"/>
      <c r="I26" s="15"/>
      <c r="J26" s="50">
        <v>6536431.8300000001</v>
      </c>
      <c r="K26" s="230"/>
      <c r="L26" s="50">
        <v>0</v>
      </c>
      <c r="M26" s="50">
        <f t="shared" si="0"/>
        <v>6536432</v>
      </c>
      <c r="N26" s="51"/>
    </row>
    <row r="27" spans="1:14">
      <c r="A27" s="1" t="s">
        <v>45</v>
      </c>
      <c r="B27" s="72" t="s">
        <v>39</v>
      </c>
      <c r="C27" s="44"/>
      <c r="D27" s="36" t="s">
        <v>46</v>
      </c>
      <c r="E27" s="14"/>
      <c r="F27" s="14"/>
      <c r="G27" s="35"/>
      <c r="H27" s="14"/>
      <c r="I27" s="15"/>
      <c r="J27" s="50">
        <v>12602024.84</v>
      </c>
      <c r="K27" s="230"/>
      <c r="L27" s="50">
        <v>55983</v>
      </c>
      <c r="M27" s="50">
        <f t="shared" si="0"/>
        <v>12658008</v>
      </c>
      <c r="N27" s="51"/>
    </row>
    <row r="28" spans="1:14">
      <c r="A28" s="12" t="s">
        <v>47</v>
      </c>
      <c r="B28" s="34" t="s">
        <v>39</v>
      </c>
      <c r="C28" s="44"/>
      <c r="D28" s="36" t="s">
        <v>48</v>
      </c>
      <c r="E28" s="14"/>
      <c r="F28" s="14"/>
      <c r="G28" s="35"/>
      <c r="H28" s="14"/>
      <c r="I28" s="15"/>
      <c r="J28" s="50">
        <v>8800869.0500000007</v>
      </c>
      <c r="K28" s="230"/>
      <c r="L28" s="50">
        <v>2068215</v>
      </c>
      <c r="M28" s="50">
        <f t="shared" si="0"/>
        <v>10869084</v>
      </c>
      <c r="N28" s="51"/>
    </row>
    <row r="29" spans="1:14">
      <c r="A29" s="1" t="s">
        <v>49</v>
      </c>
      <c r="B29" s="34" t="s">
        <v>39</v>
      </c>
      <c r="C29" s="44"/>
      <c r="D29" s="36" t="s">
        <v>50</v>
      </c>
      <c r="E29" s="14"/>
      <c r="F29" s="14"/>
      <c r="G29" s="35"/>
      <c r="H29" s="14"/>
      <c r="I29" s="15"/>
      <c r="J29" s="50">
        <v>15859999.199999999</v>
      </c>
      <c r="K29" s="230"/>
      <c r="L29" s="50">
        <v>31214</v>
      </c>
      <c r="M29" s="50">
        <f t="shared" si="0"/>
        <v>15891213</v>
      </c>
      <c r="N29" s="51"/>
    </row>
    <row r="30" spans="1:14">
      <c r="A30" s="12" t="s">
        <v>51</v>
      </c>
      <c r="B30" s="72" t="s">
        <v>52</v>
      </c>
      <c r="C30" s="44"/>
      <c r="D30" s="36" t="s">
        <v>53</v>
      </c>
      <c r="E30" s="14"/>
      <c r="F30" s="14"/>
      <c r="G30" s="35"/>
      <c r="H30" s="14"/>
      <c r="I30" s="15"/>
      <c r="J30" s="231">
        <f>'[27]Accounts by GL'!O481</f>
        <v>10651352.77</v>
      </c>
      <c r="K30" s="230"/>
      <c r="L30" s="58">
        <v>0</v>
      </c>
      <c r="M30" s="58">
        <f t="shared" si="0"/>
        <v>10651353</v>
      </c>
      <c r="N30" s="51"/>
    </row>
    <row r="31" spans="1:14">
      <c r="B31" s="72"/>
      <c r="C31" s="44"/>
      <c r="D31" s="36"/>
      <c r="E31" s="14"/>
      <c r="F31" s="14"/>
      <c r="G31" s="35"/>
      <c r="H31" s="14"/>
      <c r="I31" s="15"/>
      <c r="J31" s="73"/>
      <c r="K31" s="73"/>
      <c r="L31" s="73"/>
      <c r="M31" s="73"/>
      <c r="N31" s="74"/>
    </row>
    <row r="32" spans="1:14">
      <c r="A32" s="1" t="s">
        <v>54</v>
      </c>
      <c r="B32" s="72"/>
      <c r="C32" s="14"/>
      <c r="D32" s="65" t="s">
        <v>55</v>
      </c>
      <c r="E32" s="35"/>
      <c r="F32" s="14"/>
      <c r="G32" s="14"/>
      <c r="H32" s="14"/>
      <c r="I32" s="15"/>
      <c r="J32" s="66">
        <f t="array" ref="J32">SUM(ROUND(J24:J30,0))</f>
        <v>215532784</v>
      </c>
      <c r="K32" s="59"/>
      <c r="L32" s="66">
        <f t="array" ref="L32">SUM(ROUND(L24:L30,0))</f>
        <v>5109805</v>
      </c>
      <c r="M32" s="66">
        <f t="array" ref="M32">SUM(ROUND(M24:M30,0))</f>
        <v>220642589</v>
      </c>
      <c r="N32" s="68"/>
    </row>
    <row r="33" spans="1:14">
      <c r="A33" s="12"/>
      <c r="B33" s="72"/>
      <c r="C33" s="44"/>
      <c r="D33" s="76"/>
      <c r="E33" s="14"/>
      <c r="F33" s="14"/>
      <c r="G33" s="35"/>
      <c r="H33" s="14"/>
      <c r="I33" s="15"/>
      <c r="J33" s="59"/>
      <c r="K33" s="59"/>
      <c r="L33" s="59"/>
      <c r="M33" s="59"/>
      <c r="N33" s="77"/>
    </row>
    <row r="34" spans="1:14">
      <c r="B34" s="72"/>
      <c r="C34" s="14"/>
      <c r="D34" s="65" t="str">
        <f>IF(J34&lt;0,IF(L34&gt;0,"Operating Income (Loss)","Operating Loss"),IF(J34&gt;0,IF(L34&gt;=0,"Operating Income","Operating Income (Loss)"),IF(L34&lt;0,"Operating Loss",IF(L34&gt;0,"Operating Income","Operating Income (Loss)"))))</f>
        <v>Operating Loss</v>
      </c>
      <c r="E34" s="35"/>
      <c r="F34" s="14"/>
      <c r="G34" s="14"/>
      <c r="H34" s="14"/>
      <c r="I34" s="15"/>
      <c r="J34" s="66">
        <f>J20-J32</f>
        <v>-163411537</v>
      </c>
      <c r="K34" s="67"/>
      <c r="L34" s="66">
        <f>L20-L32</f>
        <v>-1545310</v>
      </c>
      <c r="M34" s="66">
        <f>M20-M32</f>
        <v>-164956847</v>
      </c>
      <c r="N34" s="68"/>
    </row>
    <row r="35" spans="1:14">
      <c r="A35" s="12"/>
      <c r="B35" s="72"/>
      <c r="C35" s="14"/>
      <c r="D35" s="14"/>
      <c r="E35" s="14"/>
      <c r="F35" s="14"/>
      <c r="G35" s="14"/>
      <c r="H35" s="14"/>
      <c r="I35" s="15"/>
      <c r="J35" s="78"/>
      <c r="K35" s="78"/>
      <c r="L35" s="78"/>
      <c r="M35" s="78"/>
      <c r="N35" s="79"/>
    </row>
    <row r="36" spans="1:14">
      <c r="B36" s="72"/>
      <c r="C36" s="29" t="s">
        <v>56</v>
      </c>
      <c r="D36" s="35"/>
      <c r="E36" s="14"/>
      <c r="F36" s="14"/>
      <c r="G36" s="14"/>
      <c r="H36" s="14"/>
      <c r="I36" s="15"/>
      <c r="J36" s="16"/>
      <c r="K36" s="17"/>
      <c r="L36" s="16"/>
      <c r="M36" s="16"/>
      <c r="N36" s="18"/>
    </row>
    <row r="37" spans="1:14">
      <c r="A37" s="12" t="s">
        <v>57</v>
      </c>
      <c r="B37" s="72" t="s">
        <v>58</v>
      </c>
      <c r="C37" s="36" t="s">
        <v>59</v>
      </c>
      <c r="D37" s="35"/>
      <c r="E37" s="14"/>
      <c r="F37" s="14"/>
      <c r="G37" s="35"/>
      <c r="H37" s="14"/>
      <c r="I37" s="15"/>
      <c r="J37" s="80">
        <v>69507153.680000007</v>
      </c>
      <c r="K37" s="49"/>
      <c r="L37" s="80">
        <v>0</v>
      </c>
      <c r="M37" s="80">
        <f t="shared" ref="M37:M45" si="1">ROUND(L37,0)+ROUND(J37,0)</f>
        <v>69507154</v>
      </c>
      <c r="N37" s="81"/>
    </row>
    <row r="38" spans="1:14">
      <c r="A38" s="1" t="s">
        <v>60</v>
      </c>
      <c r="B38" s="72" t="s">
        <v>21</v>
      </c>
      <c r="C38" s="36" t="s">
        <v>61</v>
      </c>
      <c r="D38" s="35"/>
      <c r="E38" s="14"/>
      <c r="F38" s="14"/>
      <c r="G38" s="35"/>
      <c r="H38" s="14"/>
      <c r="I38" s="15"/>
      <c r="J38" s="80">
        <v>61228291.75</v>
      </c>
      <c r="K38" s="49"/>
      <c r="L38" s="80">
        <v>0</v>
      </c>
      <c r="M38" s="80">
        <f t="shared" si="1"/>
        <v>61228292</v>
      </c>
      <c r="N38" s="81"/>
    </row>
    <row r="39" spans="1:14">
      <c r="A39" s="12" t="s">
        <v>62</v>
      </c>
      <c r="B39" s="72" t="s">
        <v>21</v>
      </c>
      <c r="C39" s="36" t="s">
        <v>63</v>
      </c>
      <c r="D39" s="35"/>
      <c r="E39" s="14"/>
      <c r="F39" s="14"/>
      <c r="G39" s="35"/>
      <c r="H39" s="14"/>
      <c r="I39" s="15"/>
      <c r="J39" s="80">
        <v>15341509.6</v>
      </c>
      <c r="K39" s="49"/>
      <c r="L39" s="80">
        <v>73276</v>
      </c>
      <c r="M39" s="80">
        <f t="shared" si="1"/>
        <v>15414786</v>
      </c>
      <c r="N39" s="81"/>
    </row>
    <row r="40" spans="1:14">
      <c r="A40" s="1" t="s">
        <v>64</v>
      </c>
      <c r="B40" s="72" t="s">
        <v>65</v>
      </c>
      <c r="C40" s="36" t="s">
        <v>66</v>
      </c>
      <c r="D40" s="35"/>
      <c r="E40" s="14"/>
      <c r="F40" s="14"/>
      <c r="G40" s="35"/>
      <c r="H40" s="14"/>
      <c r="I40" s="15"/>
      <c r="J40" s="80">
        <v>310277.06</v>
      </c>
      <c r="K40" s="49"/>
      <c r="L40" s="80">
        <v>3388771</v>
      </c>
      <c r="M40" s="80">
        <f t="shared" si="1"/>
        <v>3699048</v>
      </c>
      <c r="N40" s="81"/>
    </row>
    <row r="41" spans="1:14">
      <c r="A41" s="12" t="s">
        <v>67</v>
      </c>
      <c r="B41" s="72" t="s">
        <v>65</v>
      </c>
      <c r="C41" s="36" t="str">
        <f>IF(J41&lt;0,IF(L41&gt;0,"Net Gain (Loss) on Investments","Net Loss on Investments"),IF(J41&gt;0,IF(L41&gt;=0,"Net Gain on Investments","Net Gain (Loss) on Investments"),IF(L41&lt;0,"Net Loss on Investments",IF(L41&gt;0,"Net Gain on Investments","Net Gain (Loss) on Investments"))))</f>
        <v>Net Gain (Loss) on Investments</v>
      </c>
      <c r="D41" s="35"/>
      <c r="E41" s="14"/>
      <c r="F41" s="14"/>
      <c r="G41" s="35"/>
      <c r="H41" s="14"/>
      <c r="I41" s="15"/>
      <c r="J41" s="80">
        <v>0</v>
      </c>
      <c r="K41" s="49"/>
      <c r="L41" s="80">
        <v>0</v>
      </c>
      <c r="M41" s="80">
        <f t="shared" si="1"/>
        <v>0</v>
      </c>
      <c r="N41" s="81"/>
    </row>
    <row r="42" spans="1:14">
      <c r="A42" s="1" t="s">
        <v>68</v>
      </c>
      <c r="B42" s="72" t="s">
        <v>32</v>
      </c>
      <c r="C42" s="36" t="s">
        <v>69</v>
      </c>
      <c r="D42" s="35"/>
      <c r="E42" s="14"/>
      <c r="F42" s="14"/>
      <c r="G42" s="35"/>
      <c r="H42" s="14"/>
      <c r="I42" s="15"/>
      <c r="J42" s="80">
        <v>29602.67</v>
      </c>
      <c r="K42" s="49"/>
      <c r="L42" s="80">
        <v>0</v>
      </c>
      <c r="M42" s="80">
        <f t="shared" si="1"/>
        <v>29603</v>
      </c>
      <c r="N42" s="81"/>
    </row>
    <row r="43" spans="1:14">
      <c r="A43" s="12" t="s">
        <v>70</v>
      </c>
      <c r="B43" s="72" t="s">
        <v>71</v>
      </c>
      <c r="C43" s="36" t="str">
        <f>IF(J43&lt;0,IF(L43&gt;0,"Gain (Loss) on Disposal of Capital Assets","Loss on Disposal of Capital Assets"),IF(J43&gt;0,IF(L43&gt;=0,"Gain on Disposal of Capital Assets","Gain (Loss) on Disposal of Capital Assets"),IF(L43&lt;0,"Loss on Disposal of Capital Assets",IF(L43&gt;0,"Gain on Disposal of Capital Assets","Gain (Loss) on Disposal of Capital Assets"))))</f>
        <v>Gain on Disposal of Capital Assets</v>
      </c>
      <c r="D43" s="35"/>
      <c r="E43" s="14"/>
      <c r="F43" s="14"/>
      <c r="G43" s="35"/>
      <c r="H43" s="14"/>
      <c r="I43" s="15"/>
      <c r="J43" s="80">
        <v>34001.49</v>
      </c>
      <c r="K43" s="49"/>
      <c r="L43" s="80">
        <v>0</v>
      </c>
      <c r="M43" s="80">
        <f t="shared" si="1"/>
        <v>34001</v>
      </c>
      <c r="N43" s="81"/>
    </row>
    <row r="44" spans="1:14">
      <c r="A44" s="1" t="s">
        <v>72</v>
      </c>
      <c r="B44" s="72" t="s">
        <v>39</v>
      </c>
      <c r="C44" s="36" t="s">
        <v>73</v>
      </c>
      <c r="D44" s="35"/>
      <c r="E44" s="35"/>
      <c r="F44" s="35"/>
      <c r="G44" s="35"/>
      <c r="H44" s="35"/>
      <c r="I44" s="35"/>
      <c r="J44" s="80">
        <v>-1250669.8600000001</v>
      </c>
      <c r="K44" s="49"/>
      <c r="L44" s="80">
        <v>0</v>
      </c>
      <c r="M44" s="80">
        <f t="shared" si="1"/>
        <v>-1250670</v>
      </c>
      <c r="N44" s="81"/>
    </row>
    <row r="45" spans="1:14">
      <c r="A45" s="12" t="s">
        <v>74</v>
      </c>
      <c r="B45" s="72" t="s">
        <v>39</v>
      </c>
      <c r="C45" s="36" t="s">
        <v>75</v>
      </c>
      <c r="D45" s="35"/>
      <c r="E45" s="14"/>
      <c r="F45" s="14"/>
      <c r="G45" s="35"/>
      <c r="H45" s="14"/>
      <c r="I45" s="15"/>
      <c r="J45" s="82">
        <v>0</v>
      </c>
      <c r="K45" s="49"/>
      <c r="L45" s="82">
        <v>0</v>
      </c>
      <c r="M45" s="82">
        <f t="shared" si="1"/>
        <v>0</v>
      </c>
      <c r="N45" s="81"/>
    </row>
    <row r="46" spans="1:14">
      <c r="B46" s="72"/>
      <c r="C46" s="35"/>
      <c r="D46" s="35"/>
      <c r="E46" s="35"/>
      <c r="F46" s="35"/>
      <c r="G46" s="35"/>
      <c r="H46" s="35"/>
      <c r="I46" s="35"/>
      <c r="J46" s="83"/>
      <c r="K46" s="84"/>
      <c r="L46" s="83"/>
      <c r="M46" s="83"/>
      <c r="N46" s="85"/>
    </row>
    <row r="47" spans="1:14">
      <c r="A47" s="52" t="s">
        <v>76</v>
      </c>
      <c r="B47" s="53"/>
      <c r="C47" s="29" t="s">
        <v>77</v>
      </c>
      <c r="D47" s="35"/>
      <c r="E47" s="14"/>
      <c r="F47" s="14"/>
      <c r="G47" s="14"/>
      <c r="H47" s="14"/>
      <c r="I47" s="15"/>
      <c r="J47" s="66">
        <f t="array" ref="J47">SUM(ROUND(J37:J45,0))</f>
        <v>145200167</v>
      </c>
      <c r="K47" s="59"/>
      <c r="L47" s="66">
        <f t="array" ref="L47">SUM(ROUND(L37:L45,0))</f>
        <v>3462047</v>
      </c>
      <c r="M47" s="66">
        <f t="array" ref="M47">SUM(ROUND(M37:M45,0))</f>
        <v>148662214</v>
      </c>
      <c r="N47" s="68"/>
    </row>
    <row r="48" spans="1:14">
      <c r="A48" s="52"/>
      <c r="B48" s="53"/>
      <c r="C48" s="86"/>
      <c r="D48" s="87"/>
      <c r="E48" s="15"/>
      <c r="F48" s="15"/>
      <c r="G48" s="15"/>
      <c r="H48" s="15"/>
      <c r="I48" s="15"/>
      <c r="J48" s="59"/>
      <c r="K48" s="59"/>
      <c r="L48" s="59"/>
      <c r="M48" s="59"/>
      <c r="N48" s="77"/>
    </row>
    <row r="49" spans="1:14">
      <c r="A49" s="52"/>
      <c r="B49" s="53"/>
      <c r="C49" s="65" t="str">
        <f>IF(J50&lt;0,IF(L50&gt;0,"Income (Loss) Before Other Revenues,","Loss Before Other Revenues,"),IF(J50&gt;0,IF(L50&gt;=0,"Income Before Other Revenues,","Income (Loss) Before Other Revenues,"),IF(L59&lt;0,"Loss Before Other Revenues,",IF(L59&gt;0,"Income Before Other Revenues,","Income (Loss) Before Other Revenues,"))))</f>
        <v>Income (Loss) Before Other Revenues,</v>
      </c>
      <c r="D49" s="35"/>
      <c r="E49" s="35"/>
      <c r="F49" s="14"/>
      <c r="G49" s="14"/>
      <c r="H49" s="14"/>
      <c r="I49" s="15"/>
      <c r="J49" s="35"/>
      <c r="K49" s="35"/>
      <c r="L49" s="35"/>
      <c r="M49" s="35"/>
      <c r="N49" s="37"/>
    </row>
    <row r="50" spans="1:14">
      <c r="A50" s="52"/>
      <c r="B50" s="53"/>
      <c r="C50" s="14"/>
      <c r="D50" s="29" t="s">
        <v>78</v>
      </c>
      <c r="E50" s="14"/>
      <c r="F50" s="14"/>
      <c r="G50" s="14"/>
      <c r="H50" s="14"/>
      <c r="I50" s="15"/>
      <c r="J50" s="66">
        <f>J34+J47</f>
        <v>-18211370</v>
      </c>
      <c r="K50" s="59"/>
      <c r="L50" s="66">
        <f>L34+L47</f>
        <v>1916737</v>
      </c>
      <c r="M50" s="66">
        <f>M34+M47</f>
        <v>-16294633</v>
      </c>
      <c r="N50" s="68"/>
    </row>
    <row r="51" spans="1:14">
      <c r="A51" s="52"/>
      <c r="B51" s="53"/>
      <c r="C51" s="14"/>
      <c r="D51" s="29"/>
      <c r="E51" s="14"/>
      <c r="F51" s="14"/>
      <c r="G51" s="14"/>
      <c r="H51" s="14"/>
      <c r="I51" s="15"/>
      <c r="J51" s="17"/>
      <c r="K51" s="17"/>
      <c r="L51" s="17"/>
      <c r="M51" s="17"/>
      <c r="N51" s="18"/>
    </row>
    <row r="52" spans="1:14">
      <c r="A52" s="52" t="s">
        <v>79</v>
      </c>
      <c r="B52" s="53" t="s">
        <v>58</v>
      </c>
      <c r="C52" s="36" t="s">
        <v>80</v>
      </c>
      <c r="D52" s="35"/>
      <c r="E52" s="14"/>
      <c r="F52" s="14"/>
      <c r="G52" s="14"/>
      <c r="H52" s="35"/>
      <c r="I52" s="15"/>
      <c r="J52" s="80">
        <v>4433484.1900000004</v>
      </c>
      <c r="K52" s="49"/>
      <c r="L52" s="80">
        <v>0</v>
      </c>
      <c r="M52" s="80">
        <f>ROUND(L52,0)+ROUND(J52,0)</f>
        <v>4433484</v>
      </c>
      <c r="N52" s="81"/>
    </row>
    <row r="53" spans="1:14">
      <c r="A53" s="52" t="s">
        <v>81</v>
      </c>
      <c r="B53" s="53" t="s">
        <v>82</v>
      </c>
      <c r="C53" s="36" t="s">
        <v>83</v>
      </c>
      <c r="D53" s="35"/>
      <c r="E53" s="14"/>
      <c r="F53" s="14"/>
      <c r="G53" s="14"/>
      <c r="H53" s="35"/>
      <c r="I53" s="15"/>
      <c r="J53" s="50">
        <v>7764185.96</v>
      </c>
      <c r="K53" s="230"/>
      <c r="L53" s="50">
        <v>0</v>
      </c>
      <c r="M53" s="50">
        <f>ROUND(L53,0)+ROUND(J53,0)</f>
        <v>7764186</v>
      </c>
      <c r="N53" s="51"/>
    </row>
    <row r="54" spans="1:14">
      <c r="A54" s="52" t="s">
        <v>84</v>
      </c>
      <c r="B54" s="53" t="s">
        <v>85</v>
      </c>
      <c r="C54" s="14" t="s">
        <v>86</v>
      </c>
      <c r="D54" s="35"/>
      <c r="E54" s="14"/>
      <c r="F54" s="14"/>
      <c r="G54" s="14"/>
      <c r="H54" s="35"/>
      <c r="I54" s="15"/>
      <c r="J54" s="89">
        <v>0</v>
      </c>
      <c r="K54" s="230"/>
      <c r="L54" s="89">
        <v>330180</v>
      </c>
      <c r="M54" s="89">
        <f>ROUND(L54,0)+ROUND(J54,0)</f>
        <v>330180</v>
      </c>
      <c r="N54" s="51"/>
    </row>
    <row r="55" spans="1:14">
      <c r="A55" s="52" t="s">
        <v>87</v>
      </c>
      <c r="B55" s="53" t="s">
        <v>85</v>
      </c>
      <c r="C55" s="76" t="str">
        <f>IF(J55&lt;0,IF(L55&gt;0,"Other Revenues (Expenses)","Other Expenses"),IF(J55&gt;0,IF(L55&gt;=0,"Other Revenues","Other Revenues (Expenses)"),IF(L55&lt;0,"Other Expenses",IF(L55&gt;0,"Other Revenues","Other Revenues (Expenses)"))))</f>
        <v>Other Revenues (Expenses)</v>
      </c>
      <c r="D55" s="35"/>
      <c r="E55" s="14"/>
      <c r="F55" s="14"/>
      <c r="G55" s="14"/>
      <c r="H55" s="35"/>
      <c r="I55" s="15"/>
      <c r="J55" s="58">
        <v>0</v>
      </c>
      <c r="K55" s="230"/>
      <c r="L55" s="58">
        <v>0</v>
      </c>
      <c r="M55" s="58">
        <f>ROUND(L55,0)+ROUND(J55,0)</f>
        <v>0</v>
      </c>
      <c r="N55" s="51"/>
    </row>
    <row r="56" spans="1:14">
      <c r="A56" s="52"/>
      <c r="B56" s="53"/>
      <c r="C56" s="35"/>
      <c r="D56" s="35"/>
      <c r="E56" s="14"/>
      <c r="F56" s="14"/>
      <c r="G56" s="14"/>
      <c r="H56" s="14"/>
      <c r="I56" s="15"/>
      <c r="J56" s="83"/>
      <c r="K56" s="84"/>
      <c r="L56" s="83"/>
      <c r="M56" s="83"/>
      <c r="N56" s="85"/>
    </row>
    <row r="57" spans="1:14">
      <c r="A57" s="70" t="s">
        <v>88</v>
      </c>
      <c r="B57" s="53"/>
      <c r="C57" s="29" t="s">
        <v>89</v>
      </c>
      <c r="D57" s="35"/>
      <c r="E57" s="35"/>
      <c r="F57" s="14"/>
      <c r="G57" s="14"/>
      <c r="H57" s="14"/>
      <c r="I57" s="15"/>
      <c r="J57" s="90">
        <f t="array" ref="J57">SUM(ROUND(J52:J55,0))</f>
        <v>12197670</v>
      </c>
      <c r="K57" s="59"/>
      <c r="L57" s="90">
        <f t="array" ref="L57">SUM(ROUND(L52:L55,0))</f>
        <v>330180</v>
      </c>
      <c r="M57" s="90">
        <f t="array" ref="M57">SUM(ROUND(M52:M55,0))</f>
        <v>12527850</v>
      </c>
      <c r="N57" s="91"/>
    </row>
    <row r="58" spans="1:14">
      <c r="A58" s="52"/>
      <c r="B58" s="53"/>
      <c r="C58" s="29"/>
      <c r="D58" s="35"/>
      <c r="E58" s="35"/>
      <c r="F58" s="14"/>
      <c r="G58" s="14"/>
      <c r="H58" s="14"/>
      <c r="I58" s="15"/>
      <c r="J58" s="59"/>
      <c r="K58" s="59"/>
      <c r="L58" s="59"/>
      <c r="M58" s="59"/>
      <c r="N58" s="77"/>
    </row>
    <row r="59" spans="1:14">
      <c r="A59" s="70"/>
      <c r="B59" s="53"/>
      <c r="C59" s="65" t="str">
        <f>IF(J59&lt;0,IF(L59&gt;0,"Increase (Decrease) in Net Position","Decrease in Net Position"),IF(J59&gt;0,IF(L59&gt;=0,"Increase in Net Position","Increase (Decrease) in Net Position"),IF(L59&lt;0,"Decrease in Net Position",IF(L59&gt;0,"Increase in Net Position","Increase (Decrease) in Net Position"))))</f>
        <v>Increase (Decrease) in Net Position</v>
      </c>
      <c r="D59" s="35"/>
      <c r="E59" s="35"/>
      <c r="F59" s="14"/>
      <c r="G59" s="14"/>
      <c r="H59" s="14"/>
      <c r="I59" s="15"/>
      <c r="J59" s="90">
        <f>J50+J57</f>
        <v>-6013700</v>
      </c>
      <c r="K59" s="92"/>
      <c r="L59" s="90">
        <f>L50+L57</f>
        <v>2246917</v>
      </c>
      <c r="M59" s="90">
        <f>M50+M57</f>
        <v>-3766783</v>
      </c>
      <c r="N59" s="91"/>
    </row>
    <row r="60" spans="1:14">
      <c r="A60" s="52"/>
      <c r="B60" s="53"/>
      <c r="C60" s="93"/>
      <c r="D60" s="35"/>
      <c r="E60" s="35"/>
      <c r="F60" s="14"/>
      <c r="G60" s="14"/>
      <c r="H60" s="14"/>
      <c r="I60" s="15"/>
      <c r="J60" s="94"/>
      <c r="K60" s="94"/>
      <c r="L60" s="94"/>
      <c r="M60" s="94"/>
      <c r="N60" s="95"/>
    </row>
    <row r="61" spans="1:14">
      <c r="A61" s="52" t="s">
        <v>90</v>
      </c>
      <c r="B61" s="53"/>
      <c r="C61" s="14" t="s">
        <v>91</v>
      </c>
      <c r="D61" s="35"/>
      <c r="E61" s="14"/>
      <c r="F61" s="14"/>
      <c r="G61" s="14"/>
      <c r="H61" s="14"/>
      <c r="I61" s="15"/>
      <c r="J61" s="96">
        <f>VLOOKUP($C$1,[27]VLOOKUPS!A44:D71,2,FALSE)</f>
        <v>295561213</v>
      </c>
      <c r="K61" s="49"/>
      <c r="L61" s="96">
        <f>VLOOKUP($C$1,[27]VLOOKUPS!A44:D71,3,FALSE)</f>
        <v>59962439</v>
      </c>
      <c r="M61" s="89">
        <f>ROUND(L61,0)+ROUND(J61,0)</f>
        <v>355523652</v>
      </c>
      <c r="N61" s="97"/>
    </row>
    <row r="62" spans="1:14">
      <c r="A62" s="52" t="s">
        <v>92</v>
      </c>
      <c r="B62" s="53" t="s">
        <v>93</v>
      </c>
      <c r="C62" s="14" t="s">
        <v>94</v>
      </c>
      <c r="D62" s="35"/>
      <c r="E62" s="14"/>
      <c r="F62" s="14"/>
      <c r="G62" s="14"/>
      <c r="H62" s="14"/>
      <c r="I62" s="15"/>
      <c r="J62" s="82">
        <v>-42308645</v>
      </c>
      <c r="K62" s="49"/>
      <c r="L62" s="82">
        <v>-124640</v>
      </c>
      <c r="M62" s="82">
        <f>ROUND(L62,0)+ROUND(J62,0)</f>
        <v>-42433285</v>
      </c>
      <c r="N62" s="81"/>
    </row>
    <row r="63" spans="1:14">
      <c r="A63" s="52"/>
      <c r="B63" s="53"/>
      <c r="C63" s="36"/>
      <c r="D63" s="36"/>
      <c r="E63" s="36"/>
      <c r="F63" s="36"/>
      <c r="G63" s="36"/>
      <c r="H63" s="98"/>
      <c r="I63" s="36"/>
      <c r="J63" s="92"/>
      <c r="K63" s="99"/>
      <c r="L63" s="99"/>
      <c r="M63" s="99"/>
      <c r="N63" s="100"/>
    </row>
    <row r="64" spans="1:14">
      <c r="A64" s="70"/>
      <c r="B64" s="53"/>
      <c r="C64" s="101" t="s">
        <v>95</v>
      </c>
      <c r="D64" s="36"/>
      <c r="E64" s="36"/>
      <c r="F64" s="36"/>
      <c r="G64" s="36"/>
      <c r="H64" s="60"/>
      <c r="I64" s="60"/>
      <c r="J64" s="90">
        <f t="array" ref="J64">SUM(ROUND(J61:J62,0))</f>
        <v>253252568</v>
      </c>
      <c r="K64" s="92"/>
      <c r="L64" s="90">
        <f t="array" ref="L64">SUM(ROUND(L61:L62,0))</f>
        <v>59837799</v>
      </c>
      <c r="M64" s="90">
        <f t="array" ref="M64">SUM(ROUND(M61:M62,0))</f>
        <v>313090367</v>
      </c>
      <c r="N64" s="91"/>
    </row>
    <row r="65" spans="1:14">
      <c r="A65" s="52"/>
      <c r="B65" s="53"/>
      <c r="C65" s="36"/>
      <c r="D65" s="36"/>
      <c r="E65" s="36"/>
      <c r="F65" s="36"/>
      <c r="G65" s="36"/>
      <c r="H65" s="102"/>
      <c r="I65" s="36"/>
      <c r="J65" s="102"/>
      <c r="K65" s="60"/>
      <c r="L65" s="60"/>
      <c r="M65" s="60"/>
      <c r="N65" s="61"/>
    </row>
    <row r="66" spans="1:14" ht="13.5" thickBot="1">
      <c r="A66" s="52"/>
      <c r="B66" s="53"/>
      <c r="C66" s="29" t="s">
        <v>96</v>
      </c>
      <c r="D66" s="35"/>
      <c r="E66" s="14"/>
      <c r="F66" s="14"/>
      <c r="G66" s="14"/>
      <c r="H66" s="14"/>
      <c r="I66" s="103"/>
      <c r="J66" s="104">
        <f>J59+J64</f>
        <v>247238868</v>
      </c>
      <c r="K66" s="105"/>
      <c r="L66" s="104">
        <f>L59+L64</f>
        <v>62084716</v>
      </c>
      <c r="M66" s="104">
        <f>M59+M64</f>
        <v>309323584</v>
      </c>
      <c r="N66" s="46"/>
    </row>
    <row r="67" spans="1:14" ht="13.5" thickTop="1">
      <c r="A67" s="70"/>
      <c r="B67" s="53"/>
      <c r="C67" s="14"/>
      <c r="D67" s="14"/>
      <c r="E67" s="14"/>
      <c r="F67" s="14"/>
      <c r="G67" s="14"/>
      <c r="H67" s="14"/>
      <c r="I67" s="15"/>
      <c r="J67" s="107"/>
      <c r="K67" s="15"/>
      <c r="L67" s="107"/>
      <c r="M67" s="107"/>
      <c r="N67" s="108"/>
    </row>
    <row r="68" spans="1:14">
      <c r="A68" s="52"/>
      <c r="B68" s="53"/>
      <c r="C68" s="35" t="s">
        <v>97</v>
      </c>
      <c r="D68" s="35"/>
      <c r="E68" s="35"/>
      <c r="F68" s="35"/>
      <c r="G68" s="35"/>
      <c r="H68" s="35"/>
      <c r="I68" s="87"/>
      <c r="J68" s="35"/>
      <c r="K68" s="87"/>
      <c r="L68" s="35"/>
      <c r="M68" s="35"/>
      <c r="N68" s="37"/>
    </row>
    <row r="69" spans="1:14">
      <c r="B69" s="72"/>
      <c r="I69" s="6"/>
      <c r="J69" s="109">
        <f>J66-[27]SNP!K119</f>
        <v>1</v>
      </c>
      <c r="K69" s="110"/>
      <c r="L69" s="111">
        <f>L66-[27]SNP!M119</f>
        <v>0</v>
      </c>
      <c r="M69" s="111">
        <f>M66-[27]SNP!N119</f>
        <v>1</v>
      </c>
      <c r="N69" s="112"/>
    </row>
    <row r="70" spans="1:14">
      <c r="B70" s="72"/>
      <c r="I70" s="113" t="s">
        <v>98</v>
      </c>
      <c r="J70" s="114"/>
      <c r="K70" s="115"/>
      <c r="L70" s="114"/>
      <c r="M70" s="114"/>
      <c r="N70" s="114"/>
    </row>
  </sheetData>
  <sheetProtection formatColumns="0" formatRows="0"/>
  <conditionalFormatting sqref="J69 L69">
    <cfRule type="cellIs" dxfId="89" priority="14" operator="notEqual">
      <formula>0</formula>
    </cfRule>
    <cfRule type="cellIs" dxfId="88" priority="15" operator="equal">
      <formula>0</formula>
    </cfRule>
  </conditionalFormatting>
  <conditionalFormatting sqref="J11:J15 F11:G11 L24:L30 L37:L45 J37:J45 L62 J62 L17:L18 J25:J29 J17:J18 F17:G17 L11:L15 L52:L55 J52:J55">
    <cfRule type="containsBlanks" dxfId="87" priority="12">
      <formula>LEN(TRIM(F11))=0</formula>
    </cfRule>
    <cfRule type="cellIs" dxfId="86" priority="13" operator="notEqual">
      <formula>0</formula>
    </cfRule>
  </conditionalFormatting>
  <conditionalFormatting sqref="J11">
    <cfRule type="cellIs" dxfId="85" priority="11" operator="notEqual">
      <formula>J20</formula>
    </cfRule>
  </conditionalFormatting>
  <conditionalFormatting sqref="L11">
    <cfRule type="cellIs" dxfId="84" priority="10" operator="notEqual">
      <formula>L20</formula>
    </cfRule>
  </conditionalFormatting>
  <conditionalFormatting sqref="M69">
    <cfRule type="cellIs" dxfId="83" priority="8" operator="notEqual">
      <formula>0</formula>
    </cfRule>
    <cfRule type="cellIs" dxfId="82" priority="9" operator="equal">
      <formula>0</formula>
    </cfRule>
  </conditionalFormatting>
  <conditionalFormatting sqref="M24:M30 M37:M45 M62 M17:M18 M11:M15 M52:M55">
    <cfRule type="containsBlanks" dxfId="81" priority="6">
      <formula>LEN(TRIM(M11))=0</formula>
    </cfRule>
    <cfRule type="cellIs" dxfId="80" priority="7" operator="notEqual">
      <formula>0</formula>
    </cfRule>
  </conditionalFormatting>
  <conditionalFormatting sqref="M11">
    <cfRule type="cellIs" dxfId="79" priority="5" operator="notEqual">
      <formula>M20</formula>
    </cfRule>
  </conditionalFormatting>
  <conditionalFormatting sqref="J24">
    <cfRule type="containsBlanks" dxfId="78" priority="3">
      <formula>LEN(TRIM(J24))=0</formula>
    </cfRule>
    <cfRule type="cellIs" dxfId="77" priority="4" operator="notEqual">
      <formula>0</formula>
    </cfRule>
  </conditionalFormatting>
  <conditionalFormatting sqref="M61">
    <cfRule type="containsBlanks" dxfId="76" priority="1">
      <formula>LEN(TRIM(M61))=0</formula>
    </cfRule>
    <cfRule type="cellIs" dxfId="75" priority="2" operator="notEqual">
      <formula>0</formula>
    </cfRule>
  </conditionalFormatting>
  <printOptions horizontalCentered="1"/>
  <pageMargins left="0" right="0" top="0.75" bottom="0.5" header="0.5" footer="0.5"/>
  <pageSetup scale="6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  <pageSetUpPr fitToPage="1"/>
  </sheetPr>
  <dimension ref="A1:T70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0" style="1" hidden="1" customWidth="1"/>
    <col min="2" max="2" width="0" style="20" hidden="1" customWidth="1"/>
    <col min="3" max="8" width="11.140625" style="6"/>
    <col min="9" max="9" width="11.140625" style="11"/>
    <col min="10" max="10" width="16" style="6" customWidth="1"/>
    <col min="11" max="11" width="11.140625" style="11"/>
    <col min="12" max="12" width="14.7109375" style="6" customWidth="1"/>
    <col min="13" max="13" width="16" style="6" customWidth="1"/>
    <col min="14" max="14" width="11.140625" style="6"/>
    <col min="15" max="15" width="11.140625" style="10"/>
    <col min="16" max="20" width="11.140625" style="5"/>
    <col min="21" max="16384" width="11.140625" style="6"/>
  </cols>
  <sheetData>
    <row r="1" spans="1:14">
      <c r="B1" s="2"/>
      <c r="C1" s="260" t="str">
        <f>'[28]Contact Information'!$C$5</f>
        <v>SANTA FE COLLEGE</v>
      </c>
      <c r="D1" s="260"/>
      <c r="E1" s="260"/>
      <c r="F1" s="260"/>
      <c r="G1" s="260"/>
      <c r="H1" s="260"/>
      <c r="I1" s="260"/>
      <c r="J1" s="260"/>
      <c r="K1" s="260"/>
      <c r="L1" s="260"/>
      <c r="M1" s="247"/>
      <c r="N1" s="3"/>
    </row>
    <row r="2" spans="1:14">
      <c r="B2" s="2"/>
      <c r="C2" s="256" t="s">
        <v>0</v>
      </c>
      <c r="D2" s="256"/>
      <c r="E2" s="256"/>
      <c r="F2" s="256"/>
      <c r="G2" s="256"/>
      <c r="H2" s="256"/>
      <c r="I2" s="256"/>
      <c r="J2" s="256"/>
      <c r="K2" s="256"/>
      <c r="L2" s="256"/>
      <c r="M2" s="245"/>
      <c r="N2" s="7"/>
    </row>
    <row r="3" spans="1:14">
      <c r="B3" s="2"/>
      <c r="C3" s="86" t="s">
        <v>1</v>
      </c>
      <c r="D3" s="86"/>
      <c r="E3" s="86"/>
      <c r="F3" s="86"/>
      <c r="G3" s="86"/>
      <c r="H3" s="86"/>
      <c r="I3" s="86"/>
      <c r="J3" s="86"/>
      <c r="K3" s="86"/>
      <c r="L3" s="86"/>
      <c r="M3" s="248"/>
      <c r="N3" s="9" t="s">
        <v>2</v>
      </c>
    </row>
    <row r="4" spans="1:14">
      <c r="B4" s="2"/>
      <c r="C4" s="261" t="s">
        <v>297</v>
      </c>
      <c r="D4" s="261"/>
      <c r="E4" s="261"/>
      <c r="F4" s="261"/>
      <c r="G4" s="261"/>
      <c r="H4" s="261"/>
      <c r="I4" s="261"/>
      <c r="J4" s="261"/>
      <c r="K4" s="261"/>
      <c r="L4" s="261"/>
      <c r="M4" s="249"/>
      <c r="N4" s="11" t="str">
        <f>'[28]Contact Information'!$C$3</f>
        <v>2015.v02</v>
      </c>
    </row>
    <row r="5" spans="1:14">
      <c r="A5" s="12"/>
      <c r="B5" s="13"/>
      <c r="C5" s="14"/>
      <c r="D5" s="14"/>
      <c r="E5" s="14"/>
      <c r="F5" s="14"/>
      <c r="G5" s="14"/>
      <c r="H5" s="14"/>
      <c r="I5" s="15"/>
      <c r="J5" s="16"/>
      <c r="K5" s="17"/>
      <c r="L5" s="16"/>
      <c r="M5" s="16"/>
      <c r="N5" s="18"/>
    </row>
    <row r="6" spans="1:14">
      <c r="C6" s="14"/>
      <c r="D6" s="14"/>
      <c r="E6" s="14"/>
      <c r="F6" s="14"/>
      <c r="G6" s="14"/>
      <c r="H6" s="14"/>
      <c r="I6" s="15"/>
      <c r="J6" s="249" t="s">
        <v>5</v>
      </c>
      <c r="K6" s="21"/>
      <c r="L6" s="22" t="s">
        <v>6</v>
      </c>
      <c r="M6" s="22" t="s">
        <v>7</v>
      </c>
      <c r="N6" s="23"/>
    </row>
    <row r="7" spans="1:14">
      <c r="C7" s="14"/>
      <c r="D7" s="14"/>
      <c r="E7" s="14"/>
      <c r="F7" s="14"/>
      <c r="G7" s="14"/>
      <c r="H7" s="14"/>
      <c r="I7" s="15"/>
      <c r="J7" s="24"/>
      <c r="K7" s="25"/>
      <c r="L7" s="26" t="str">
        <f>[28]SNP!$M$9</f>
        <v>Unit</v>
      </c>
      <c r="M7" s="26"/>
      <c r="N7" s="27"/>
    </row>
    <row r="8" spans="1:14">
      <c r="C8" s="29" t="s">
        <v>9</v>
      </c>
      <c r="D8" s="14"/>
      <c r="E8" s="14"/>
      <c r="F8" s="14"/>
      <c r="G8" s="14"/>
      <c r="H8" s="14"/>
      <c r="I8" s="15"/>
      <c r="J8" s="25"/>
      <c r="K8" s="25"/>
      <c r="L8" s="25"/>
      <c r="M8" s="25"/>
      <c r="N8" s="30"/>
    </row>
    <row r="9" spans="1:14">
      <c r="A9" s="32" t="s">
        <v>10</v>
      </c>
      <c r="B9" s="33" t="s">
        <v>11</v>
      </c>
      <c r="C9" s="14" t="s">
        <v>12</v>
      </c>
      <c r="D9" s="14"/>
      <c r="E9" s="14"/>
      <c r="F9" s="14"/>
      <c r="G9" s="14"/>
      <c r="H9" s="14"/>
      <c r="I9" s="15"/>
      <c r="J9" s="17"/>
      <c r="K9" s="17"/>
      <c r="L9" s="17"/>
      <c r="M9" s="17"/>
      <c r="N9" s="18"/>
    </row>
    <row r="10" spans="1:14">
      <c r="B10" s="34"/>
      <c r="C10" s="35"/>
      <c r="D10" s="36" t="s">
        <v>14</v>
      </c>
      <c r="E10" s="14"/>
      <c r="F10" s="14"/>
      <c r="G10" s="14"/>
      <c r="H10" s="14"/>
      <c r="I10" s="35"/>
      <c r="J10" s="35"/>
      <c r="K10" s="17"/>
      <c r="L10" s="35"/>
      <c r="M10" s="35"/>
      <c r="N10" s="37"/>
    </row>
    <row r="11" spans="1:14">
      <c r="A11" s="1" t="s">
        <v>17</v>
      </c>
      <c r="B11" s="34" t="s">
        <v>18</v>
      </c>
      <c r="C11" s="35"/>
      <c r="D11" s="44" t="s">
        <v>19</v>
      </c>
      <c r="E11" s="35"/>
      <c r="F11" s="263">
        <v>9473611.6799999997</v>
      </c>
      <c r="G11" s="263"/>
      <c r="H11" s="45"/>
      <c r="I11" s="36"/>
      <c r="J11" s="237">
        <v>25864032.199999999</v>
      </c>
      <c r="K11" s="229"/>
      <c r="L11" s="228">
        <v>0</v>
      </c>
      <c r="M11" s="228">
        <f>ROUND(L11,0)+ROUND(J11,0)</f>
        <v>25864032</v>
      </c>
      <c r="N11" s="46"/>
    </row>
    <row r="12" spans="1:14">
      <c r="A12" s="1" t="s">
        <v>20</v>
      </c>
      <c r="B12" s="34" t="s">
        <v>21</v>
      </c>
      <c r="C12" s="35"/>
      <c r="D12" s="36" t="s">
        <v>22</v>
      </c>
      <c r="E12" s="14"/>
      <c r="F12" s="48"/>
      <c r="G12" s="49"/>
      <c r="H12" s="15"/>
      <c r="I12" s="35"/>
      <c r="J12" s="50">
        <v>2762873.59</v>
      </c>
      <c r="K12" s="230"/>
      <c r="L12" s="50">
        <v>0</v>
      </c>
      <c r="M12" s="50">
        <f>ROUND(L12,0)+ROUND(J12,0)</f>
        <v>2762874</v>
      </c>
      <c r="N12" s="51"/>
    </row>
    <row r="13" spans="1:14">
      <c r="A13" s="1" t="s">
        <v>23</v>
      </c>
      <c r="B13" s="34" t="s">
        <v>21</v>
      </c>
      <c r="C13" s="35"/>
      <c r="D13" s="36" t="s">
        <v>24</v>
      </c>
      <c r="E13" s="14"/>
      <c r="F13" s="48"/>
      <c r="G13" s="48"/>
      <c r="H13" s="14"/>
      <c r="I13" s="35"/>
      <c r="J13" s="50">
        <v>647764.02</v>
      </c>
      <c r="K13" s="230"/>
      <c r="L13" s="50">
        <v>0</v>
      </c>
      <c r="M13" s="50">
        <f>ROUND(L13,0)+ROUND(J13,0)</f>
        <v>647764</v>
      </c>
      <c r="N13" s="51"/>
    </row>
    <row r="14" spans="1:14">
      <c r="A14" s="1" t="s">
        <v>25</v>
      </c>
      <c r="B14" s="34" t="s">
        <v>21</v>
      </c>
      <c r="C14" s="35"/>
      <c r="D14" s="36" t="s">
        <v>26</v>
      </c>
      <c r="E14" s="14"/>
      <c r="F14" s="48"/>
      <c r="G14" s="48"/>
      <c r="H14" s="14"/>
      <c r="I14" s="35"/>
      <c r="J14" s="50">
        <v>422582.02</v>
      </c>
      <c r="K14" s="230"/>
      <c r="L14" s="50">
        <v>412887</v>
      </c>
      <c r="M14" s="50">
        <f>ROUND(L14,0)+ROUND(J14,0)</f>
        <v>835469</v>
      </c>
      <c r="N14" s="51"/>
    </row>
    <row r="15" spans="1:14">
      <c r="A15" s="1" t="s">
        <v>27</v>
      </c>
      <c r="B15" s="34" t="s">
        <v>18</v>
      </c>
      <c r="C15" s="35"/>
      <c r="D15" s="36" t="s">
        <v>28</v>
      </c>
      <c r="E15" s="14"/>
      <c r="F15" s="48"/>
      <c r="G15" s="48"/>
      <c r="H15" s="35"/>
      <c r="I15" s="35"/>
      <c r="J15" s="50">
        <v>1424813.32</v>
      </c>
      <c r="K15" s="230"/>
      <c r="L15" s="50">
        <v>0</v>
      </c>
      <c r="M15" s="50">
        <f>ROUND(L15,0)+ROUND(J15,0)</f>
        <v>1424813</v>
      </c>
      <c r="N15" s="51"/>
    </row>
    <row r="16" spans="1:14">
      <c r="A16" s="52"/>
      <c r="B16" s="53"/>
      <c r="C16" s="35"/>
      <c r="D16" s="36" t="s">
        <v>29</v>
      </c>
      <c r="E16" s="14"/>
      <c r="F16" s="54"/>
      <c r="G16" s="49"/>
      <c r="H16" s="55"/>
      <c r="I16" s="35"/>
      <c r="J16" s="35"/>
      <c r="K16" s="230"/>
      <c r="L16" s="35"/>
      <c r="M16" s="35"/>
      <c r="N16" s="37"/>
    </row>
    <row r="17" spans="1:14">
      <c r="A17" s="52" t="s">
        <v>30</v>
      </c>
      <c r="B17" s="53" t="s">
        <v>18</v>
      </c>
      <c r="C17" s="35"/>
      <c r="D17" s="44" t="s">
        <v>19</v>
      </c>
      <c r="E17" s="35"/>
      <c r="F17" s="263">
        <v>0</v>
      </c>
      <c r="G17" s="263"/>
      <c r="H17" s="55"/>
      <c r="I17" s="35"/>
      <c r="J17" s="50">
        <v>1100651.6100000001</v>
      </c>
      <c r="K17" s="230"/>
      <c r="L17" s="50">
        <v>0</v>
      </c>
      <c r="M17" s="50">
        <f>ROUND(L17,0)+ROUND(J17,0)</f>
        <v>1100652</v>
      </c>
      <c r="N17" s="51"/>
    </row>
    <row r="18" spans="1:14">
      <c r="A18" s="52" t="s">
        <v>31</v>
      </c>
      <c r="B18" s="56" t="s">
        <v>32</v>
      </c>
      <c r="C18" s="35"/>
      <c r="D18" s="57" t="s">
        <v>33</v>
      </c>
      <c r="E18" s="14"/>
      <c r="F18" s="14"/>
      <c r="G18" s="14"/>
      <c r="H18" s="14"/>
      <c r="I18" s="36"/>
      <c r="J18" s="58">
        <v>603357.09</v>
      </c>
      <c r="K18" s="230"/>
      <c r="L18" s="58">
        <v>513539</v>
      </c>
      <c r="M18" s="58">
        <f>ROUND(L18,0)+ROUND(J18,0)</f>
        <v>1116896</v>
      </c>
      <c r="N18" s="51"/>
    </row>
    <row r="19" spans="1:14">
      <c r="A19" s="52"/>
      <c r="B19" s="56"/>
      <c r="C19" s="36"/>
      <c r="D19" s="36"/>
      <c r="E19" s="36"/>
      <c r="F19" s="36"/>
      <c r="G19" s="36"/>
      <c r="H19" s="59"/>
      <c r="I19" s="59"/>
      <c r="J19" s="59"/>
      <c r="K19" s="60"/>
      <c r="L19" s="60"/>
      <c r="M19" s="60"/>
      <c r="N19" s="61"/>
    </row>
    <row r="20" spans="1:14">
      <c r="A20" s="52" t="s">
        <v>34</v>
      </c>
      <c r="B20" s="56"/>
      <c r="C20" s="35"/>
      <c r="D20" s="65" t="s">
        <v>35</v>
      </c>
      <c r="E20" s="35"/>
      <c r="F20" s="14"/>
      <c r="G20" s="14"/>
      <c r="H20" s="14"/>
      <c r="I20" s="15"/>
      <c r="J20" s="66">
        <f t="array" ref="J20">SUM(ROUND(J11:J18,0))</f>
        <v>32826074</v>
      </c>
      <c r="K20" s="67"/>
      <c r="L20" s="66">
        <f t="array" ref="L20">SUM(ROUND(L11:L18,0))</f>
        <v>926426</v>
      </c>
      <c r="M20" s="66">
        <f t="array" ref="M20">SUM(ROUND(M11:M18,0))</f>
        <v>33752500</v>
      </c>
      <c r="N20" s="68"/>
    </row>
    <row r="21" spans="1:14">
      <c r="A21" s="52"/>
      <c r="B21" s="56"/>
      <c r="C21" s="14"/>
      <c r="D21" s="14"/>
      <c r="E21" s="14"/>
      <c r="F21" s="14"/>
      <c r="G21" s="14"/>
      <c r="H21" s="14"/>
      <c r="I21" s="15"/>
      <c r="J21" s="17"/>
      <c r="K21" s="17"/>
      <c r="L21" s="17"/>
      <c r="M21" s="17"/>
      <c r="N21" s="18"/>
    </row>
    <row r="22" spans="1:14">
      <c r="A22" s="70"/>
      <c r="B22" s="71"/>
      <c r="C22" s="29" t="s">
        <v>36</v>
      </c>
      <c r="D22" s="14"/>
      <c r="E22" s="14"/>
      <c r="F22" s="14"/>
      <c r="G22" s="14"/>
      <c r="H22" s="14"/>
      <c r="I22" s="15"/>
      <c r="J22" s="16"/>
      <c r="K22" s="17"/>
      <c r="L22" s="16"/>
      <c r="M22" s="16"/>
      <c r="N22" s="18"/>
    </row>
    <row r="23" spans="1:14">
      <c r="A23" s="52"/>
      <c r="B23" s="53"/>
      <c r="C23" s="14" t="s">
        <v>37</v>
      </c>
      <c r="D23" s="14"/>
      <c r="E23" s="14"/>
      <c r="F23" s="14"/>
      <c r="G23" s="35"/>
      <c r="H23" s="14"/>
      <c r="I23" s="15"/>
      <c r="J23" s="16"/>
      <c r="K23" s="17"/>
      <c r="L23" s="16"/>
      <c r="M23" s="16"/>
      <c r="N23" s="18"/>
    </row>
    <row r="24" spans="1:14">
      <c r="A24" s="12" t="s">
        <v>38</v>
      </c>
      <c r="B24" s="72" t="s">
        <v>39</v>
      </c>
      <c r="C24" s="44"/>
      <c r="D24" s="36" t="s">
        <v>40</v>
      </c>
      <c r="E24" s="14"/>
      <c r="F24" s="14"/>
      <c r="G24" s="35"/>
      <c r="H24" s="14"/>
      <c r="I24" s="15"/>
      <c r="J24" s="50">
        <v>59095669.359999999</v>
      </c>
      <c r="K24" s="230"/>
      <c r="L24" s="50">
        <v>0</v>
      </c>
      <c r="M24" s="50">
        <f t="shared" ref="M24:M30" si="0">ROUND(L24,0)+ROUND(J24,0)</f>
        <v>59095669</v>
      </c>
      <c r="N24" s="51"/>
    </row>
    <row r="25" spans="1:14">
      <c r="A25" s="1" t="s">
        <v>41</v>
      </c>
      <c r="B25" s="72" t="s">
        <v>39</v>
      </c>
      <c r="C25" s="44"/>
      <c r="D25" s="36" t="s">
        <v>42</v>
      </c>
      <c r="E25" s="14"/>
      <c r="F25" s="14"/>
      <c r="G25" s="35"/>
      <c r="H25" s="14"/>
      <c r="I25" s="15"/>
      <c r="J25" s="50">
        <v>18236737.98</v>
      </c>
      <c r="K25" s="230"/>
      <c r="L25" s="50">
        <v>833578</v>
      </c>
      <c r="M25" s="50">
        <f t="shared" si="0"/>
        <v>19070316</v>
      </c>
      <c r="N25" s="51"/>
    </row>
    <row r="26" spans="1:14">
      <c r="A26" s="12" t="s">
        <v>43</v>
      </c>
      <c r="B26" s="34" t="s">
        <v>39</v>
      </c>
      <c r="C26" s="44"/>
      <c r="D26" s="36" t="s">
        <v>44</v>
      </c>
      <c r="E26" s="14"/>
      <c r="F26" s="14"/>
      <c r="G26" s="35"/>
      <c r="H26" s="14"/>
      <c r="I26" s="15"/>
      <c r="J26" s="50">
        <v>2398453.11</v>
      </c>
      <c r="K26" s="230"/>
      <c r="L26" s="50">
        <v>0</v>
      </c>
      <c r="M26" s="50">
        <f t="shared" si="0"/>
        <v>2398453</v>
      </c>
      <c r="N26" s="51"/>
    </row>
    <row r="27" spans="1:14">
      <c r="A27" s="1" t="s">
        <v>45</v>
      </c>
      <c r="B27" s="72" t="s">
        <v>39</v>
      </c>
      <c r="C27" s="44"/>
      <c r="D27" s="36" t="s">
        <v>46</v>
      </c>
      <c r="E27" s="14"/>
      <c r="F27" s="14"/>
      <c r="G27" s="35"/>
      <c r="H27" s="14"/>
      <c r="I27" s="15"/>
      <c r="J27" s="50">
        <v>6494967.5499999998</v>
      </c>
      <c r="K27" s="230"/>
      <c r="L27" s="50">
        <v>0</v>
      </c>
      <c r="M27" s="50">
        <f t="shared" si="0"/>
        <v>6494968</v>
      </c>
      <c r="N27" s="51"/>
    </row>
    <row r="28" spans="1:14">
      <c r="A28" s="12" t="s">
        <v>47</v>
      </c>
      <c r="B28" s="34" t="s">
        <v>39</v>
      </c>
      <c r="C28" s="44"/>
      <c r="D28" s="36" t="s">
        <v>48</v>
      </c>
      <c r="E28" s="14"/>
      <c r="F28" s="14"/>
      <c r="G28" s="35"/>
      <c r="H28" s="14"/>
      <c r="I28" s="15"/>
      <c r="J28" s="50">
        <v>4081903.09</v>
      </c>
      <c r="K28" s="230"/>
      <c r="L28" s="50">
        <v>832062</v>
      </c>
      <c r="M28" s="50">
        <f t="shared" si="0"/>
        <v>4913965</v>
      </c>
      <c r="N28" s="51"/>
    </row>
    <row r="29" spans="1:14">
      <c r="A29" s="1" t="s">
        <v>49</v>
      </c>
      <c r="B29" s="34" t="s">
        <v>39</v>
      </c>
      <c r="C29" s="44"/>
      <c r="D29" s="36" t="s">
        <v>50</v>
      </c>
      <c r="E29" s="14"/>
      <c r="F29" s="14"/>
      <c r="G29" s="35"/>
      <c r="H29" s="14"/>
      <c r="I29" s="15"/>
      <c r="J29" s="50">
        <v>7848293.5599999996</v>
      </c>
      <c r="K29" s="230"/>
      <c r="L29" s="50">
        <v>0</v>
      </c>
      <c r="M29" s="50">
        <f t="shared" si="0"/>
        <v>7848294</v>
      </c>
      <c r="N29" s="51"/>
    </row>
    <row r="30" spans="1:14">
      <c r="A30" s="12" t="s">
        <v>51</v>
      </c>
      <c r="B30" s="72" t="s">
        <v>52</v>
      </c>
      <c r="C30" s="44"/>
      <c r="D30" s="36" t="s">
        <v>53</v>
      </c>
      <c r="E30" s="14"/>
      <c r="F30" s="14"/>
      <c r="G30" s="35"/>
      <c r="H30" s="14"/>
      <c r="I30" s="15"/>
      <c r="J30" s="231">
        <f>'[28]Accounts by GL'!O481</f>
        <v>5841923.7599999998</v>
      </c>
      <c r="K30" s="230"/>
      <c r="L30" s="58">
        <v>394353</v>
      </c>
      <c r="M30" s="58">
        <f t="shared" si="0"/>
        <v>6236277</v>
      </c>
      <c r="N30" s="51"/>
    </row>
    <row r="31" spans="1:14">
      <c r="B31" s="72"/>
      <c r="C31" s="44"/>
      <c r="D31" s="36"/>
      <c r="E31" s="14"/>
      <c r="F31" s="14"/>
      <c r="G31" s="35"/>
      <c r="H31" s="14"/>
      <c r="I31" s="15"/>
      <c r="J31" s="73"/>
      <c r="K31" s="73"/>
      <c r="L31" s="73"/>
      <c r="M31" s="73"/>
      <c r="N31" s="74"/>
    </row>
    <row r="32" spans="1:14">
      <c r="A32" s="1" t="s">
        <v>54</v>
      </c>
      <c r="B32" s="72"/>
      <c r="C32" s="14"/>
      <c r="D32" s="65" t="s">
        <v>55</v>
      </c>
      <c r="E32" s="35"/>
      <c r="F32" s="14"/>
      <c r="G32" s="14"/>
      <c r="H32" s="14"/>
      <c r="I32" s="15"/>
      <c r="J32" s="66">
        <f t="array" ref="J32">SUM(ROUND(J24:J30,0))</f>
        <v>103997949</v>
      </c>
      <c r="K32" s="59"/>
      <c r="L32" s="66">
        <f t="array" ref="L32">SUM(ROUND(L24:L30,0))</f>
        <v>2059993</v>
      </c>
      <c r="M32" s="66">
        <f t="array" ref="M32">SUM(ROUND(M24:M30,0))</f>
        <v>106057942</v>
      </c>
      <c r="N32" s="68"/>
    </row>
    <row r="33" spans="1:14">
      <c r="A33" s="12"/>
      <c r="B33" s="72"/>
      <c r="C33" s="44"/>
      <c r="D33" s="76"/>
      <c r="E33" s="14"/>
      <c r="F33" s="14"/>
      <c r="G33" s="35"/>
      <c r="H33" s="14"/>
      <c r="I33" s="15"/>
      <c r="J33" s="59"/>
      <c r="K33" s="59"/>
      <c r="L33" s="59"/>
      <c r="M33" s="59"/>
      <c r="N33" s="77"/>
    </row>
    <row r="34" spans="1:14">
      <c r="B34" s="72"/>
      <c r="C34" s="14"/>
      <c r="D34" s="65" t="str">
        <f>IF(J34&lt;0,IF(L34&gt;0,"Operating Income (Loss)","Operating Loss"),IF(J34&gt;0,IF(L34&gt;=0,"Operating Income","Operating Income (Loss)"),IF(L34&lt;0,"Operating Loss",IF(L34&gt;0,"Operating Income","Operating Income (Loss)"))))</f>
        <v>Operating Loss</v>
      </c>
      <c r="E34" s="35"/>
      <c r="F34" s="14"/>
      <c r="G34" s="14"/>
      <c r="H34" s="14"/>
      <c r="I34" s="15"/>
      <c r="J34" s="66">
        <f>J20-J32</f>
        <v>-71171875</v>
      </c>
      <c r="K34" s="67"/>
      <c r="L34" s="66">
        <f>L20-L32</f>
        <v>-1133567</v>
      </c>
      <c r="M34" s="66">
        <f>M20-M32</f>
        <v>-72305442</v>
      </c>
      <c r="N34" s="68"/>
    </row>
    <row r="35" spans="1:14">
      <c r="A35" s="12"/>
      <c r="B35" s="72"/>
      <c r="C35" s="14"/>
      <c r="D35" s="14"/>
      <c r="E35" s="14"/>
      <c r="F35" s="14"/>
      <c r="G35" s="14"/>
      <c r="H35" s="14"/>
      <c r="I35" s="15"/>
      <c r="J35" s="78"/>
      <c r="K35" s="78"/>
      <c r="L35" s="78"/>
      <c r="M35" s="78"/>
      <c r="N35" s="79"/>
    </row>
    <row r="36" spans="1:14">
      <c r="B36" s="72"/>
      <c r="C36" s="29" t="s">
        <v>56</v>
      </c>
      <c r="D36" s="35"/>
      <c r="E36" s="14"/>
      <c r="F36" s="14"/>
      <c r="G36" s="14"/>
      <c r="H36" s="14"/>
      <c r="I36" s="15"/>
      <c r="J36" s="16"/>
      <c r="K36" s="17"/>
      <c r="L36" s="16"/>
      <c r="M36" s="16"/>
      <c r="N36" s="18"/>
    </row>
    <row r="37" spans="1:14">
      <c r="A37" s="12" t="s">
        <v>57</v>
      </c>
      <c r="B37" s="72" t="s">
        <v>58</v>
      </c>
      <c r="C37" s="36" t="s">
        <v>59</v>
      </c>
      <c r="D37" s="35"/>
      <c r="E37" s="14"/>
      <c r="F37" s="14"/>
      <c r="G37" s="35"/>
      <c r="H37" s="14"/>
      <c r="I37" s="15"/>
      <c r="J37" s="80">
        <v>36078418.359999999</v>
      </c>
      <c r="K37" s="49"/>
      <c r="L37" s="80">
        <v>0</v>
      </c>
      <c r="M37" s="80">
        <f t="shared" ref="M37:M45" si="1">ROUND(L37,0)+ROUND(J37,0)</f>
        <v>36078418</v>
      </c>
      <c r="N37" s="81"/>
    </row>
    <row r="38" spans="1:14">
      <c r="A38" s="1" t="s">
        <v>60</v>
      </c>
      <c r="B38" s="72" t="s">
        <v>21</v>
      </c>
      <c r="C38" s="36" t="s">
        <v>61</v>
      </c>
      <c r="D38" s="35"/>
      <c r="E38" s="14"/>
      <c r="F38" s="14"/>
      <c r="G38" s="35"/>
      <c r="H38" s="14"/>
      <c r="I38" s="15"/>
      <c r="J38" s="80">
        <v>25652848.149999999</v>
      </c>
      <c r="K38" s="49"/>
      <c r="L38" s="80">
        <v>0</v>
      </c>
      <c r="M38" s="80">
        <f t="shared" si="1"/>
        <v>25652848</v>
      </c>
      <c r="N38" s="81"/>
    </row>
    <row r="39" spans="1:14">
      <c r="A39" s="12" t="s">
        <v>62</v>
      </c>
      <c r="B39" s="72" t="s">
        <v>21</v>
      </c>
      <c r="C39" s="36" t="s">
        <v>63</v>
      </c>
      <c r="D39" s="35"/>
      <c r="E39" s="14"/>
      <c r="F39" s="14"/>
      <c r="G39" s="35"/>
      <c r="H39" s="14"/>
      <c r="I39" s="15"/>
      <c r="J39" s="80">
        <v>1920418.91</v>
      </c>
      <c r="K39" s="49"/>
      <c r="L39" s="80">
        <v>0</v>
      </c>
      <c r="M39" s="80">
        <f t="shared" si="1"/>
        <v>1920419</v>
      </c>
      <c r="N39" s="81"/>
    </row>
    <row r="40" spans="1:14">
      <c r="A40" s="1" t="s">
        <v>64</v>
      </c>
      <c r="B40" s="72" t="s">
        <v>65</v>
      </c>
      <c r="C40" s="36" t="s">
        <v>66</v>
      </c>
      <c r="D40" s="35"/>
      <c r="E40" s="14"/>
      <c r="F40" s="14"/>
      <c r="G40" s="35"/>
      <c r="H40" s="14"/>
      <c r="I40" s="15"/>
      <c r="J40" s="80">
        <v>426889.19</v>
      </c>
      <c r="K40" s="49"/>
      <c r="L40" s="80">
        <v>2380203</v>
      </c>
      <c r="M40" s="80">
        <f t="shared" si="1"/>
        <v>2807092</v>
      </c>
      <c r="N40" s="81"/>
    </row>
    <row r="41" spans="1:14">
      <c r="A41" s="12" t="s">
        <v>67</v>
      </c>
      <c r="B41" s="72" t="s">
        <v>65</v>
      </c>
      <c r="C41" s="36" t="str">
        <f>IF(J41&lt;0,IF(L41&gt;0,"Net Gain (Loss) on Investments","Net Loss on Investments"),IF(J41&gt;0,IF(L41&gt;=0,"Net Gain on Investments","Net Gain (Loss) on Investments"),IF(L41&lt;0,"Net Loss on Investments",IF(L41&gt;0,"Net Gain on Investments","Net Gain (Loss) on Investments"))))</f>
        <v>Net Gain (Loss) on Investments</v>
      </c>
      <c r="D41" s="35"/>
      <c r="E41" s="14"/>
      <c r="F41" s="14"/>
      <c r="G41" s="35"/>
      <c r="H41" s="14"/>
      <c r="I41" s="15"/>
      <c r="J41" s="80">
        <v>0</v>
      </c>
      <c r="K41" s="49"/>
      <c r="L41" s="80">
        <v>0</v>
      </c>
      <c r="M41" s="80">
        <f t="shared" si="1"/>
        <v>0</v>
      </c>
      <c r="N41" s="81"/>
    </row>
    <row r="42" spans="1:14">
      <c r="A42" s="1" t="s">
        <v>68</v>
      </c>
      <c r="B42" s="72" t="s">
        <v>32</v>
      </c>
      <c r="C42" s="36" t="s">
        <v>69</v>
      </c>
      <c r="D42" s="35"/>
      <c r="E42" s="14"/>
      <c r="F42" s="14"/>
      <c r="G42" s="35"/>
      <c r="H42" s="14"/>
      <c r="I42" s="15"/>
      <c r="J42" s="80"/>
      <c r="K42" s="49"/>
      <c r="L42" s="80">
        <v>0</v>
      </c>
      <c r="M42" s="80">
        <f t="shared" si="1"/>
        <v>0</v>
      </c>
      <c r="N42" s="81"/>
    </row>
    <row r="43" spans="1:14">
      <c r="A43" s="12" t="s">
        <v>70</v>
      </c>
      <c r="B43" s="72" t="s">
        <v>71</v>
      </c>
      <c r="C43" s="36" t="str">
        <f>IF(J43&lt;0,IF(L43&gt;0,"Gain (Loss) on Disposal of Capital Assets","Loss on Disposal of Capital Assets"),IF(J43&gt;0,IF(L43&gt;=0,"Gain on Disposal of Capital Assets","Gain (Loss) on Disposal of Capital Assets"),IF(L43&lt;0,"Loss on Disposal of Capital Assets",IF(L43&gt;0,"Gain on Disposal of Capital Assets","Gain (Loss) on Disposal of Capital Assets"))))</f>
        <v>Gain on Disposal of Capital Assets</v>
      </c>
      <c r="D43" s="35"/>
      <c r="E43" s="14"/>
      <c r="F43" s="14"/>
      <c r="G43" s="35"/>
      <c r="H43" s="14"/>
      <c r="I43" s="15"/>
      <c r="J43" s="80">
        <v>14787.68</v>
      </c>
      <c r="K43" s="49"/>
      <c r="L43" s="80">
        <v>0</v>
      </c>
      <c r="M43" s="80">
        <f t="shared" si="1"/>
        <v>14788</v>
      </c>
      <c r="N43" s="81"/>
    </row>
    <row r="44" spans="1:14">
      <c r="A44" s="1" t="s">
        <v>72</v>
      </c>
      <c r="B44" s="72" t="s">
        <v>39</v>
      </c>
      <c r="C44" s="36" t="s">
        <v>73</v>
      </c>
      <c r="D44" s="35"/>
      <c r="E44" s="35"/>
      <c r="F44" s="35"/>
      <c r="G44" s="35"/>
      <c r="H44" s="35"/>
      <c r="I44" s="35"/>
      <c r="J44" s="80">
        <v>-515225</v>
      </c>
      <c r="K44" s="49"/>
      <c r="L44" s="80">
        <v>0</v>
      </c>
      <c r="M44" s="80">
        <f t="shared" si="1"/>
        <v>-515225</v>
      </c>
      <c r="N44" s="81"/>
    </row>
    <row r="45" spans="1:14">
      <c r="A45" s="12" t="s">
        <v>74</v>
      </c>
      <c r="B45" s="72" t="s">
        <v>39</v>
      </c>
      <c r="C45" s="36" t="s">
        <v>75</v>
      </c>
      <c r="D45" s="35"/>
      <c r="E45" s="14"/>
      <c r="F45" s="14"/>
      <c r="G45" s="35"/>
      <c r="H45" s="14"/>
      <c r="I45" s="15"/>
      <c r="J45" s="82">
        <v>-1153.9000000000001</v>
      </c>
      <c r="K45" s="49"/>
      <c r="L45" s="82">
        <v>0</v>
      </c>
      <c r="M45" s="82">
        <f t="shared" si="1"/>
        <v>-1154</v>
      </c>
      <c r="N45" s="81"/>
    </row>
    <row r="46" spans="1:14">
      <c r="B46" s="72"/>
      <c r="C46" s="35"/>
      <c r="D46" s="35"/>
      <c r="E46" s="35"/>
      <c r="F46" s="35"/>
      <c r="G46" s="35"/>
      <c r="H46" s="35"/>
      <c r="I46" s="35"/>
      <c r="J46" s="83"/>
      <c r="K46" s="84"/>
      <c r="L46" s="83"/>
      <c r="M46" s="83"/>
      <c r="N46" s="85"/>
    </row>
    <row r="47" spans="1:14">
      <c r="A47" s="52" t="s">
        <v>76</v>
      </c>
      <c r="B47" s="53"/>
      <c r="C47" s="29" t="s">
        <v>77</v>
      </c>
      <c r="D47" s="35"/>
      <c r="E47" s="14"/>
      <c r="F47" s="14"/>
      <c r="G47" s="14"/>
      <c r="H47" s="14"/>
      <c r="I47" s="15"/>
      <c r="J47" s="66">
        <f t="array" ref="J47">SUM(ROUND(J37:J45,0))</f>
        <v>63576983</v>
      </c>
      <c r="K47" s="59"/>
      <c r="L47" s="66">
        <f t="array" ref="L47">SUM(ROUND(L37:L45,0))</f>
        <v>2380203</v>
      </c>
      <c r="M47" s="66">
        <f t="array" ref="M47">SUM(ROUND(M37:M45,0))</f>
        <v>65957186</v>
      </c>
      <c r="N47" s="68"/>
    </row>
    <row r="48" spans="1:14">
      <c r="A48" s="52"/>
      <c r="B48" s="53"/>
      <c r="C48" s="86"/>
      <c r="D48" s="87"/>
      <c r="E48" s="15"/>
      <c r="F48" s="15"/>
      <c r="G48" s="15"/>
      <c r="H48" s="15"/>
      <c r="I48" s="15"/>
      <c r="J48" s="59"/>
      <c r="K48" s="59"/>
      <c r="L48" s="59"/>
      <c r="M48" s="59"/>
      <c r="N48" s="77"/>
    </row>
    <row r="49" spans="1:14">
      <c r="A49" s="52"/>
      <c r="B49" s="53"/>
      <c r="C49" s="65" t="str">
        <f>IF(J50&lt;0,IF(L50&gt;0,"Income (Loss) Before Other Revenues,","Loss Before Other Revenues,"),IF(J50&gt;0,IF(L50&gt;=0,"Income Before Other Revenues,","Income (Loss) Before Other Revenues,"),IF(L59&lt;0,"Loss Before Other Revenues,",IF(L59&gt;0,"Income Before Other Revenues,","Income (Loss) Before Other Revenues,"))))</f>
        <v>Income (Loss) Before Other Revenues,</v>
      </c>
      <c r="D49" s="35"/>
      <c r="E49" s="35"/>
      <c r="F49" s="14"/>
      <c r="G49" s="14"/>
      <c r="H49" s="14"/>
      <c r="I49" s="15"/>
      <c r="J49" s="35"/>
      <c r="K49" s="35"/>
      <c r="L49" s="35"/>
      <c r="M49" s="35"/>
      <c r="N49" s="37"/>
    </row>
    <row r="50" spans="1:14">
      <c r="A50" s="52"/>
      <c r="B50" s="53"/>
      <c r="C50" s="14"/>
      <c r="D50" s="29" t="s">
        <v>78</v>
      </c>
      <c r="E50" s="14"/>
      <c r="F50" s="14"/>
      <c r="G50" s="14"/>
      <c r="H50" s="14"/>
      <c r="I50" s="15"/>
      <c r="J50" s="66">
        <f>J34+J47</f>
        <v>-7594892</v>
      </c>
      <c r="K50" s="59"/>
      <c r="L50" s="66">
        <f>L34+L47</f>
        <v>1246636</v>
      </c>
      <c r="M50" s="66">
        <f>M34+M47</f>
        <v>-6348256</v>
      </c>
      <c r="N50" s="68"/>
    </row>
    <row r="51" spans="1:14">
      <c r="A51" s="52"/>
      <c r="B51" s="53"/>
      <c r="C51" s="14"/>
      <c r="D51" s="29"/>
      <c r="E51" s="14"/>
      <c r="F51" s="14"/>
      <c r="G51" s="14"/>
      <c r="H51" s="14"/>
      <c r="I51" s="15"/>
      <c r="J51" s="17"/>
      <c r="K51" s="17"/>
      <c r="L51" s="17"/>
      <c r="M51" s="17"/>
      <c r="N51" s="18"/>
    </row>
    <row r="52" spans="1:14">
      <c r="A52" s="52" t="s">
        <v>79</v>
      </c>
      <c r="B52" s="53" t="s">
        <v>58</v>
      </c>
      <c r="C52" s="36" t="s">
        <v>80</v>
      </c>
      <c r="D52" s="35"/>
      <c r="E52" s="14"/>
      <c r="F52" s="14"/>
      <c r="G52" s="14"/>
      <c r="H52" s="35"/>
      <c r="I52" s="15"/>
      <c r="J52" s="80">
        <v>9095597.7400000002</v>
      </c>
      <c r="K52" s="49"/>
      <c r="L52" s="80">
        <v>0</v>
      </c>
      <c r="M52" s="80">
        <f>ROUND(L52,0)+ROUND(J52,0)</f>
        <v>9095598</v>
      </c>
      <c r="N52" s="81"/>
    </row>
    <row r="53" spans="1:14">
      <c r="A53" s="52" t="s">
        <v>81</v>
      </c>
      <c r="B53" s="53" t="s">
        <v>82</v>
      </c>
      <c r="C53" s="36" t="s">
        <v>83</v>
      </c>
      <c r="D53" s="35"/>
      <c r="E53" s="14"/>
      <c r="F53" s="14"/>
      <c r="G53" s="14"/>
      <c r="H53" s="35"/>
      <c r="I53" s="15"/>
      <c r="J53" s="50">
        <v>4411364.3499999996</v>
      </c>
      <c r="K53" s="230"/>
      <c r="L53" s="50">
        <v>0</v>
      </c>
      <c r="M53" s="50">
        <f>ROUND(L53,0)+ROUND(J53,0)</f>
        <v>4411364</v>
      </c>
      <c r="N53" s="51"/>
    </row>
    <row r="54" spans="1:14">
      <c r="A54" s="52" t="s">
        <v>84</v>
      </c>
      <c r="B54" s="53" t="s">
        <v>85</v>
      </c>
      <c r="C54" s="14" t="s">
        <v>86</v>
      </c>
      <c r="D54" s="35"/>
      <c r="E54" s="14"/>
      <c r="F54" s="14"/>
      <c r="G54" s="14"/>
      <c r="H54" s="35"/>
      <c r="I54" s="15"/>
      <c r="J54" s="89">
        <v>0</v>
      </c>
      <c r="K54" s="230"/>
      <c r="L54" s="89">
        <v>598730</v>
      </c>
      <c r="M54" s="89">
        <f>ROUND(L54,0)+ROUND(J54,0)</f>
        <v>598730</v>
      </c>
      <c r="N54" s="51"/>
    </row>
    <row r="55" spans="1:14">
      <c r="A55" s="52" t="s">
        <v>87</v>
      </c>
      <c r="B55" s="53" t="s">
        <v>85</v>
      </c>
      <c r="C55" s="76" t="str">
        <f>IF(J55&lt;0,IF(L55&gt;0,"Other Revenues (Expenses)","Other Expenses"),IF(J55&gt;0,IF(L55&gt;=0,"Other Revenues","Other Revenues (Expenses)"),IF(L55&lt;0,"Other Expenses",IF(L55&gt;0,"Other Revenues","Other Revenues (Expenses)"))))</f>
        <v>Other Revenues (Expenses)</v>
      </c>
      <c r="D55" s="35"/>
      <c r="E55" s="14"/>
      <c r="F55" s="14"/>
      <c r="G55" s="14"/>
      <c r="H55" s="35"/>
      <c r="I55" s="15"/>
      <c r="J55" s="58">
        <v>0</v>
      </c>
      <c r="K55" s="230"/>
      <c r="L55" s="58">
        <v>0</v>
      </c>
      <c r="M55" s="58">
        <f>ROUND(L55,0)+ROUND(J55,0)</f>
        <v>0</v>
      </c>
      <c r="N55" s="51"/>
    </row>
    <row r="56" spans="1:14">
      <c r="A56" s="52"/>
      <c r="B56" s="53"/>
      <c r="C56" s="35"/>
      <c r="D56" s="35"/>
      <c r="E56" s="14"/>
      <c r="F56" s="14"/>
      <c r="G56" s="14"/>
      <c r="H56" s="14"/>
      <c r="I56" s="15"/>
      <c r="J56" s="83"/>
      <c r="K56" s="84"/>
      <c r="L56" s="83"/>
      <c r="M56" s="83"/>
      <c r="N56" s="85"/>
    </row>
    <row r="57" spans="1:14">
      <c r="A57" s="70" t="s">
        <v>88</v>
      </c>
      <c r="B57" s="53"/>
      <c r="C57" s="29" t="s">
        <v>89</v>
      </c>
      <c r="D57" s="35"/>
      <c r="E57" s="35"/>
      <c r="F57" s="14"/>
      <c r="G57" s="14"/>
      <c r="H57" s="14"/>
      <c r="I57" s="15"/>
      <c r="J57" s="90">
        <f t="array" ref="J57">SUM(ROUND(J52:J55,0))</f>
        <v>13506962</v>
      </c>
      <c r="K57" s="59"/>
      <c r="L57" s="90">
        <f t="array" ref="L57">SUM(ROUND(L52:L55,0))</f>
        <v>598730</v>
      </c>
      <c r="M57" s="90">
        <f t="array" ref="M57">SUM(ROUND(M52:M55,0))</f>
        <v>14105692</v>
      </c>
      <c r="N57" s="91"/>
    </row>
    <row r="58" spans="1:14">
      <c r="A58" s="52"/>
      <c r="B58" s="53"/>
      <c r="C58" s="29"/>
      <c r="D58" s="35"/>
      <c r="E58" s="35"/>
      <c r="F58" s="14"/>
      <c r="G58" s="14"/>
      <c r="H58" s="14"/>
      <c r="I58" s="15"/>
      <c r="J58" s="59"/>
      <c r="K58" s="59"/>
      <c r="L58" s="59"/>
      <c r="M58" s="59"/>
      <c r="N58" s="77"/>
    </row>
    <row r="59" spans="1:14">
      <c r="A59" s="70"/>
      <c r="B59" s="53"/>
      <c r="C59" s="65" t="str">
        <f>IF(J59&lt;0,IF(L59&gt;0,"Increase (Decrease) in Net Position","Decrease in Net Position"),IF(J59&gt;0,IF(L59&gt;=0,"Increase in Net Position","Increase (Decrease) in Net Position"),IF(L59&lt;0,"Decrease in Net Position",IF(L59&gt;0,"Increase in Net Position","Increase (Decrease) in Net Position"))))</f>
        <v>Increase in Net Position</v>
      </c>
      <c r="D59" s="35"/>
      <c r="E59" s="35"/>
      <c r="F59" s="14"/>
      <c r="G59" s="14"/>
      <c r="H59" s="14"/>
      <c r="I59" s="15"/>
      <c r="J59" s="90">
        <f>J50+J57</f>
        <v>5912070</v>
      </c>
      <c r="K59" s="92"/>
      <c r="L59" s="90">
        <f>L50+L57</f>
        <v>1845366</v>
      </c>
      <c r="M59" s="90">
        <f>M50+M57</f>
        <v>7757436</v>
      </c>
      <c r="N59" s="91"/>
    </row>
    <row r="60" spans="1:14">
      <c r="A60" s="52"/>
      <c r="B60" s="53"/>
      <c r="C60" s="93"/>
      <c r="D60" s="35"/>
      <c r="E60" s="35"/>
      <c r="F60" s="14"/>
      <c r="G60" s="14"/>
      <c r="H60" s="14"/>
      <c r="I60" s="15"/>
      <c r="J60" s="94"/>
      <c r="K60" s="94"/>
      <c r="L60" s="94"/>
      <c r="M60" s="94"/>
      <c r="N60" s="95"/>
    </row>
    <row r="61" spans="1:14">
      <c r="A61" s="52" t="s">
        <v>90</v>
      </c>
      <c r="B61" s="53"/>
      <c r="C61" s="14" t="s">
        <v>91</v>
      </c>
      <c r="D61" s="35"/>
      <c r="E61" s="14"/>
      <c r="F61" s="14"/>
      <c r="G61" s="14"/>
      <c r="H61" s="14"/>
      <c r="I61" s="15"/>
      <c r="J61" s="96">
        <f>VLOOKUP($C$1,[28]VLOOKUPS!A44:D71,2,FALSE)</f>
        <v>125509097</v>
      </c>
      <c r="K61" s="49"/>
      <c r="L61" s="96">
        <f>VLOOKUP($C$1,[28]VLOOKUPS!A44:D71,3,FALSE)</f>
        <v>41770253</v>
      </c>
      <c r="M61" s="89">
        <f>ROUND(L61,0)+ROUND(J61,0)</f>
        <v>167279350</v>
      </c>
      <c r="N61" s="97"/>
    </row>
    <row r="62" spans="1:14">
      <c r="A62" s="52" t="s">
        <v>92</v>
      </c>
      <c r="B62" s="53" t="s">
        <v>93</v>
      </c>
      <c r="C62" s="14" t="s">
        <v>94</v>
      </c>
      <c r="D62" s="35"/>
      <c r="E62" s="14"/>
      <c r="F62" s="14"/>
      <c r="G62" s="14"/>
      <c r="H62" s="14"/>
      <c r="I62" s="15"/>
      <c r="J62" s="82">
        <v>-22580175</v>
      </c>
      <c r="K62" s="49"/>
      <c r="L62" s="82">
        <v>0</v>
      </c>
      <c r="M62" s="82">
        <f>ROUND(L62,0)+ROUND(J62,0)</f>
        <v>-22580175</v>
      </c>
      <c r="N62" s="81"/>
    </row>
    <row r="63" spans="1:14">
      <c r="A63" s="52"/>
      <c r="B63" s="53"/>
      <c r="C63" s="36"/>
      <c r="D63" s="36"/>
      <c r="E63" s="36"/>
      <c r="F63" s="36"/>
      <c r="G63" s="36"/>
      <c r="H63" s="98"/>
      <c r="I63" s="36"/>
      <c r="J63" s="92"/>
      <c r="K63" s="99"/>
      <c r="L63" s="99"/>
      <c r="M63" s="99"/>
      <c r="N63" s="100"/>
    </row>
    <row r="64" spans="1:14">
      <c r="A64" s="70"/>
      <c r="B64" s="53"/>
      <c r="C64" s="101" t="s">
        <v>95</v>
      </c>
      <c r="D64" s="36"/>
      <c r="E64" s="36"/>
      <c r="F64" s="36"/>
      <c r="G64" s="36"/>
      <c r="H64" s="60"/>
      <c r="I64" s="60"/>
      <c r="J64" s="90">
        <f t="array" ref="J64">SUM(ROUND(J61:J62,0))</f>
        <v>102928922</v>
      </c>
      <c r="K64" s="92"/>
      <c r="L64" s="90">
        <f t="array" ref="L64">SUM(ROUND(L61:L62,0))</f>
        <v>41770253</v>
      </c>
      <c r="M64" s="90">
        <f t="array" ref="M64">SUM(ROUND(M61:M62,0))</f>
        <v>144699175</v>
      </c>
      <c r="N64" s="91"/>
    </row>
    <row r="65" spans="1:14">
      <c r="A65" s="52"/>
      <c r="B65" s="53"/>
      <c r="C65" s="36"/>
      <c r="D65" s="36"/>
      <c r="E65" s="36"/>
      <c r="F65" s="36"/>
      <c r="G65" s="36"/>
      <c r="H65" s="102"/>
      <c r="I65" s="36"/>
      <c r="J65" s="102"/>
      <c r="K65" s="60"/>
      <c r="L65" s="60"/>
      <c r="M65" s="60"/>
      <c r="N65" s="61"/>
    </row>
    <row r="66" spans="1:14" ht="13.5" thickBot="1">
      <c r="A66" s="52"/>
      <c r="B66" s="53"/>
      <c r="C66" s="29" t="s">
        <v>96</v>
      </c>
      <c r="D66" s="35"/>
      <c r="E66" s="14"/>
      <c r="F66" s="14"/>
      <c r="G66" s="14"/>
      <c r="H66" s="14"/>
      <c r="I66" s="103"/>
      <c r="J66" s="104">
        <f>J59+J64</f>
        <v>108840992</v>
      </c>
      <c r="K66" s="105"/>
      <c r="L66" s="104">
        <f>L59+L64</f>
        <v>43615619</v>
      </c>
      <c r="M66" s="104">
        <f>M59+M64</f>
        <v>152456611</v>
      </c>
      <c r="N66" s="46"/>
    </row>
    <row r="67" spans="1:14" ht="13.5" thickTop="1">
      <c r="A67" s="70"/>
      <c r="B67" s="53"/>
      <c r="C67" s="14"/>
      <c r="D67" s="14"/>
      <c r="E67" s="14"/>
      <c r="F67" s="14"/>
      <c r="G67" s="14"/>
      <c r="H67" s="14"/>
      <c r="I67" s="15"/>
      <c r="J67" s="107"/>
      <c r="K67" s="15"/>
      <c r="L67" s="107"/>
      <c r="M67" s="107"/>
      <c r="N67" s="108"/>
    </row>
    <row r="68" spans="1:14">
      <c r="A68" s="52"/>
      <c r="B68" s="53"/>
      <c r="C68" s="35" t="s">
        <v>97</v>
      </c>
      <c r="D68" s="35"/>
      <c r="E68" s="35"/>
      <c r="F68" s="35"/>
      <c r="G68" s="35"/>
      <c r="H68" s="35"/>
      <c r="I68" s="87"/>
      <c r="J68" s="35"/>
      <c r="K68" s="87"/>
      <c r="L68" s="35"/>
      <c r="M68" s="35"/>
      <c r="N68" s="37"/>
    </row>
    <row r="69" spans="1:14">
      <c r="B69" s="72"/>
      <c r="I69" s="6"/>
      <c r="J69" s="109">
        <f>J66-[28]SNP!K119</f>
        <v>0</v>
      </c>
      <c r="K69" s="110"/>
      <c r="L69" s="111">
        <f>L66-[28]SNP!M119</f>
        <v>0</v>
      </c>
      <c r="M69" s="111">
        <f>M66-[28]SNP!N119</f>
        <v>0</v>
      </c>
      <c r="N69" s="112"/>
    </row>
    <row r="70" spans="1:14">
      <c r="B70" s="72"/>
      <c r="I70" s="113" t="s">
        <v>98</v>
      </c>
      <c r="J70" s="114"/>
      <c r="K70" s="115"/>
      <c r="L70" s="114"/>
      <c r="M70" s="114"/>
      <c r="N70" s="114"/>
    </row>
  </sheetData>
  <sheetProtection formatColumns="0" formatRows="0"/>
  <conditionalFormatting sqref="J69 L69">
    <cfRule type="cellIs" dxfId="74" priority="14" operator="notEqual">
      <formula>0</formula>
    </cfRule>
    <cfRule type="cellIs" dxfId="73" priority="15" operator="equal">
      <formula>0</formula>
    </cfRule>
  </conditionalFormatting>
  <conditionalFormatting sqref="J11:J15 F11:G11 L24:L30 L37:L45 J37:J45 L62 J62 L17:L18 J25:J29 J17:J18 F17:G17 L11:L15 L52:L55 J52:J55">
    <cfRule type="containsBlanks" dxfId="72" priority="12">
      <formula>LEN(TRIM(F11))=0</formula>
    </cfRule>
    <cfRule type="cellIs" dxfId="71" priority="13" operator="notEqual">
      <formula>0</formula>
    </cfRule>
  </conditionalFormatting>
  <conditionalFormatting sqref="J11">
    <cfRule type="cellIs" dxfId="70" priority="11" operator="notEqual">
      <formula>J20</formula>
    </cfRule>
  </conditionalFormatting>
  <conditionalFormatting sqref="L11">
    <cfRule type="cellIs" dxfId="69" priority="10" operator="notEqual">
      <formula>L20</formula>
    </cfRule>
  </conditionalFormatting>
  <conditionalFormatting sqref="M69">
    <cfRule type="cellIs" dxfId="68" priority="8" operator="notEqual">
      <formula>0</formula>
    </cfRule>
    <cfRule type="cellIs" dxfId="67" priority="9" operator="equal">
      <formula>0</formula>
    </cfRule>
  </conditionalFormatting>
  <conditionalFormatting sqref="M24:M30 M37:M45 M62 M17:M18 M11:M15 M52:M55">
    <cfRule type="containsBlanks" dxfId="66" priority="6">
      <formula>LEN(TRIM(M11))=0</formula>
    </cfRule>
    <cfRule type="cellIs" dxfId="65" priority="7" operator="notEqual">
      <formula>0</formula>
    </cfRule>
  </conditionalFormatting>
  <conditionalFormatting sqref="M11">
    <cfRule type="cellIs" dxfId="64" priority="5" operator="notEqual">
      <formula>M20</formula>
    </cfRule>
  </conditionalFormatting>
  <conditionalFormatting sqref="J24">
    <cfRule type="containsBlanks" dxfId="63" priority="3">
      <formula>LEN(TRIM(J24))=0</formula>
    </cfRule>
    <cfRule type="cellIs" dxfId="62" priority="4" operator="notEqual">
      <formula>0</formula>
    </cfRule>
  </conditionalFormatting>
  <conditionalFormatting sqref="M61">
    <cfRule type="containsBlanks" dxfId="61" priority="1">
      <formula>LEN(TRIM(M61))=0</formula>
    </cfRule>
    <cfRule type="cellIs" dxfId="60" priority="2" operator="notEqual">
      <formula>0</formula>
    </cfRule>
  </conditionalFormatting>
  <printOptions horizontalCentered="1"/>
  <pageMargins left="0.7" right="0.7" top="0.75" bottom="0.75" header="0.5" footer="0.5"/>
  <pageSetup scale="53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  <pageSetUpPr fitToPage="1"/>
  </sheetPr>
  <dimension ref="A1:T70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0" style="1" hidden="1" customWidth="1"/>
    <col min="2" max="2" width="0" style="20" hidden="1" customWidth="1"/>
    <col min="3" max="8" width="11.140625" style="6"/>
    <col min="9" max="9" width="11.140625" style="11"/>
    <col min="10" max="10" width="15.140625" style="6" customWidth="1"/>
    <col min="11" max="11" width="11.140625" style="11"/>
    <col min="12" max="12" width="13.85546875" style="6" customWidth="1"/>
    <col min="13" max="13" width="17.7109375" style="6" customWidth="1"/>
    <col min="14" max="14" width="11.140625" style="6"/>
    <col min="15" max="15" width="11.140625" style="10"/>
    <col min="16" max="20" width="11.140625" style="5"/>
    <col min="21" max="16384" width="11.140625" style="6"/>
  </cols>
  <sheetData>
    <row r="1" spans="1:14">
      <c r="B1" s="2"/>
      <c r="C1" s="260" t="str">
        <f>'[29]Contact Information'!$C$5</f>
        <v>SEMINOLE STATE COLLEGE OF FLORIDA</v>
      </c>
      <c r="D1" s="260"/>
      <c r="E1" s="260"/>
      <c r="F1" s="260"/>
      <c r="G1" s="260"/>
      <c r="H1" s="260"/>
      <c r="I1" s="260"/>
      <c r="J1" s="260"/>
      <c r="K1" s="260"/>
      <c r="L1" s="260"/>
      <c r="M1" s="247"/>
      <c r="N1" s="3"/>
    </row>
    <row r="2" spans="1:14">
      <c r="B2" s="2"/>
      <c r="C2" s="256" t="s">
        <v>0</v>
      </c>
      <c r="D2" s="256"/>
      <c r="E2" s="256"/>
      <c r="F2" s="256"/>
      <c r="G2" s="256"/>
      <c r="H2" s="256"/>
      <c r="I2" s="256"/>
      <c r="J2" s="256"/>
      <c r="K2" s="256"/>
      <c r="L2" s="256"/>
      <c r="M2" s="245"/>
      <c r="N2" s="7"/>
    </row>
    <row r="3" spans="1:14">
      <c r="B3" s="2"/>
      <c r="C3" s="86" t="s">
        <v>1</v>
      </c>
      <c r="D3" s="86"/>
      <c r="E3" s="86"/>
      <c r="F3" s="86"/>
      <c r="G3" s="86"/>
      <c r="H3" s="86"/>
      <c r="I3" s="86"/>
      <c r="J3" s="86"/>
      <c r="K3" s="86"/>
      <c r="L3" s="86"/>
      <c r="M3" s="248"/>
      <c r="N3" s="9" t="s">
        <v>2</v>
      </c>
    </row>
    <row r="4" spans="1:14">
      <c r="B4" s="2"/>
      <c r="C4" s="261" t="s">
        <v>297</v>
      </c>
      <c r="D4" s="261"/>
      <c r="E4" s="261"/>
      <c r="F4" s="261"/>
      <c r="G4" s="261"/>
      <c r="H4" s="261"/>
      <c r="I4" s="261"/>
      <c r="J4" s="261"/>
      <c r="K4" s="261"/>
      <c r="L4" s="261"/>
      <c r="M4" s="249"/>
      <c r="N4" s="11" t="str">
        <f>'[29]Contact Information'!$C$3</f>
        <v>2015.v02</v>
      </c>
    </row>
    <row r="5" spans="1:14">
      <c r="A5" s="12"/>
      <c r="B5" s="13"/>
      <c r="C5" s="14"/>
      <c r="D5" s="14"/>
      <c r="E5" s="14"/>
      <c r="F5" s="14"/>
      <c r="G5" s="14"/>
      <c r="H5" s="14"/>
      <c r="I5" s="15"/>
      <c r="J5" s="16"/>
      <c r="K5" s="17"/>
      <c r="L5" s="16"/>
      <c r="M5" s="16"/>
      <c r="N5" s="18"/>
    </row>
    <row r="6" spans="1:14">
      <c r="C6" s="14"/>
      <c r="D6" s="14"/>
      <c r="E6" s="14"/>
      <c r="F6" s="14"/>
      <c r="G6" s="14"/>
      <c r="H6" s="14"/>
      <c r="I6" s="15"/>
      <c r="J6" s="249" t="s">
        <v>5</v>
      </c>
      <c r="K6" s="21"/>
      <c r="L6" s="22" t="s">
        <v>6</v>
      </c>
      <c r="M6" s="22" t="s">
        <v>7</v>
      </c>
      <c r="N6" s="23"/>
    </row>
    <row r="7" spans="1:14">
      <c r="C7" s="14"/>
      <c r="D7" s="14"/>
      <c r="E7" s="14"/>
      <c r="F7" s="14"/>
      <c r="G7" s="14"/>
      <c r="H7" s="14"/>
      <c r="I7" s="15"/>
      <c r="J7" s="24"/>
      <c r="K7" s="25"/>
      <c r="L7" s="26" t="str">
        <f>[29]SNP!$M$9</f>
        <v>Unit</v>
      </c>
      <c r="M7" s="26"/>
      <c r="N7" s="27"/>
    </row>
    <row r="8" spans="1:14">
      <c r="C8" s="29" t="s">
        <v>9</v>
      </c>
      <c r="D8" s="14"/>
      <c r="E8" s="14"/>
      <c r="F8" s="14"/>
      <c r="G8" s="14"/>
      <c r="H8" s="14"/>
      <c r="I8" s="15"/>
      <c r="J8" s="25"/>
      <c r="K8" s="25"/>
      <c r="L8" s="25"/>
      <c r="M8" s="25"/>
      <c r="N8" s="30"/>
    </row>
    <row r="9" spans="1:14">
      <c r="A9" s="32" t="s">
        <v>10</v>
      </c>
      <c r="B9" s="33" t="s">
        <v>11</v>
      </c>
      <c r="C9" s="14" t="s">
        <v>12</v>
      </c>
      <c r="D9" s="14"/>
      <c r="E9" s="14"/>
      <c r="F9" s="14"/>
      <c r="G9" s="14"/>
      <c r="H9" s="14"/>
      <c r="I9" s="15"/>
      <c r="J9" s="17"/>
      <c r="K9" s="17"/>
      <c r="L9" s="17"/>
      <c r="M9" s="17"/>
      <c r="N9" s="18"/>
    </row>
    <row r="10" spans="1:14">
      <c r="B10" s="34"/>
      <c r="C10" s="35"/>
      <c r="D10" s="36" t="s">
        <v>14</v>
      </c>
      <c r="E10" s="14"/>
      <c r="F10" s="14"/>
      <c r="G10" s="14"/>
      <c r="H10" s="14"/>
      <c r="I10" s="35"/>
      <c r="J10" s="35"/>
      <c r="K10" s="17"/>
      <c r="L10" s="35"/>
      <c r="M10" s="35"/>
      <c r="N10" s="37"/>
    </row>
    <row r="11" spans="1:14">
      <c r="A11" s="1" t="s">
        <v>17</v>
      </c>
      <c r="B11" s="34" t="s">
        <v>18</v>
      </c>
      <c r="C11" s="35"/>
      <c r="D11" s="44" t="s">
        <v>19</v>
      </c>
      <c r="E11" s="35"/>
      <c r="F11" s="263">
        <v>14687372.029999999</v>
      </c>
      <c r="G11" s="263"/>
      <c r="H11" s="45"/>
      <c r="I11" s="36"/>
      <c r="J11" s="228">
        <v>23789637.989999998</v>
      </c>
      <c r="K11" s="229"/>
      <c r="L11" s="228">
        <v>0</v>
      </c>
      <c r="M11" s="228">
        <f>ROUND(L11,0)+ROUND(J11,0)</f>
        <v>23789638</v>
      </c>
      <c r="N11" s="46"/>
    </row>
    <row r="12" spans="1:14">
      <c r="A12" s="1" t="s">
        <v>20</v>
      </c>
      <c r="B12" s="34" t="s">
        <v>21</v>
      </c>
      <c r="C12" s="35"/>
      <c r="D12" s="36" t="s">
        <v>22</v>
      </c>
      <c r="E12" s="14"/>
      <c r="F12" s="48"/>
      <c r="G12" s="49"/>
      <c r="H12" s="15"/>
      <c r="I12" s="35"/>
      <c r="J12" s="50">
        <v>2618792.98</v>
      </c>
      <c r="K12" s="230"/>
      <c r="L12" s="50">
        <v>0</v>
      </c>
      <c r="M12" s="50">
        <f>ROUND(L12,0)+ROUND(J12,0)</f>
        <v>2618793</v>
      </c>
      <c r="N12" s="51"/>
    </row>
    <row r="13" spans="1:14">
      <c r="A13" s="1" t="s">
        <v>23</v>
      </c>
      <c r="B13" s="34" t="s">
        <v>21</v>
      </c>
      <c r="C13" s="35"/>
      <c r="D13" s="36" t="s">
        <v>24</v>
      </c>
      <c r="E13" s="14"/>
      <c r="F13" s="48"/>
      <c r="G13" s="48"/>
      <c r="H13" s="14"/>
      <c r="I13" s="35"/>
      <c r="J13" s="50">
        <v>1216270.96</v>
      </c>
      <c r="K13" s="230"/>
      <c r="L13" s="50">
        <v>0</v>
      </c>
      <c r="M13" s="50">
        <f>ROUND(L13,0)+ROUND(J13,0)</f>
        <v>1216271</v>
      </c>
      <c r="N13" s="51"/>
    </row>
    <row r="14" spans="1:14">
      <c r="A14" s="1" t="s">
        <v>25</v>
      </c>
      <c r="B14" s="34" t="s">
        <v>21</v>
      </c>
      <c r="C14" s="35"/>
      <c r="D14" s="36" t="s">
        <v>26</v>
      </c>
      <c r="E14" s="14"/>
      <c r="F14" s="48"/>
      <c r="G14" s="48"/>
      <c r="H14" s="14"/>
      <c r="I14" s="35"/>
      <c r="J14" s="50">
        <v>1460526.51</v>
      </c>
      <c r="K14" s="230"/>
      <c r="L14" s="50">
        <v>0</v>
      </c>
      <c r="M14" s="50">
        <f>ROUND(L14,0)+ROUND(J14,0)</f>
        <v>1460527</v>
      </c>
      <c r="N14" s="51"/>
    </row>
    <row r="15" spans="1:14">
      <c r="A15" s="1" t="s">
        <v>27</v>
      </c>
      <c r="B15" s="34" t="s">
        <v>18</v>
      </c>
      <c r="C15" s="35"/>
      <c r="D15" s="36" t="s">
        <v>28</v>
      </c>
      <c r="E15" s="14"/>
      <c r="F15" s="48"/>
      <c r="G15" s="48"/>
      <c r="H15" s="35"/>
      <c r="I15" s="35"/>
      <c r="J15" s="50">
        <v>47081.53</v>
      </c>
      <c r="K15" s="230"/>
      <c r="L15" s="50">
        <v>0</v>
      </c>
      <c r="M15" s="50">
        <f>ROUND(L15,0)+ROUND(J15,0)</f>
        <v>47082</v>
      </c>
      <c r="N15" s="51"/>
    </row>
    <row r="16" spans="1:14">
      <c r="A16" s="52"/>
      <c r="B16" s="53"/>
      <c r="C16" s="35"/>
      <c r="D16" s="36" t="s">
        <v>29</v>
      </c>
      <c r="E16" s="14"/>
      <c r="F16" s="54"/>
      <c r="G16" s="49"/>
      <c r="H16" s="55"/>
      <c r="I16" s="35"/>
      <c r="J16" s="35"/>
      <c r="K16" s="230"/>
      <c r="L16" s="35"/>
      <c r="M16" s="35"/>
      <c r="N16" s="37"/>
    </row>
    <row r="17" spans="1:14">
      <c r="A17" s="52" t="s">
        <v>30</v>
      </c>
      <c r="B17" s="53" t="s">
        <v>18</v>
      </c>
      <c r="C17" s="35"/>
      <c r="D17" s="44" t="s">
        <v>19</v>
      </c>
      <c r="E17" s="35"/>
      <c r="F17" s="263">
        <v>0</v>
      </c>
      <c r="G17" s="263"/>
      <c r="H17" s="55"/>
      <c r="I17" s="35"/>
      <c r="J17" s="50">
        <v>2359113.7799999998</v>
      </c>
      <c r="K17" s="230"/>
      <c r="L17" s="50">
        <v>0</v>
      </c>
      <c r="M17" s="50">
        <f>ROUND(L17,0)+ROUND(J17,0)</f>
        <v>2359114</v>
      </c>
      <c r="N17" s="51"/>
    </row>
    <row r="18" spans="1:14">
      <c r="A18" s="52" t="s">
        <v>31</v>
      </c>
      <c r="B18" s="56" t="s">
        <v>32</v>
      </c>
      <c r="C18" s="35"/>
      <c r="D18" s="57" t="s">
        <v>33</v>
      </c>
      <c r="E18" s="14"/>
      <c r="F18" s="14"/>
      <c r="G18" s="14"/>
      <c r="H18" s="14"/>
      <c r="I18" s="36"/>
      <c r="J18" s="58">
        <v>89960.51</v>
      </c>
      <c r="K18" s="230"/>
      <c r="L18" s="58">
        <v>2902522</v>
      </c>
      <c r="M18" s="58">
        <f>ROUND(L18,0)+ROUND(J18,0)</f>
        <v>2992483</v>
      </c>
      <c r="N18" s="51"/>
    </row>
    <row r="19" spans="1:14">
      <c r="A19" s="52"/>
      <c r="B19" s="56"/>
      <c r="C19" s="36"/>
      <c r="D19" s="36"/>
      <c r="E19" s="36"/>
      <c r="F19" s="36"/>
      <c r="G19" s="36"/>
      <c r="H19" s="59"/>
      <c r="I19" s="59"/>
      <c r="J19" s="59"/>
      <c r="K19" s="60"/>
      <c r="L19" s="60"/>
      <c r="M19" s="60"/>
      <c r="N19" s="61"/>
    </row>
    <row r="20" spans="1:14">
      <c r="A20" s="52" t="s">
        <v>34</v>
      </c>
      <c r="B20" s="56"/>
      <c r="C20" s="35"/>
      <c r="D20" s="65" t="s">
        <v>35</v>
      </c>
      <c r="E20" s="35"/>
      <c r="F20" s="14"/>
      <c r="G20" s="14"/>
      <c r="H20" s="14"/>
      <c r="I20" s="15"/>
      <c r="J20" s="66">
        <f t="array" ref="J20">SUM(ROUND(J11:J18,0))</f>
        <v>31581386</v>
      </c>
      <c r="K20" s="67"/>
      <c r="L20" s="66">
        <f t="array" ref="L20">SUM(ROUND(L11:L18,0))</f>
        <v>2902522</v>
      </c>
      <c r="M20" s="66">
        <f t="array" ref="M20">SUM(ROUND(M11:M18,0))</f>
        <v>34483908</v>
      </c>
      <c r="N20" s="68"/>
    </row>
    <row r="21" spans="1:14">
      <c r="A21" s="52"/>
      <c r="B21" s="56"/>
      <c r="C21" s="14"/>
      <c r="D21" s="14"/>
      <c r="E21" s="14"/>
      <c r="F21" s="14"/>
      <c r="G21" s="14"/>
      <c r="H21" s="14"/>
      <c r="I21" s="15"/>
      <c r="J21" s="17"/>
      <c r="K21" s="17"/>
      <c r="L21" s="17"/>
      <c r="M21" s="17"/>
      <c r="N21" s="18"/>
    </row>
    <row r="22" spans="1:14">
      <c r="A22" s="70"/>
      <c r="B22" s="71"/>
      <c r="C22" s="29" t="s">
        <v>36</v>
      </c>
      <c r="D22" s="14"/>
      <c r="E22" s="14"/>
      <c r="F22" s="14"/>
      <c r="G22" s="14"/>
      <c r="H22" s="14"/>
      <c r="I22" s="15"/>
      <c r="J22" s="16"/>
      <c r="K22" s="17"/>
      <c r="L22" s="16"/>
      <c r="M22" s="16"/>
      <c r="N22" s="18"/>
    </row>
    <row r="23" spans="1:14">
      <c r="A23" s="52"/>
      <c r="B23" s="53"/>
      <c r="C23" s="14" t="s">
        <v>37</v>
      </c>
      <c r="D23" s="14"/>
      <c r="E23" s="14"/>
      <c r="F23" s="14"/>
      <c r="G23" s="35"/>
      <c r="H23" s="14"/>
      <c r="I23" s="15"/>
      <c r="J23" s="16"/>
      <c r="K23" s="17"/>
      <c r="L23" s="16"/>
      <c r="M23" s="16"/>
      <c r="N23" s="18"/>
    </row>
    <row r="24" spans="1:14">
      <c r="A24" s="12" t="s">
        <v>38</v>
      </c>
      <c r="B24" s="72" t="s">
        <v>39</v>
      </c>
      <c r="C24" s="44"/>
      <c r="D24" s="36" t="s">
        <v>40</v>
      </c>
      <c r="E24" s="14"/>
      <c r="F24" s="14"/>
      <c r="G24" s="35"/>
      <c r="H24" s="14"/>
      <c r="I24" s="15"/>
      <c r="J24" s="50">
        <v>62090630</v>
      </c>
      <c r="K24" s="230"/>
      <c r="L24" s="50">
        <v>557441</v>
      </c>
      <c r="M24" s="50">
        <f t="shared" ref="M24:M30" si="0">ROUND(L24,0)+ROUND(J24,0)</f>
        <v>62648071</v>
      </c>
      <c r="N24" s="51"/>
    </row>
    <row r="25" spans="1:14">
      <c r="A25" s="1" t="s">
        <v>41</v>
      </c>
      <c r="B25" s="72" t="s">
        <v>39</v>
      </c>
      <c r="C25" s="44"/>
      <c r="D25" s="36" t="s">
        <v>42</v>
      </c>
      <c r="E25" s="14"/>
      <c r="F25" s="14"/>
      <c r="G25" s="35"/>
      <c r="H25" s="14"/>
      <c r="I25" s="15"/>
      <c r="J25" s="50">
        <v>20607786.949999999</v>
      </c>
      <c r="K25" s="230"/>
      <c r="L25" s="50">
        <v>1687073</v>
      </c>
      <c r="M25" s="50">
        <f t="shared" si="0"/>
        <v>22294860</v>
      </c>
      <c r="N25" s="51"/>
    </row>
    <row r="26" spans="1:14">
      <c r="A26" s="12" t="s">
        <v>43</v>
      </c>
      <c r="B26" s="34" t="s">
        <v>39</v>
      </c>
      <c r="C26" s="44"/>
      <c r="D26" s="36" t="s">
        <v>44</v>
      </c>
      <c r="E26" s="14"/>
      <c r="F26" s="14"/>
      <c r="G26" s="35"/>
      <c r="H26" s="14"/>
      <c r="I26" s="15"/>
      <c r="J26" s="50">
        <v>2718413.92</v>
      </c>
      <c r="K26" s="230"/>
      <c r="L26" s="50">
        <v>0</v>
      </c>
      <c r="M26" s="50">
        <f t="shared" si="0"/>
        <v>2718414</v>
      </c>
      <c r="N26" s="51"/>
    </row>
    <row r="27" spans="1:14">
      <c r="A27" s="1" t="s">
        <v>45</v>
      </c>
      <c r="B27" s="72" t="s">
        <v>39</v>
      </c>
      <c r="C27" s="44"/>
      <c r="D27" s="36" t="s">
        <v>46</v>
      </c>
      <c r="E27" s="14"/>
      <c r="F27" s="14"/>
      <c r="G27" s="35"/>
      <c r="H27" s="14"/>
      <c r="I27" s="15"/>
      <c r="J27" s="50">
        <v>3212270.12</v>
      </c>
      <c r="K27" s="230"/>
      <c r="L27" s="50">
        <v>231372</v>
      </c>
      <c r="M27" s="50">
        <f t="shared" si="0"/>
        <v>3443642</v>
      </c>
      <c r="N27" s="51"/>
    </row>
    <row r="28" spans="1:14">
      <c r="A28" s="12" t="s">
        <v>47</v>
      </c>
      <c r="B28" s="34" t="s">
        <v>39</v>
      </c>
      <c r="C28" s="44"/>
      <c r="D28" s="36" t="s">
        <v>48</v>
      </c>
      <c r="E28" s="14"/>
      <c r="F28" s="14"/>
      <c r="G28" s="35"/>
      <c r="H28" s="14"/>
      <c r="I28" s="15"/>
      <c r="J28" s="50">
        <v>8264327.8399999999</v>
      </c>
      <c r="K28" s="230"/>
      <c r="L28" s="50">
        <v>84877</v>
      </c>
      <c r="M28" s="50">
        <f t="shared" si="0"/>
        <v>8349205</v>
      </c>
      <c r="N28" s="51"/>
    </row>
    <row r="29" spans="1:14">
      <c r="A29" s="1" t="s">
        <v>49</v>
      </c>
      <c r="B29" s="34" t="s">
        <v>39</v>
      </c>
      <c r="C29" s="44"/>
      <c r="D29" s="36" t="s">
        <v>50</v>
      </c>
      <c r="E29" s="14"/>
      <c r="F29" s="14"/>
      <c r="G29" s="35"/>
      <c r="H29" s="14"/>
      <c r="I29" s="15"/>
      <c r="J29" s="50">
        <v>8565444.3300000001</v>
      </c>
      <c r="K29" s="230"/>
      <c r="L29" s="50">
        <v>41851</v>
      </c>
      <c r="M29" s="50">
        <f t="shared" si="0"/>
        <v>8607295</v>
      </c>
      <c r="N29" s="51"/>
    </row>
    <row r="30" spans="1:14">
      <c r="A30" s="12" t="s">
        <v>51</v>
      </c>
      <c r="B30" s="72" t="s">
        <v>52</v>
      </c>
      <c r="C30" s="44"/>
      <c r="D30" s="36" t="s">
        <v>53</v>
      </c>
      <c r="E30" s="14"/>
      <c r="F30" s="14"/>
      <c r="G30" s="35"/>
      <c r="H30" s="14"/>
      <c r="I30" s="15"/>
      <c r="J30" s="231">
        <f>'[29]Accounts by GL'!O481</f>
        <v>6462774.79</v>
      </c>
      <c r="K30" s="230"/>
      <c r="L30" s="58">
        <v>0</v>
      </c>
      <c r="M30" s="58">
        <f t="shared" si="0"/>
        <v>6462775</v>
      </c>
      <c r="N30" s="51"/>
    </row>
    <row r="31" spans="1:14">
      <c r="B31" s="72"/>
      <c r="C31" s="44"/>
      <c r="D31" s="36"/>
      <c r="E31" s="14"/>
      <c r="F31" s="14"/>
      <c r="G31" s="35"/>
      <c r="H31" s="14"/>
      <c r="I31" s="15"/>
      <c r="J31" s="73"/>
      <c r="K31" s="73"/>
      <c r="L31" s="73"/>
      <c r="M31" s="73"/>
      <c r="N31" s="74"/>
    </row>
    <row r="32" spans="1:14">
      <c r="A32" s="1" t="s">
        <v>54</v>
      </c>
      <c r="B32" s="72"/>
      <c r="C32" s="14"/>
      <c r="D32" s="65" t="s">
        <v>55</v>
      </c>
      <c r="E32" s="35"/>
      <c r="F32" s="14"/>
      <c r="G32" s="14"/>
      <c r="H32" s="14"/>
      <c r="I32" s="15"/>
      <c r="J32" s="66">
        <f t="array" ref="J32">SUM(ROUND(J24:J30,0))</f>
        <v>111921648</v>
      </c>
      <c r="K32" s="59"/>
      <c r="L32" s="66">
        <f t="array" ref="L32">SUM(ROUND(L24:L30,0))</f>
        <v>2602614</v>
      </c>
      <c r="M32" s="66">
        <f t="array" ref="M32">SUM(ROUND(M24:M30,0))</f>
        <v>114524262</v>
      </c>
      <c r="N32" s="68"/>
    </row>
    <row r="33" spans="1:14">
      <c r="A33" s="12"/>
      <c r="B33" s="72"/>
      <c r="C33" s="44"/>
      <c r="D33" s="76"/>
      <c r="E33" s="14"/>
      <c r="F33" s="14"/>
      <c r="G33" s="35"/>
      <c r="H33" s="14"/>
      <c r="I33" s="15"/>
      <c r="J33" s="59"/>
      <c r="K33" s="59"/>
      <c r="L33" s="59"/>
      <c r="M33" s="59"/>
      <c r="N33" s="77"/>
    </row>
    <row r="34" spans="1:14">
      <c r="B34" s="72"/>
      <c r="C34" s="14"/>
      <c r="D34" s="65" t="str">
        <f>IF(J34&lt;0,IF(L34&gt;0,"Operating Income (Loss)","Operating Loss"),IF(J34&gt;0,IF(L34&gt;=0,"Operating Income","Operating Income (Loss)"),IF(L34&lt;0,"Operating Loss",IF(L34&gt;0,"Operating Income","Operating Income (Loss)"))))</f>
        <v>Operating Income (Loss)</v>
      </c>
      <c r="E34" s="35"/>
      <c r="F34" s="14"/>
      <c r="G34" s="14"/>
      <c r="H34" s="14"/>
      <c r="I34" s="15"/>
      <c r="J34" s="66">
        <f>J20-J32</f>
        <v>-80340262</v>
      </c>
      <c r="K34" s="67"/>
      <c r="L34" s="66">
        <f>L20-L32</f>
        <v>299908</v>
      </c>
      <c r="M34" s="66">
        <f>M20-M32</f>
        <v>-80040354</v>
      </c>
      <c r="N34" s="68"/>
    </row>
    <row r="35" spans="1:14">
      <c r="A35" s="12"/>
      <c r="B35" s="72"/>
      <c r="C35" s="14"/>
      <c r="D35" s="14"/>
      <c r="E35" s="14"/>
      <c r="F35" s="14"/>
      <c r="G35" s="14"/>
      <c r="H35" s="14"/>
      <c r="I35" s="15"/>
      <c r="J35" s="78"/>
      <c r="K35" s="78"/>
      <c r="L35" s="78"/>
      <c r="M35" s="78"/>
      <c r="N35" s="79"/>
    </row>
    <row r="36" spans="1:14">
      <c r="B36" s="72"/>
      <c r="C36" s="29" t="s">
        <v>56</v>
      </c>
      <c r="D36" s="35"/>
      <c r="E36" s="14"/>
      <c r="F36" s="14"/>
      <c r="G36" s="14"/>
      <c r="H36" s="14"/>
      <c r="I36" s="15"/>
      <c r="J36" s="16"/>
      <c r="K36" s="17"/>
      <c r="L36" s="16"/>
      <c r="M36" s="16"/>
      <c r="N36" s="18"/>
    </row>
    <row r="37" spans="1:14">
      <c r="A37" s="12" t="s">
        <v>57</v>
      </c>
      <c r="B37" s="72" t="s">
        <v>58</v>
      </c>
      <c r="C37" s="36" t="s">
        <v>59</v>
      </c>
      <c r="D37" s="35"/>
      <c r="E37" s="14"/>
      <c r="F37" s="14"/>
      <c r="G37" s="35"/>
      <c r="H37" s="14"/>
      <c r="I37" s="15"/>
      <c r="J37" s="80">
        <v>38937312.060000002</v>
      </c>
      <c r="K37" s="49"/>
      <c r="L37" s="80">
        <v>64058</v>
      </c>
      <c r="M37" s="80">
        <f t="shared" ref="M37:M45" si="1">ROUND(L37,0)+ROUND(J37,0)</f>
        <v>39001370</v>
      </c>
      <c r="N37" s="81"/>
    </row>
    <row r="38" spans="1:14">
      <c r="A38" s="1" t="s">
        <v>60</v>
      </c>
      <c r="B38" s="72" t="s">
        <v>21</v>
      </c>
      <c r="C38" s="36" t="s">
        <v>61</v>
      </c>
      <c r="D38" s="35"/>
      <c r="E38" s="14"/>
      <c r="F38" s="14"/>
      <c r="G38" s="35"/>
      <c r="H38" s="14"/>
      <c r="I38" s="15"/>
      <c r="J38" s="80">
        <v>33602208.439999998</v>
      </c>
      <c r="K38" s="49"/>
      <c r="L38" s="80">
        <v>0</v>
      </c>
      <c r="M38" s="80">
        <f t="shared" si="1"/>
        <v>33602208</v>
      </c>
      <c r="N38" s="81"/>
    </row>
    <row r="39" spans="1:14">
      <c r="A39" s="12" t="s">
        <v>62</v>
      </c>
      <c r="B39" s="72" t="s">
        <v>21</v>
      </c>
      <c r="C39" s="36" t="s">
        <v>63</v>
      </c>
      <c r="D39" s="35"/>
      <c r="E39" s="14"/>
      <c r="F39" s="14"/>
      <c r="G39" s="35"/>
      <c r="H39" s="14"/>
      <c r="I39" s="15"/>
      <c r="J39" s="80">
        <v>321304.84000000003</v>
      </c>
      <c r="K39" s="49"/>
      <c r="L39" s="80">
        <v>215994</v>
      </c>
      <c r="M39" s="80">
        <f t="shared" si="1"/>
        <v>537299</v>
      </c>
      <c r="N39" s="81"/>
    </row>
    <row r="40" spans="1:14">
      <c r="A40" s="1" t="s">
        <v>64</v>
      </c>
      <c r="B40" s="72" t="s">
        <v>65</v>
      </c>
      <c r="C40" s="36" t="s">
        <v>66</v>
      </c>
      <c r="D40" s="35"/>
      <c r="E40" s="14"/>
      <c r="F40" s="14"/>
      <c r="G40" s="35"/>
      <c r="H40" s="14"/>
      <c r="I40" s="15"/>
      <c r="J40" s="80">
        <v>72646.570000000007</v>
      </c>
      <c r="K40" s="49"/>
      <c r="L40" s="80">
        <v>348216</v>
      </c>
      <c r="M40" s="80">
        <f t="shared" si="1"/>
        <v>420863</v>
      </c>
      <c r="N40" s="81"/>
    </row>
    <row r="41" spans="1:14">
      <c r="A41" s="12" t="s">
        <v>67</v>
      </c>
      <c r="B41" s="72" t="s">
        <v>65</v>
      </c>
      <c r="C41" s="36" t="str">
        <f>IF(J41&lt;0,IF(L41&gt;0,"Net Gain (Loss) on Investments","Net Loss on Investments"),IF(J41&gt;0,IF(L41&gt;=0,"Net Gain on Investments","Net Gain (Loss) on Investments"),IF(L41&lt;0,"Net Loss on Investments",IF(L41&gt;0,"Net Gain on Investments","Net Gain (Loss) on Investments"))))</f>
        <v>Net Loss on Investments</v>
      </c>
      <c r="D41" s="35"/>
      <c r="E41" s="14"/>
      <c r="F41" s="14"/>
      <c r="G41" s="35"/>
      <c r="H41" s="14"/>
      <c r="I41" s="15"/>
      <c r="J41" s="80">
        <v>0</v>
      </c>
      <c r="K41" s="49"/>
      <c r="L41" s="80">
        <v>-58089</v>
      </c>
      <c r="M41" s="80">
        <f t="shared" si="1"/>
        <v>-58089</v>
      </c>
      <c r="N41" s="81"/>
    </row>
    <row r="42" spans="1:14">
      <c r="A42" s="1" t="s">
        <v>68</v>
      </c>
      <c r="B42" s="72" t="s">
        <v>32</v>
      </c>
      <c r="C42" s="36" t="s">
        <v>69</v>
      </c>
      <c r="D42" s="35"/>
      <c r="E42" s="14"/>
      <c r="F42" s="14"/>
      <c r="G42" s="35"/>
      <c r="H42" s="14"/>
      <c r="I42" s="15"/>
      <c r="J42" s="80">
        <v>21240.82</v>
      </c>
      <c r="K42" s="49"/>
      <c r="L42" s="80">
        <v>0</v>
      </c>
      <c r="M42" s="80">
        <f t="shared" si="1"/>
        <v>21241</v>
      </c>
      <c r="N42" s="81"/>
    </row>
    <row r="43" spans="1:14">
      <c r="A43" s="12" t="s">
        <v>70</v>
      </c>
      <c r="B43" s="72" t="s">
        <v>71</v>
      </c>
      <c r="C43" s="36" t="str">
        <f>IF(J43&lt;0,IF(L43&gt;0,"Gain (Loss) on Disposal of Capital Assets","Loss on Disposal of Capital Assets"),IF(J43&gt;0,IF(L43&gt;=0,"Gain on Disposal of Capital Assets","Gain (Loss) on Disposal of Capital Assets"),IF(L43&lt;0,"Loss on Disposal of Capital Assets",IF(L43&gt;0,"Gain on Disposal of Capital Assets","Gain (Loss) on Disposal of Capital Assets"))))</f>
        <v>Gain (Loss) on Disposal of Capital Assets</v>
      </c>
      <c r="D43" s="35"/>
      <c r="E43" s="14"/>
      <c r="F43" s="14"/>
      <c r="G43" s="35"/>
      <c r="H43" s="14"/>
      <c r="I43" s="15"/>
      <c r="J43" s="80">
        <v>0</v>
      </c>
      <c r="K43" s="49"/>
      <c r="L43" s="80">
        <v>0</v>
      </c>
      <c r="M43" s="80">
        <f t="shared" si="1"/>
        <v>0</v>
      </c>
      <c r="N43" s="81"/>
    </row>
    <row r="44" spans="1:14">
      <c r="A44" s="1" t="s">
        <v>72</v>
      </c>
      <c r="B44" s="72" t="s">
        <v>39</v>
      </c>
      <c r="C44" s="36" t="s">
        <v>73</v>
      </c>
      <c r="D44" s="35"/>
      <c r="E44" s="35"/>
      <c r="F44" s="35"/>
      <c r="G44" s="35"/>
      <c r="H44" s="35"/>
      <c r="I44" s="35"/>
      <c r="J44" s="80">
        <v>-239975.78</v>
      </c>
      <c r="K44" s="49"/>
      <c r="L44" s="80">
        <v>0</v>
      </c>
      <c r="M44" s="80">
        <f t="shared" si="1"/>
        <v>-239976</v>
      </c>
      <c r="N44" s="81"/>
    </row>
    <row r="45" spans="1:14">
      <c r="A45" s="12" t="s">
        <v>74</v>
      </c>
      <c r="B45" s="72" t="s">
        <v>39</v>
      </c>
      <c r="C45" s="36" t="s">
        <v>75</v>
      </c>
      <c r="D45" s="35"/>
      <c r="E45" s="14"/>
      <c r="F45" s="14"/>
      <c r="G45" s="35"/>
      <c r="H45" s="14"/>
      <c r="I45" s="15"/>
      <c r="J45" s="82">
        <v>0</v>
      </c>
      <c r="K45" s="49"/>
      <c r="L45" s="82">
        <v>0</v>
      </c>
      <c r="M45" s="82">
        <f t="shared" si="1"/>
        <v>0</v>
      </c>
      <c r="N45" s="81"/>
    </row>
    <row r="46" spans="1:14">
      <c r="B46" s="72"/>
      <c r="C46" s="35"/>
      <c r="D46" s="35"/>
      <c r="E46" s="35"/>
      <c r="F46" s="35"/>
      <c r="G46" s="35"/>
      <c r="H46" s="35"/>
      <c r="I46" s="35"/>
      <c r="J46" s="83"/>
      <c r="K46" s="84"/>
      <c r="L46" s="83"/>
      <c r="M46" s="83"/>
      <c r="N46" s="85"/>
    </row>
    <row r="47" spans="1:14">
      <c r="A47" s="52" t="s">
        <v>76</v>
      </c>
      <c r="B47" s="53"/>
      <c r="C47" s="29" t="s">
        <v>77</v>
      </c>
      <c r="D47" s="35"/>
      <c r="E47" s="14"/>
      <c r="F47" s="14"/>
      <c r="G47" s="14"/>
      <c r="H47" s="14"/>
      <c r="I47" s="15"/>
      <c r="J47" s="66">
        <f t="array" ref="J47">SUM(ROUND(J37:J45,0))</f>
        <v>72714737</v>
      </c>
      <c r="K47" s="59"/>
      <c r="L47" s="66">
        <f t="array" ref="L47">SUM(ROUND(L37:L45,0))</f>
        <v>570179</v>
      </c>
      <c r="M47" s="66">
        <f t="array" ref="M47">SUM(ROUND(M37:M45,0))</f>
        <v>73284916</v>
      </c>
      <c r="N47" s="68"/>
    </row>
    <row r="48" spans="1:14">
      <c r="A48" s="52"/>
      <c r="B48" s="53"/>
      <c r="C48" s="86"/>
      <c r="D48" s="87"/>
      <c r="E48" s="15"/>
      <c r="F48" s="15"/>
      <c r="G48" s="15"/>
      <c r="H48" s="15"/>
      <c r="I48" s="15"/>
      <c r="J48" s="59"/>
      <c r="K48" s="59"/>
      <c r="L48" s="59"/>
      <c r="M48" s="59"/>
      <c r="N48" s="77"/>
    </row>
    <row r="49" spans="1:14">
      <c r="A49" s="52"/>
      <c r="B49" s="53"/>
      <c r="C49" s="65" t="str">
        <f>IF(J50&lt;0,IF(L50&gt;0,"Income (Loss) Before Other Revenues,","Loss Before Other Revenues,"),IF(J50&gt;0,IF(L50&gt;=0,"Income Before Other Revenues,","Income (Loss) Before Other Revenues,"),IF(L59&lt;0,"Loss Before Other Revenues,",IF(L59&gt;0,"Income Before Other Revenues,","Income (Loss) Before Other Revenues,"))))</f>
        <v>Income (Loss) Before Other Revenues,</v>
      </c>
      <c r="D49" s="35"/>
      <c r="E49" s="35"/>
      <c r="F49" s="14"/>
      <c r="G49" s="14"/>
      <c r="H49" s="14"/>
      <c r="I49" s="15"/>
      <c r="J49" s="35"/>
      <c r="K49" s="35"/>
      <c r="L49" s="35"/>
      <c r="M49" s="35"/>
      <c r="N49" s="37"/>
    </row>
    <row r="50" spans="1:14">
      <c r="A50" s="52"/>
      <c r="B50" s="53"/>
      <c r="C50" s="14"/>
      <c r="D50" s="29" t="s">
        <v>78</v>
      </c>
      <c r="E50" s="14"/>
      <c r="F50" s="14"/>
      <c r="G50" s="14"/>
      <c r="H50" s="14"/>
      <c r="I50" s="15"/>
      <c r="J50" s="66">
        <f>J34+J47</f>
        <v>-7625525</v>
      </c>
      <c r="K50" s="59"/>
      <c r="L50" s="66">
        <f>L34+L47</f>
        <v>870087</v>
      </c>
      <c r="M50" s="66">
        <f>M34+M47</f>
        <v>-6755438</v>
      </c>
      <c r="N50" s="68"/>
    </row>
    <row r="51" spans="1:14">
      <c r="A51" s="52"/>
      <c r="B51" s="53"/>
      <c r="C51" s="14"/>
      <c r="D51" s="29"/>
      <c r="E51" s="14"/>
      <c r="F51" s="14"/>
      <c r="G51" s="14"/>
      <c r="H51" s="14"/>
      <c r="I51" s="15"/>
      <c r="J51" s="17"/>
      <c r="K51" s="17"/>
      <c r="L51" s="17"/>
      <c r="M51" s="17"/>
      <c r="N51" s="18"/>
    </row>
    <row r="52" spans="1:14">
      <c r="A52" s="52" t="s">
        <v>79</v>
      </c>
      <c r="B52" s="53" t="s">
        <v>58</v>
      </c>
      <c r="C52" s="36" t="s">
        <v>80</v>
      </c>
      <c r="D52" s="35"/>
      <c r="E52" s="14"/>
      <c r="F52" s="14"/>
      <c r="G52" s="14"/>
      <c r="H52" s="35"/>
      <c r="I52" s="15"/>
      <c r="J52" s="80">
        <v>6705205.0199999996</v>
      </c>
      <c r="K52" s="49"/>
      <c r="L52" s="80">
        <v>0</v>
      </c>
      <c r="M52" s="80">
        <f>ROUND(L52,0)+ROUND(J52,0)</f>
        <v>6705205</v>
      </c>
      <c r="N52" s="81"/>
    </row>
    <row r="53" spans="1:14">
      <c r="A53" s="52" t="s">
        <v>81</v>
      </c>
      <c r="B53" s="53" t="s">
        <v>82</v>
      </c>
      <c r="C53" s="36" t="s">
        <v>83</v>
      </c>
      <c r="D53" s="35"/>
      <c r="E53" s="14"/>
      <c r="F53" s="14"/>
      <c r="G53" s="14"/>
      <c r="H53" s="35"/>
      <c r="I53" s="15"/>
      <c r="J53" s="50">
        <v>3343237.29</v>
      </c>
      <c r="K53" s="230"/>
      <c r="L53" s="50">
        <v>0</v>
      </c>
      <c r="M53" s="50">
        <f>ROUND(L53,0)+ROUND(J53,0)</f>
        <v>3343237</v>
      </c>
      <c r="N53" s="51"/>
    </row>
    <row r="54" spans="1:14">
      <c r="A54" s="52" t="s">
        <v>84</v>
      </c>
      <c r="B54" s="53" t="s">
        <v>85</v>
      </c>
      <c r="C54" s="14" t="s">
        <v>86</v>
      </c>
      <c r="D54" s="35"/>
      <c r="E54" s="14"/>
      <c r="F54" s="14"/>
      <c r="G54" s="14"/>
      <c r="H54" s="35"/>
      <c r="I54" s="15"/>
      <c r="J54" s="89">
        <v>0</v>
      </c>
      <c r="K54" s="230"/>
      <c r="L54" s="89">
        <v>0</v>
      </c>
      <c r="M54" s="89">
        <f>ROUND(L54,0)+ROUND(J54,0)</f>
        <v>0</v>
      </c>
      <c r="N54" s="51"/>
    </row>
    <row r="55" spans="1:14">
      <c r="A55" s="52" t="s">
        <v>87</v>
      </c>
      <c r="B55" s="53" t="s">
        <v>85</v>
      </c>
      <c r="C55" s="76" t="str">
        <f>IF(J55&lt;0,IF(L55&gt;0,"Other Revenues (Expenses)","Other Expenses"),IF(J55&gt;0,IF(L55&gt;=0,"Other Revenues","Other Revenues (Expenses)"),IF(L55&lt;0,"Other Expenses",IF(L55&gt;0,"Other Revenues","Other Revenues (Expenses)"))))</f>
        <v>Other Revenues (Expenses)</v>
      </c>
      <c r="D55" s="35"/>
      <c r="E55" s="14"/>
      <c r="F55" s="14"/>
      <c r="G55" s="14"/>
      <c r="H55" s="35"/>
      <c r="I55" s="15"/>
      <c r="J55" s="58">
        <v>0</v>
      </c>
      <c r="K55" s="230"/>
      <c r="L55" s="58">
        <v>0</v>
      </c>
      <c r="M55" s="58">
        <f>ROUND(L55,0)+ROUND(J55,0)</f>
        <v>0</v>
      </c>
      <c r="N55" s="51"/>
    </row>
    <row r="56" spans="1:14">
      <c r="A56" s="52"/>
      <c r="B56" s="53"/>
      <c r="C56" s="35"/>
      <c r="D56" s="35"/>
      <c r="E56" s="14"/>
      <c r="F56" s="14"/>
      <c r="G56" s="14"/>
      <c r="H56" s="14"/>
      <c r="I56" s="15"/>
      <c r="J56" s="83"/>
      <c r="K56" s="84"/>
      <c r="L56" s="83"/>
      <c r="M56" s="83"/>
      <c r="N56" s="85"/>
    </row>
    <row r="57" spans="1:14">
      <c r="A57" s="70" t="s">
        <v>88</v>
      </c>
      <c r="B57" s="53"/>
      <c r="C57" s="29" t="s">
        <v>89</v>
      </c>
      <c r="D57" s="35"/>
      <c r="E57" s="35"/>
      <c r="F57" s="14"/>
      <c r="G57" s="14"/>
      <c r="H57" s="14"/>
      <c r="I57" s="15"/>
      <c r="J57" s="90">
        <f t="array" ref="J57">SUM(ROUND(J52:J55,0))</f>
        <v>10048442</v>
      </c>
      <c r="K57" s="59"/>
      <c r="L57" s="90">
        <f t="array" ref="L57">SUM(ROUND(L52:L55,0))</f>
        <v>0</v>
      </c>
      <c r="M57" s="90">
        <f t="array" ref="M57">SUM(ROUND(M52:M55,0))</f>
        <v>10048442</v>
      </c>
      <c r="N57" s="91"/>
    </row>
    <row r="58" spans="1:14">
      <c r="A58" s="52"/>
      <c r="B58" s="53"/>
      <c r="C58" s="29"/>
      <c r="D58" s="35"/>
      <c r="E58" s="35"/>
      <c r="F58" s="14"/>
      <c r="G58" s="14"/>
      <c r="H58" s="14"/>
      <c r="I58" s="15"/>
      <c r="J58" s="59"/>
      <c r="K58" s="59"/>
      <c r="L58" s="59"/>
      <c r="M58" s="59"/>
      <c r="N58" s="77"/>
    </row>
    <row r="59" spans="1:14">
      <c r="A59" s="70"/>
      <c r="B59" s="53"/>
      <c r="C59" s="65" t="str">
        <f>IF(J59&lt;0,IF(L59&gt;0,"Increase (Decrease) in Net Position","Decrease in Net Position"),IF(J59&gt;0,IF(L59&gt;=0,"Increase in Net Position","Increase (Decrease) in Net Position"),IF(L59&lt;0,"Decrease in Net Position",IF(L59&gt;0,"Increase in Net Position","Increase (Decrease) in Net Position"))))</f>
        <v>Increase in Net Position</v>
      </c>
      <c r="D59" s="35"/>
      <c r="E59" s="35"/>
      <c r="F59" s="14"/>
      <c r="G59" s="14"/>
      <c r="H59" s="14"/>
      <c r="I59" s="15"/>
      <c r="J59" s="90">
        <f>J50+J57</f>
        <v>2422917</v>
      </c>
      <c r="K59" s="92"/>
      <c r="L59" s="90">
        <f>L50+L57</f>
        <v>870087</v>
      </c>
      <c r="M59" s="90">
        <f>M50+M57</f>
        <v>3293004</v>
      </c>
      <c r="N59" s="91"/>
    </row>
    <row r="60" spans="1:14">
      <c r="A60" s="52"/>
      <c r="B60" s="53"/>
      <c r="C60" s="93"/>
      <c r="D60" s="35"/>
      <c r="E60" s="35"/>
      <c r="F60" s="14"/>
      <c r="G60" s="14"/>
      <c r="H60" s="14"/>
      <c r="I60" s="15"/>
      <c r="J60" s="94"/>
      <c r="K60" s="94"/>
      <c r="L60" s="94"/>
      <c r="M60" s="94"/>
      <c r="N60" s="95"/>
    </row>
    <row r="61" spans="1:14">
      <c r="A61" s="52" t="s">
        <v>90</v>
      </c>
      <c r="B61" s="53"/>
      <c r="C61" s="14" t="s">
        <v>91</v>
      </c>
      <c r="D61" s="35"/>
      <c r="E61" s="14"/>
      <c r="F61" s="14"/>
      <c r="G61" s="14"/>
      <c r="H61" s="14"/>
      <c r="I61" s="15"/>
      <c r="J61" s="96">
        <f>VLOOKUP($C$1,[29]VLOOKUPS!A44:D71,2,FALSE)</f>
        <v>202894160</v>
      </c>
      <c r="K61" s="49"/>
      <c r="L61" s="96">
        <f>VLOOKUP($C$1,[29]VLOOKUPS!A44:D71,3,FALSE)</f>
        <v>18724758</v>
      </c>
      <c r="M61" s="89">
        <f>ROUND(L61,0)+ROUND(J61,0)</f>
        <v>221618918</v>
      </c>
      <c r="N61" s="97"/>
    </row>
    <row r="62" spans="1:14">
      <c r="A62" s="52" t="s">
        <v>92</v>
      </c>
      <c r="B62" s="53" t="s">
        <v>93</v>
      </c>
      <c r="C62" s="14" t="s">
        <v>94</v>
      </c>
      <c r="D62" s="35"/>
      <c r="E62" s="14"/>
      <c r="F62" s="14"/>
      <c r="G62" s="14"/>
      <c r="H62" s="14"/>
      <c r="I62" s="15"/>
      <c r="J62" s="82">
        <f>-665796.1-24227965</f>
        <v>-24893761.100000001</v>
      </c>
      <c r="K62" s="49"/>
      <c r="L62" s="82">
        <v>0</v>
      </c>
      <c r="M62" s="82">
        <f>ROUND(L62,0)+ROUND(J62,0)</f>
        <v>-24893761</v>
      </c>
      <c r="N62" s="81"/>
    </row>
    <row r="63" spans="1:14">
      <c r="A63" s="52"/>
      <c r="B63" s="53"/>
      <c r="C63" s="36"/>
      <c r="D63" s="36"/>
      <c r="E63" s="36"/>
      <c r="F63" s="36"/>
      <c r="G63" s="36"/>
      <c r="H63" s="98"/>
      <c r="I63" s="36"/>
      <c r="J63" s="92"/>
      <c r="K63" s="99"/>
      <c r="L63" s="99"/>
      <c r="M63" s="99"/>
      <c r="N63" s="100"/>
    </row>
    <row r="64" spans="1:14">
      <c r="A64" s="70"/>
      <c r="B64" s="53"/>
      <c r="C64" s="101" t="s">
        <v>95</v>
      </c>
      <c r="D64" s="36"/>
      <c r="E64" s="36"/>
      <c r="F64" s="36"/>
      <c r="G64" s="36"/>
      <c r="H64" s="60"/>
      <c r="I64" s="60"/>
      <c r="J64" s="90">
        <f t="array" ref="J64">SUM(ROUND(J61:J62,0))</f>
        <v>178000399</v>
      </c>
      <c r="K64" s="92"/>
      <c r="L64" s="90">
        <f t="array" ref="L64">SUM(ROUND(L61:L62,0))</f>
        <v>18724758</v>
      </c>
      <c r="M64" s="90">
        <f t="array" ref="M64">SUM(ROUND(M61:M62,0))</f>
        <v>196725157</v>
      </c>
      <c r="N64" s="91"/>
    </row>
    <row r="65" spans="1:14">
      <c r="A65" s="52"/>
      <c r="B65" s="53"/>
      <c r="C65" s="36"/>
      <c r="D65" s="36"/>
      <c r="E65" s="36"/>
      <c r="F65" s="36"/>
      <c r="G65" s="36"/>
      <c r="H65" s="102"/>
      <c r="I65" s="36"/>
      <c r="J65" s="102"/>
      <c r="K65" s="60"/>
      <c r="L65" s="60"/>
      <c r="M65" s="60"/>
      <c r="N65" s="61"/>
    </row>
    <row r="66" spans="1:14" ht="13.5" thickBot="1">
      <c r="A66" s="52"/>
      <c r="B66" s="53"/>
      <c r="C66" s="29" t="s">
        <v>96</v>
      </c>
      <c r="D66" s="35"/>
      <c r="E66" s="14"/>
      <c r="F66" s="14"/>
      <c r="G66" s="14"/>
      <c r="H66" s="14"/>
      <c r="I66" s="103"/>
      <c r="J66" s="104">
        <f>J59+J64</f>
        <v>180423316</v>
      </c>
      <c r="K66" s="105"/>
      <c r="L66" s="104">
        <f>L59+L64</f>
        <v>19594845</v>
      </c>
      <c r="M66" s="104">
        <f>M59+M64</f>
        <v>200018161</v>
      </c>
      <c r="N66" s="46"/>
    </row>
    <row r="67" spans="1:14" ht="13.5" thickTop="1">
      <c r="A67" s="70"/>
      <c r="B67" s="53"/>
      <c r="C67" s="14"/>
      <c r="D67" s="14"/>
      <c r="E67" s="14"/>
      <c r="F67" s="14"/>
      <c r="G67" s="14"/>
      <c r="H67" s="14"/>
      <c r="I67" s="15"/>
      <c r="J67" s="107"/>
      <c r="K67" s="15"/>
      <c r="L67" s="107"/>
      <c r="M67" s="107"/>
      <c r="N67" s="108"/>
    </row>
    <row r="68" spans="1:14">
      <c r="A68" s="52"/>
      <c r="B68" s="53"/>
      <c r="C68" s="35" t="s">
        <v>97</v>
      </c>
      <c r="D68" s="35"/>
      <c r="E68" s="35"/>
      <c r="F68" s="35"/>
      <c r="G68" s="35"/>
      <c r="H68" s="35"/>
      <c r="I68" s="87"/>
      <c r="J68" s="35"/>
      <c r="K68" s="87"/>
      <c r="L68" s="35"/>
      <c r="M68" s="35"/>
      <c r="N68" s="37"/>
    </row>
    <row r="69" spans="1:14">
      <c r="B69" s="72"/>
      <c r="I69" s="6"/>
      <c r="J69" s="109">
        <f>J66-[29]SNP!K119</f>
        <v>0</v>
      </c>
      <c r="K69" s="110"/>
      <c r="L69" s="111">
        <f>L66-[29]SNP!M119</f>
        <v>0</v>
      </c>
      <c r="M69" s="111">
        <f>M66-[29]SNP!N119</f>
        <v>0</v>
      </c>
      <c r="N69" s="112"/>
    </row>
    <row r="70" spans="1:14">
      <c r="B70" s="72"/>
      <c r="I70" s="113" t="s">
        <v>98</v>
      </c>
      <c r="J70" s="114"/>
      <c r="K70" s="115"/>
      <c r="L70" s="114"/>
      <c r="M70" s="114"/>
      <c r="N70" s="114"/>
    </row>
  </sheetData>
  <sheetProtection formatColumns="0" formatRows="0"/>
  <conditionalFormatting sqref="J69 L69">
    <cfRule type="cellIs" dxfId="59" priority="14" operator="notEqual">
      <formula>0</formula>
    </cfRule>
    <cfRule type="cellIs" dxfId="58" priority="15" operator="equal">
      <formula>0</formula>
    </cfRule>
  </conditionalFormatting>
  <conditionalFormatting sqref="J11:J15 F11:G11 L24:L30 L37:L45 J37:J45 L62 J62 L17:L18 J25:J29 J17:J18 F17:G17 L11:L15 L52:L55 J52:J55">
    <cfRule type="containsBlanks" dxfId="57" priority="12">
      <formula>LEN(TRIM(F11))=0</formula>
    </cfRule>
    <cfRule type="cellIs" dxfId="56" priority="13" operator="notEqual">
      <formula>0</formula>
    </cfRule>
  </conditionalFormatting>
  <conditionalFormatting sqref="J11">
    <cfRule type="cellIs" dxfId="55" priority="11" operator="notEqual">
      <formula>J20</formula>
    </cfRule>
  </conditionalFormatting>
  <conditionalFormatting sqref="L11">
    <cfRule type="cellIs" dxfId="54" priority="10" operator="notEqual">
      <formula>L20</formula>
    </cfRule>
  </conditionalFormatting>
  <conditionalFormatting sqref="M69">
    <cfRule type="cellIs" dxfId="53" priority="8" operator="notEqual">
      <formula>0</formula>
    </cfRule>
    <cfRule type="cellIs" dxfId="52" priority="9" operator="equal">
      <formula>0</formula>
    </cfRule>
  </conditionalFormatting>
  <conditionalFormatting sqref="M24:M30 M37:M45 M62 M17:M18 M11:M15 M52:M55">
    <cfRule type="containsBlanks" dxfId="51" priority="6">
      <formula>LEN(TRIM(M11))=0</formula>
    </cfRule>
    <cfRule type="cellIs" dxfId="50" priority="7" operator="notEqual">
      <formula>0</formula>
    </cfRule>
  </conditionalFormatting>
  <conditionalFormatting sqref="M11">
    <cfRule type="cellIs" dxfId="49" priority="5" operator="notEqual">
      <formula>M20</formula>
    </cfRule>
  </conditionalFormatting>
  <conditionalFormatting sqref="J24">
    <cfRule type="containsBlanks" dxfId="48" priority="3">
      <formula>LEN(TRIM(J24))=0</formula>
    </cfRule>
    <cfRule type="cellIs" dxfId="47" priority="4" operator="notEqual">
      <formula>0</formula>
    </cfRule>
  </conditionalFormatting>
  <conditionalFormatting sqref="M61">
    <cfRule type="containsBlanks" dxfId="46" priority="1">
      <formula>LEN(TRIM(M61))=0</formula>
    </cfRule>
    <cfRule type="cellIs" dxfId="45" priority="2" operator="notEqual">
      <formula>0</formula>
    </cfRule>
  </conditionalFormatting>
  <printOptions horizontalCentered="1"/>
  <pageMargins left="0.7" right="0.7" top="0.75" bottom="0.75" header="0.5" footer="0.5"/>
  <pageSetup scale="53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  <pageSetUpPr fitToPage="1"/>
  </sheetPr>
  <dimension ref="A1:T70"/>
  <sheetViews>
    <sheetView topLeftCell="C1" zoomScale="85" zoomScaleNormal="85" zoomScaleSheetLayoutView="70" workbookViewId="0">
      <selection activeCell="C1" sqref="C1"/>
    </sheetView>
  </sheetViews>
  <sheetFormatPr defaultColWidth="11.140625" defaultRowHeight="12.75"/>
  <cols>
    <col min="1" max="1" width="0" style="1" hidden="1" customWidth="1"/>
    <col min="2" max="2" width="0" style="20" hidden="1" customWidth="1"/>
    <col min="3" max="8" width="11.140625" style="6"/>
    <col min="9" max="9" width="11.140625" style="11"/>
    <col min="10" max="10" width="13" style="6" customWidth="1"/>
    <col min="11" max="11" width="11.140625" style="11"/>
    <col min="12" max="12" width="14" style="6" customWidth="1"/>
    <col min="13" max="13" width="16.28515625" style="6" customWidth="1"/>
    <col min="14" max="14" width="11.140625" style="6"/>
    <col min="15" max="15" width="11.140625" style="10"/>
    <col min="16" max="20" width="11.140625" style="5"/>
    <col min="21" max="16384" width="11.140625" style="6"/>
  </cols>
  <sheetData>
    <row r="1" spans="1:14">
      <c r="B1" s="2"/>
      <c r="C1" s="260" t="str">
        <f>'[30]Contact Information'!$C$5</f>
        <v>SOUTH FLORIDA STATE COLLEGE</v>
      </c>
      <c r="D1" s="260"/>
      <c r="E1" s="260"/>
      <c r="F1" s="260"/>
      <c r="G1" s="260"/>
      <c r="H1" s="260"/>
      <c r="I1" s="260"/>
      <c r="J1" s="260"/>
      <c r="K1" s="260"/>
      <c r="L1" s="260"/>
      <c r="M1" s="247"/>
      <c r="N1" s="3"/>
    </row>
    <row r="2" spans="1:14">
      <c r="B2" s="2"/>
      <c r="C2" s="256" t="s">
        <v>0</v>
      </c>
      <c r="D2" s="256"/>
      <c r="E2" s="256"/>
      <c r="F2" s="256"/>
      <c r="G2" s="256"/>
      <c r="H2" s="256"/>
      <c r="I2" s="256"/>
      <c r="J2" s="256"/>
      <c r="K2" s="256"/>
      <c r="L2" s="256"/>
      <c r="M2" s="245"/>
      <c r="N2" s="7"/>
    </row>
    <row r="3" spans="1:14">
      <c r="B3" s="2"/>
      <c r="C3" s="86" t="s">
        <v>1</v>
      </c>
      <c r="D3" s="86"/>
      <c r="E3" s="86"/>
      <c r="F3" s="86"/>
      <c r="G3" s="86"/>
      <c r="H3" s="86"/>
      <c r="I3" s="86"/>
      <c r="J3" s="86"/>
      <c r="K3" s="86"/>
      <c r="L3" s="86"/>
      <c r="M3" s="248"/>
      <c r="N3" s="9" t="s">
        <v>2</v>
      </c>
    </row>
    <row r="4" spans="1:14">
      <c r="B4" s="2"/>
      <c r="C4" s="261" t="s">
        <v>297</v>
      </c>
      <c r="D4" s="261"/>
      <c r="E4" s="261"/>
      <c r="F4" s="261"/>
      <c r="G4" s="261"/>
      <c r="H4" s="261"/>
      <c r="I4" s="261"/>
      <c r="J4" s="261"/>
      <c r="K4" s="261"/>
      <c r="L4" s="261"/>
      <c r="M4" s="249"/>
      <c r="N4" s="11" t="str">
        <f>'[30]Contact Information'!$C$3</f>
        <v>2015.v02</v>
      </c>
    </row>
    <row r="5" spans="1:14">
      <c r="A5" s="12"/>
      <c r="B5" s="13"/>
      <c r="C5" s="14"/>
      <c r="D5" s="14"/>
      <c r="E5" s="14"/>
      <c r="F5" s="14"/>
      <c r="G5" s="14"/>
      <c r="H5" s="14"/>
      <c r="I5" s="15"/>
      <c r="J5" s="16"/>
      <c r="K5" s="17"/>
      <c r="L5" s="16"/>
      <c r="M5" s="16"/>
      <c r="N5" s="18"/>
    </row>
    <row r="6" spans="1:14">
      <c r="C6" s="14"/>
      <c r="D6" s="14"/>
      <c r="E6" s="14"/>
      <c r="F6" s="14"/>
      <c r="G6" s="14"/>
      <c r="H6" s="14"/>
      <c r="I6" s="15"/>
      <c r="J6" s="249" t="s">
        <v>5</v>
      </c>
      <c r="K6" s="21"/>
      <c r="L6" s="22" t="s">
        <v>6</v>
      </c>
      <c r="M6" s="22" t="s">
        <v>7</v>
      </c>
      <c r="N6" s="23"/>
    </row>
    <row r="7" spans="1:14">
      <c r="C7" s="14"/>
      <c r="D7" s="14"/>
      <c r="E7" s="14"/>
      <c r="F7" s="14"/>
      <c r="G7" s="14"/>
      <c r="H7" s="14"/>
      <c r="I7" s="15"/>
      <c r="J7" s="24"/>
      <c r="K7" s="25"/>
      <c r="L7" s="26" t="str">
        <f>[30]SNP!$M$9</f>
        <v>Unit</v>
      </c>
      <c r="M7" s="26"/>
      <c r="N7" s="27"/>
    </row>
    <row r="8" spans="1:14">
      <c r="C8" s="29" t="s">
        <v>9</v>
      </c>
      <c r="D8" s="14"/>
      <c r="E8" s="14"/>
      <c r="F8" s="14"/>
      <c r="G8" s="14"/>
      <c r="H8" s="14"/>
      <c r="I8" s="15"/>
      <c r="J8" s="25"/>
      <c r="K8" s="25"/>
      <c r="L8" s="25"/>
      <c r="M8" s="25"/>
      <c r="N8" s="30"/>
    </row>
    <row r="9" spans="1:14">
      <c r="A9" s="32" t="s">
        <v>10</v>
      </c>
      <c r="B9" s="33" t="s">
        <v>11</v>
      </c>
      <c r="C9" s="14" t="s">
        <v>12</v>
      </c>
      <c r="D9" s="14"/>
      <c r="E9" s="14"/>
      <c r="F9" s="14"/>
      <c r="G9" s="14"/>
      <c r="H9" s="14"/>
      <c r="I9" s="15"/>
      <c r="J9" s="17"/>
      <c r="K9" s="17"/>
      <c r="L9" s="17"/>
      <c r="M9" s="17"/>
      <c r="N9" s="18"/>
    </row>
    <row r="10" spans="1:14">
      <c r="B10" s="34"/>
      <c r="C10" s="35"/>
      <c r="D10" s="36" t="s">
        <v>14</v>
      </c>
      <c r="E10" s="14"/>
      <c r="F10" s="14"/>
      <c r="G10" s="14"/>
      <c r="H10" s="14"/>
      <c r="I10" s="35"/>
      <c r="J10" s="35"/>
      <c r="K10" s="17"/>
      <c r="L10" s="35"/>
      <c r="M10" s="35"/>
      <c r="N10" s="37"/>
    </row>
    <row r="11" spans="1:14">
      <c r="A11" s="1" t="s">
        <v>17</v>
      </c>
      <c r="B11" s="34" t="s">
        <v>18</v>
      </c>
      <c r="C11" s="35"/>
      <c r="D11" s="44" t="s">
        <v>19</v>
      </c>
      <c r="E11" s="35"/>
      <c r="F11" s="263">
        <v>3151277.9</v>
      </c>
      <c r="G11" s="263"/>
      <c r="H11" s="45"/>
      <c r="I11" s="36"/>
      <c r="J11" s="228">
        <f>2175209.8+0.4</f>
        <v>2175210.1999999997</v>
      </c>
      <c r="K11" s="229"/>
      <c r="L11" s="228">
        <v>0</v>
      </c>
      <c r="M11" s="228">
        <f>ROUND(L11,0)+ROUND(J11,0)</f>
        <v>2175210</v>
      </c>
      <c r="N11" s="46"/>
    </row>
    <row r="12" spans="1:14">
      <c r="A12" s="1" t="s">
        <v>20</v>
      </c>
      <c r="B12" s="34" t="s">
        <v>21</v>
      </c>
      <c r="C12" s="35"/>
      <c r="D12" s="36" t="s">
        <v>22</v>
      </c>
      <c r="E12" s="14"/>
      <c r="F12" s="48"/>
      <c r="G12" s="49"/>
      <c r="H12" s="15"/>
      <c r="I12" s="35"/>
      <c r="J12" s="50">
        <v>156213.32</v>
      </c>
      <c r="K12" s="230"/>
      <c r="L12" s="50">
        <v>0</v>
      </c>
      <c r="M12" s="50">
        <f>ROUND(L12,0)+ROUND(J12,0)</f>
        <v>156213</v>
      </c>
      <c r="N12" s="51"/>
    </row>
    <row r="13" spans="1:14">
      <c r="A13" s="1" t="s">
        <v>23</v>
      </c>
      <c r="B13" s="34" t="s">
        <v>21</v>
      </c>
      <c r="C13" s="35"/>
      <c r="D13" s="36" t="s">
        <v>24</v>
      </c>
      <c r="E13" s="14"/>
      <c r="F13" s="48"/>
      <c r="G13" s="48"/>
      <c r="H13" s="14"/>
      <c r="I13" s="35"/>
      <c r="J13" s="50">
        <v>18000</v>
      </c>
      <c r="K13" s="230"/>
      <c r="L13" s="50">
        <v>0</v>
      </c>
      <c r="M13" s="50">
        <f>ROUND(L13,0)+ROUND(J13,0)</f>
        <v>18000</v>
      </c>
      <c r="N13" s="51"/>
    </row>
    <row r="14" spans="1:14">
      <c r="A14" s="1" t="s">
        <v>25</v>
      </c>
      <c r="B14" s="34" t="s">
        <v>21</v>
      </c>
      <c r="C14" s="35"/>
      <c r="D14" s="36" t="s">
        <v>26</v>
      </c>
      <c r="E14" s="14"/>
      <c r="F14" s="48"/>
      <c r="G14" s="48"/>
      <c r="H14" s="14"/>
      <c r="I14" s="35"/>
      <c r="J14" s="50">
        <v>32666.94</v>
      </c>
      <c r="K14" s="230"/>
      <c r="L14" s="50">
        <v>0</v>
      </c>
      <c r="M14" s="50">
        <f>ROUND(L14,0)+ROUND(J14,0)</f>
        <v>32667</v>
      </c>
      <c r="N14" s="51"/>
    </row>
    <row r="15" spans="1:14">
      <c r="A15" s="1" t="s">
        <v>27</v>
      </c>
      <c r="B15" s="34" t="s">
        <v>18</v>
      </c>
      <c r="C15" s="35"/>
      <c r="D15" s="36" t="s">
        <v>28</v>
      </c>
      <c r="E15" s="14"/>
      <c r="F15" s="48"/>
      <c r="G15" s="48"/>
      <c r="H15" s="35"/>
      <c r="I15" s="35"/>
      <c r="J15" s="50">
        <v>458196.15</v>
      </c>
      <c r="K15" s="230"/>
      <c r="L15" s="50">
        <v>0</v>
      </c>
      <c r="M15" s="50">
        <f>ROUND(L15,0)+ROUND(J15,0)</f>
        <v>458196</v>
      </c>
      <c r="N15" s="51"/>
    </row>
    <row r="16" spans="1:14">
      <c r="A16" s="52"/>
      <c r="B16" s="53"/>
      <c r="C16" s="35"/>
      <c r="D16" s="36" t="s">
        <v>29</v>
      </c>
      <c r="E16" s="14"/>
      <c r="F16" s="54"/>
      <c r="G16" s="49"/>
      <c r="H16" s="55"/>
      <c r="I16" s="35"/>
      <c r="J16" s="35"/>
      <c r="K16" s="230"/>
      <c r="L16" s="35"/>
      <c r="M16" s="35"/>
      <c r="N16" s="37"/>
    </row>
    <row r="17" spans="1:14">
      <c r="A17" s="52" t="s">
        <v>30</v>
      </c>
      <c r="B17" s="53" t="s">
        <v>18</v>
      </c>
      <c r="C17" s="35"/>
      <c r="D17" s="44" t="s">
        <v>19</v>
      </c>
      <c r="E17" s="35"/>
      <c r="F17" s="263">
        <v>0</v>
      </c>
      <c r="G17" s="263"/>
      <c r="H17" s="55"/>
      <c r="I17" s="35"/>
      <c r="J17" s="50">
        <v>1523777.15</v>
      </c>
      <c r="K17" s="230"/>
      <c r="L17" s="50">
        <v>0</v>
      </c>
      <c r="M17" s="50">
        <f>ROUND(L17,0)+ROUND(J17,0)</f>
        <v>1523777</v>
      </c>
      <c r="N17" s="51"/>
    </row>
    <row r="18" spans="1:14">
      <c r="A18" s="52" t="s">
        <v>31</v>
      </c>
      <c r="B18" s="56" t="s">
        <v>32</v>
      </c>
      <c r="C18" s="35"/>
      <c r="D18" s="57" t="s">
        <v>33</v>
      </c>
      <c r="E18" s="14"/>
      <c r="F18" s="14"/>
      <c r="G18" s="14"/>
      <c r="H18" s="14"/>
      <c r="I18" s="36"/>
      <c r="J18" s="58">
        <f>42038.98-0.33</f>
        <v>42038.65</v>
      </c>
      <c r="K18" s="230"/>
      <c r="L18" s="58">
        <v>268140</v>
      </c>
      <c r="M18" s="58">
        <f>ROUND(L18,0)+ROUND(J18,0)</f>
        <v>310179</v>
      </c>
      <c r="N18" s="51"/>
    </row>
    <row r="19" spans="1:14">
      <c r="A19" s="52"/>
      <c r="B19" s="56"/>
      <c r="C19" s="36"/>
      <c r="D19" s="36"/>
      <c r="E19" s="36"/>
      <c r="F19" s="36"/>
      <c r="G19" s="36"/>
      <c r="H19" s="59"/>
      <c r="I19" s="59"/>
      <c r="J19" s="59"/>
      <c r="K19" s="60"/>
      <c r="L19" s="60"/>
      <c r="M19" s="60"/>
      <c r="N19" s="61"/>
    </row>
    <row r="20" spans="1:14">
      <c r="A20" s="52" t="s">
        <v>34</v>
      </c>
      <c r="B20" s="56"/>
      <c r="C20" s="35"/>
      <c r="D20" s="65" t="s">
        <v>35</v>
      </c>
      <c r="E20" s="35"/>
      <c r="F20" s="14"/>
      <c r="G20" s="14"/>
      <c r="H20" s="14"/>
      <c r="I20" s="15"/>
      <c r="J20" s="66">
        <f t="array" ref="J20">SUM(ROUND(J11:J18,0))</f>
        <v>4406102</v>
      </c>
      <c r="K20" s="67"/>
      <c r="L20" s="66">
        <f t="array" ref="L20">SUM(ROUND(L11:L18,0))</f>
        <v>268140</v>
      </c>
      <c r="M20" s="66">
        <f t="array" ref="M20">SUM(ROUND(M11:M18,0))</f>
        <v>4674242</v>
      </c>
      <c r="N20" s="68"/>
    </row>
    <row r="21" spans="1:14">
      <c r="A21" s="52"/>
      <c r="B21" s="56"/>
      <c r="C21" s="14"/>
      <c r="D21" s="14"/>
      <c r="E21" s="14"/>
      <c r="F21" s="14"/>
      <c r="G21" s="14"/>
      <c r="H21" s="14"/>
      <c r="I21" s="15"/>
      <c r="J21" s="17"/>
      <c r="K21" s="17"/>
      <c r="L21" s="17"/>
      <c r="M21" s="17"/>
      <c r="N21" s="18"/>
    </row>
    <row r="22" spans="1:14">
      <c r="A22" s="70"/>
      <c r="B22" s="71"/>
      <c r="C22" s="29" t="s">
        <v>36</v>
      </c>
      <c r="D22" s="14"/>
      <c r="E22" s="14"/>
      <c r="F22" s="14"/>
      <c r="G22" s="14"/>
      <c r="H22" s="14"/>
      <c r="I22" s="15"/>
      <c r="J22" s="16"/>
      <c r="K22" s="17"/>
      <c r="L22" s="16"/>
      <c r="M22" s="16"/>
      <c r="N22" s="18"/>
    </row>
    <row r="23" spans="1:14">
      <c r="A23" s="52"/>
      <c r="B23" s="53"/>
      <c r="C23" s="14" t="s">
        <v>37</v>
      </c>
      <c r="D23" s="14"/>
      <c r="E23" s="14"/>
      <c r="F23" s="14"/>
      <c r="G23" s="35"/>
      <c r="H23" s="14"/>
      <c r="I23" s="15"/>
      <c r="J23" s="16"/>
      <c r="K23" s="17"/>
      <c r="L23" s="16"/>
      <c r="M23" s="16"/>
      <c r="N23" s="18"/>
    </row>
    <row r="24" spans="1:14">
      <c r="A24" s="12" t="s">
        <v>38</v>
      </c>
      <c r="B24" s="72" t="s">
        <v>39</v>
      </c>
      <c r="C24" s="44"/>
      <c r="D24" s="36" t="s">
        <v>40</v>
      </c>
      <c r="E24" s="14"/>
      <c r="F24" s="14"/>
      <c r="G24" s="35"/>
      <c r="H24" s="14"/>
      <c r="I24" s="15"/>
      <c r="J24" s="50">
        <v>18699153.199999999</v>
      </c>
      <c r="K24" s="230"/>
      <c r="L24" s="50">
        <v>0</v>
      </c>
      <c r="M24" s="50">
        <f t="shared" ref="M24:M30" si="0">ROUND(L24,0)+ROUND(J24,0)</f>
        <v>18699153</v>
      </c>
      <c r="N24" s="51"/>
    </row>
    <row r="25" spans="1:14">
      <c r="A25" s="1" t="s">
        <v>41</v>
      </c>
      <c r="B25" s="72" t="s">
        <v>39</v>
      </c>
      <c r="C25" s="44"/>
      <c r="D25" s="36" t="s">
        <v>42</v>
      </c>
      <c r="E25" s="14"/>
      <c r="F25" s="14"/>
      <c r="G25" s="35"/>
      <c r="H25" s="14"/>
      <c r="I25" s="15"/>
      <c r="J25" s="50">
        <v>3087224.04</v>
      </c>
      <c r="K25" s="230"/>
      <c r="L25" s="50">
        <v>710544</v>
      </c>
      <c r="M25" s="50">
        <f t="shared" si="0"/>
        <v>3797768</v>
      </c>
      <c r="N25" s="51"/>
    </row>
    <row r="26" spans="1:14">
      <c r="A26" s="12" t="s">
        <v>43</v>
      </c>
      <c r="B26" s="34" t="s">
        <v>39</v>
      </c>
      <c r="C26" s="44"/>
      <c r="D26" s="36" t="s">
        <v>44</v>
      </c>
      <c r="E26" s="14"/>
      <c r="F26" s="14"/>
      <c r="G26" s="35"/>
      <c r="H26" s="14"/>
      <c r="I26" s="15"/>
      <c r="J26" s="50">
        <v>1506074.89</v>
      </c>
      <c r="K26" s="230"/>
      <c r="L26" s="50">
        <v>0</v>
      </c>
      <c r="M26" s="50">
        <f t="shared" si="0"/>
        <v>1506075</v>
      </c>
      <c r="N26" s="51"/>
    </row>
    <row r="27" spans="1:14">
      <c r="A27" s="1" t="s">
        <v>45</v>
      </c>
      <c r="B27" s="72" t="s">
        <v>39</v>
      </c>
      <c r="C27" s="44"/>
      <c r="D27" s="36" t="s">
        <v>46</v>
      </c>
      <c r="E27" s="14"/>
      <c r="F27" s="14"/>
      <c r="G27" s="35"/>
      <c r="H27" s="14"/>
      <c r="I27" s="15"/>
      <c r="J27" s="50">
        <f>1722476.41+984</f>
        <v>1723460.41</v>
      </c>
      <c r="K27" s="230"/>
      <c r="L27" s="50">
        <v>0</v>
      </c>
      <c r="M27" s="50">
        <f t="shared" si="0"/>
        <v>1723460</v>
      </c>
      <c r="N27" s="51"/>
    </row>
    <row r="28" spans="1:14">
      <c r="A28" s="12" t="s">
        <v>47</v>
      </c>
      <c r="B28" s="34" t="s">
        <v>39</v>
      </c>
      <c r="C28" s="44"/>
      <c r="D28" s="36" t="s">
        <v>48</v>
      </c>
      <c r="E28" s="14"/>
      <c r="F28" s="14"/>
      <c r="G28" s="35"/>
      <c r="H28" s="14"/>
      <c r="I28" s="15"/>
      <c r="J28" s="50">
        <v>2637938.08</v>
      </c>
      <c r="K28" s="230"/>
      <c r="L28" s="50">
        <v>544397</v>
      </c>
      <c r="M28" s="50">
        <f t="shared" si="0"/>
        <v>3182335</v>
      </c>
      <c r="N28" s="51"/>
    </row>
    <row r="29" spans="1:14">
      <c r="A29" s="1" t="s">
        <v>49</v>
      </c>
      <c r="B29" s="34" t="s">
        <v>39</v>
      </c>
      <c r="C29" s="44"/>
      <c r="D29" s="36" t="s">
        <v>50</v>
      </c>
      <c r="E29" s="14"/>
      <c r="F29" s="14"/>
      <c r="G29" s="35"/>
      <c r="H29" s="14"/>
      <c r="I29" s="15"/>
      <c r="J29" s="50">
        <f>1930189.16+0.35</f>
        <v>1930189.51</v>
      </c>
      <c r="K29" s="230"/>
      <c r="L29" s="50">
        <v>307282</v>
      </c>
      <c r="M29" s="50">
        <f t="shared" si="0"/>
        <v>2237472</v>
      </c>
      <c r="N29" s="51"/>
    </row>
    <row r="30" spans="1:14">
      <c r="A30" s="12" t="s">
        <v>51</v>
      </c>
      <c r="B30" s="72" t="s">
        <v>52</v>
      </c>
      <c r="C30" s="44"/>
      <c r="D30" s="36" t="s">
        <v>53</v>
      </c>
      <c r="E30" s="14"/>
      <c r="F30" s="14"/>
      <c r="G30" s="35"/>
      <c r="H30" s="14"/>
      <c r="I30" s="15"/>
      <c r="J30" s="231">
        <f>'[30]Accounts by GL'!O481</f>
        <v>2426455.16</v>
      </c>
      <c r="K30" s="230"/>
      <c r="L30" s="58">
        <v>34752</v>
      </c>
      <c r="M30" s="58">
        <f t="shared" si="0"/>
        <v>2461207</v>
      </c>
      <c r="N30" s="51"/>
    </row>
    <row r="31" spans="1:14">
      <c r="B31" s="72"/>
      <c r="C31" s="44"/>
      <c r="D31" s="36"/>
      <c r="E31" s="14"/>
      <c r="F31" s="14"/>
      <c r="G31" s="35"/>
      <c r="H31" s="14"/>
      <c r="I31" s="15"/>
      <c r="J31" s="73"/>
      <c r="K31" s="73"/>
      <c r="L31" s="73"/>
      <c r="M31" s="73"/>
      <c r="N31" s="74"/>
    </row>
    <row r="32" spans="1:14">
      <c r="A32" s="1" t="s">
        <v>54</v>
      </c>
      <c r="B32" s="72"/>
      <c r="C32" s="14"/>
      <c r="D32" s="65" t="s">
        <v>55</v>
      </c>
      <c r="E32" s="35"/>
      <c r="F32" s="14"/>
      <c r="G32" s="14"/>
      <c r="H32" s="14"/>
      <c r="I32" s="15"/>
      <c r="J32" s="66">
        <f t="array" ref="J32">SUM(ROUND(J24:J30,0))</f>
        <v>32010495</v>
      </c>
      <c r="K32" s="59"/>
      <c r="L32" s="66">
        <f t="array" ref="L32">SUM(ROUND(L24:L30,0))</f>
        <v>1596975</v>
      </c>
      <c r="M32" s="66">
        <f t="array" ref="M32">SUM(ROUND(M24:M30,0))</f>
        <v>33607470</v>
      </c>
      <c r="N32" s="68"/>
    </row>
    <row r="33" spans="1:14">
      <c r="A33" s="12"/>
      <c r="B33" s="72"/>
      <c r="C33" s="44"/>
      <c r="D33" s="76"/>
      <c r="E33" s="14"/>
      <c r="F33" s="14"/>
      <c r="G33" s="35"/>
      <c r="H33" s="14"/>
      <c r="I33" s="15"/>
      <c r="J33" s="59"/>
      <c r="K33" s="59"/>
      <c r="L33" s="59"/>
      <c r="M33" s="59"/>
      <c r="N33" s="77"/>
    </row>
    <row r="34" spans="1:14">
      <c r="B34" s="72"/>
      <c r="C34" s="14"/>
      <c r="D34" s="65" t="str">
        <f>IF(J34&lt;0,IF(L34&gt;0,"Operating Income (Loss)","Operating Loss"),IF(J34&gt;0,IF(L34&gt;=0,"Operating Income","Operating Income (Loss)"),IF(L34&lt;0,"Operating Loss",IF(L34&gt;0,"Operating Income","Operating Income (Loss)"))))</f>
        <v>Operating Loss</v>
      </c>
      <c r="E34" s="35"/>
      <c r="F34" s="14"/>
      <c r="G34" s="14"/>
      <c r="H34" s="14"/>
      <c r="I34" s="15"/>
      <c r="J34" s="66">
        <f>J20-J32</f>
        <v>-27604393</v>
      </c>
      <c r="K34" s="67"/>
      <c r="L34" s="66">
        <f>L20-L32</f>
        <v>-1328835</v>
      </c>
      <c r="M34" s="66">
        <f>M20-M32</f>
        <v>-28933228</v>
      </c>
      <c r="N34" s="68"/>
    </row>
    <row r="35" spans="1:14">
      <c r="A35" s="12"/>
      <c r="B35" s="72"/>
      <c r="C35" s="14"/>
      <c r="D35" s="14"/>
      <c r="E35" s="14"/>
      <c r="F35" s="14"/>
      <c r="G35" s="14"/>
      <c r="H35" s="14"/>
      <c r="I35" s="15"/>
      <c r="J35" s="78"/>
      <c r="K35" s="78"/>
      <c r="L35" s="78"/>
      <c r="M35" s="78"/>
      <c r="N35" s="79"/>
    </row>
    <row r="36" spans="1:14">
      <c r="B36" s="72"/>
      <c r="C36" s="29" t="s">
        <v>56</v>
      </c>
      <c r="D36" s="35"/>
      <c r="E36" s="14"/>
      <c r="F36" s="14"/>
      <c r="G36" s="14"/>
      <c r="H36" s="14"/>
      <c r="I36" s="15"/>
      <c r="J36" s="16"/>
      <c r="K36" s="17"/>
      <c r="L36" s="16"/>
      <c r="M36" s="16"/>
      <c r="N36" s="18"/>
    </row>
    <row r="37" spans="1:14">
      <c r="A37" s="12" t="s">
        <v>57</v>
      </c>
      <c r="B37" s="72" t="s">
        <v>58</v>
      </c>
      <c r="C37" s="36" t="s">
        <v>59</v>
      </c>
      <c r="D37" s="35"/>
      <c r="E37" s="14"/>
      <c r="F37" s="14"/>
      <c r="G37" s="35"/>
      <c r="H37" s="14"/>
      <c r="I37" s="15"/>
      <c r="J37" s="80">
        <v>16144076.220000001</v>
      </c>
      <c r="K37" s="49"/>
      <c r="L37" s="80">
        <v>0</v>
      </c>
      <c r="M37" s="80">
        <f t="shared" ref="M37:M45" si="1">ROUND(L37,0)+ROUND(J37,0)</f>
        <v>16144076</v>
      </c>
      <c r="N37" s="81"/>
    </row>
    <row r="38" spans="1:14">
      <c r="A38" s="1" t="s">
        <v>60</v>
      </c>
      <c r="B38" s="72" t="s">
        <v>21</v>
      </c>
      <c r="C38" s="36" t="s">
        <v>61</v>
      </c>
      <c r="D38" s="35"/>
      <c r="E38" s="14"/>
      <c r="F38" s="14"/>
      <c r="G38" s="35"/>
      <c r="H38" s="14"/>
      <c r="I38" s="15"/>
      <c r="J38" s="80">
        <v>5813535.7000000002</v>
      </c>
      <c r="K38" s="49"/>
      <c r="L38" s="80">
        <v>0</v>
      </c>
      <c r="M38" s="80">
        <f t="shared" si="1"/>
        <v>5813536</v>
      </c>
      <c r="N38" s="81"/>
    </row>
    <row r="39" spans="1:14">
      <c r="A39" s="12" t="s">
        <v>62</v>
      </c>
      <c r="B39" s="72" t="s">
        <v>21</v>
      </c>
      <c r="C39" s="36" t="s">
        <v>63</v>
      </c>
      <c r="D39" s="35"/>
      <c r="E39" s="14"/>
      <c r="F39" s="14"/>
      <c r="G39" s="35"/>
      <c r="H39" s="14"/>
      <c r="I39" s="15"/>
      <c r="J39" s="80">
        <v>2779678.23</v>
      </c>
      <c r="K39" s="49"/>
      <c r="L39" s="80">
        <v>1111088</v>
      </c>
      <c r="M39" s="80">
        <f t="shared" si="1"/>
        <v>3890766</v>
      </c>
      <c r="N39" s="81"/>
    </row>
    <row r="40" spans="1:14">
      <c r="A40" s="1" t="s">
        <v>64</v>
      </c>
      <c r="B40" s="72" t="s">
        <v>65</v>
      </c>
      <c r="C40" s="36" t="s">
        <v>66</v>
      </c>
      <c r="D40" s="35"/>
      <c r="E40" s="14"/>
      <c r="F40" s="14"/>
      <c r="G40" s="35"/>
      <c r="H40" s="14"/>
      <c r="I40" s="15"/>
      <c r="J40" s="80">
        <v>15976.53</v>
      </c>
      <c r="K40" s="49"/>
      <c r="L40" s="80">
        <v>545299</v>
      </c>
      <c r="M40" s="80">
        <f t="shared" si="1"/>
        <v>561276</v>
      </c>
      <c r="N40" s="81"/>
    </row>
    <row r="41" spans="1:14">
      <c r="A41" s="12" t="s">
        <v>67</v>
      </c>
      <c r="B41" s="72" t="s">
        <v>65</v>
      </c>
      <c r="C41" s="36" t="str">
        <f>IF(J41&lt;0,IF(L41&gt;0,"Net Gain (Loss) on Investments","Net Loss on Investments"),IF(J41&gt;0,IF(L41&gt;=0,"Net Gain on Investments","Net Gain (Loss) on Investments"),IF(L41&lt;0,"Net Loss on Investments",IF(L41&gt;0,"Net Gain on Investments","Net Gain (Loss) on Investments"))))</f>
        <v>Net Gain (Loss) on Investments</v>
      </c>
      <c r="D41" s="35"/>
      <c r="E41" s="14"/>
      <c r="F41" s="14"/>
      <c r="G41" s="35"/>
      <c r="H41" s="14"/>
      <c r="I41" s="15"/>
      <c r="J41" s="80">
        <v>0</v>
      </c>
      <c r="K41" s="49"/>
      <c r="L41" s="80">
        <v>0</v>
      </c>
      <c r="M41" s="80">
        <f t="shared" si="1"/>
        <v>0</v>
      </c>
      <c r="N41" s="81"/>
    </row>
    <row r="42" spans="1:14">
      <c r="A42" s="1" t="s">
        <v>68</v>
      </c>
      <c r="B42" s="72" t="s">
        <v>32</v>
      </c>
      <c r="C42" s="36" t="s">
        <v>69</v>
      </c>
      <c r="D42" s="35"/>
      <c r="E42" s="14"/>
      <c r="F42" s="14"/>
      <c r="G42" s="35"/>
      <c r="H42" s="14"/>
      <c r="I42" s="15"/>
      <c r="J42" s="80">
        <v>3802.39</v>
      </c>
      <c r="K42" s="49"/>
      <c r="L42" s="80">
        <v>399</v>
      </c>
      <c r="M42" s="80">
        <f t="shared" si="1"/>
        <v>4201</v>
      </c>
      <c r="N42" s="81"/>
    </row>
    <row r="43" spans="1:14">
      <c r="A43" s="12" t="s">
        <v>70</v>
      </c>
      <c r="B43" s="72" t="s">
        <v>71</v>
      </c>
      <c r="C43" s="36" t="str">
        <f>IF(J43&lt;0,IF(L43&gt;0,"Gain (Loss) on Disposal of Capital Assets","Loss on Disposal of Capital Assets"),IF(J43&gt;0,IF(L43&gt;=0,"Gain on Disposal of Capital Assets","Gain (Loss) on Disposal of Capital Assets"),IF(L43&lt;0,"Loss on Disposal of Capital Assets",IF(L43&gt;0,"Gain on Disposal of Capital Assets","Gain (Loss) on Disposal of Capital Assets"))))</f>
        <v>Loss on Disposal of Capital Assets</v>
      </c>
      <c r="D43" s="35"/>
      <c r="E43" s="14"/>
      <c r="F43" s="14"/>
      <c r="G43" s="35"/>
      <c r="H43" s="14"/>
      <c r="I43" s="15"/>
      <c r="J43" s="80">
        <v>-31109.86</v>
      </c>
      <c r="K43" s="49"/>
      <c r="L43" s="80">
        <v>0</v>
      </c>
      <c r="M43" s="80">
        <f t="shared" si="1"/>
        <v>-31110</v>
      </c>
      <c r="N43" s="81"/>
    </row>
    <row r="44" spans="1:14">
      <c r="A44" s="1" t="s">
        <v>72</v>
      </c>
      <c r="B44" s="72" t="s">
        <v>39</v>
      </c>
      <c r="C44" s="36" t="s">
        <v>73</v>
      </c>
      <c r="D44" s="35"/>
      <c r="E44" s="35"/>
      <c r="F44" s="35"/>
      <c r="G44" s="35"/>
      <c r="H44" s="35"/>
      <c r="I44" s="35"/>
      <c r="J44" s="80">
        <v>0</v>
      </c>
      <c r="K44" s="49"/>
      <c r="L44" s="80">
        <v>0</v>
      </c>
      <c r="M44" s="80">
        <f t="shared" si="1"/>
        <v>0</v>
      </c>
      <c r="N44" s="81"/>
    </row>
    <row r="45" spans="1:14">
      <c r="A45" s="12" t="s">
        <v>74</v>
      </c>
      <c r="B45" s="72" t="s">
        <v>39</v>
      </c>
      <c r="C45" s="36" t="s">
        <v>75</v>
      </c>
      <c r="D45" s="35"/>
      <c r="E45" s="14"/>
      <c r="F45" s="14"/>
      <c r="G45" s="35"/>
      <c r="H45" s="14"/>
      <c r="I45" s="15"/>
      <c r="J45" s="82">
        <v>0</v>
      </c>
      <c r="K45" s="49"/>
      <c r="L45" s="82">
        <v>0</v>
      </c>
      <c r="M45" s="82">
        <f t="shared" si="1"/>
        <v>0</v>
      </c>
      <c r="N45" s="81"/>
    </row>
    <row r="46" spans="1:14">
      <c r="B46" s="72"/>
      <c r="C46" s="35"/>
      <c r="D46" s="35"/>
      <c r="E46" s="35"/>
      <c r="F46" s="35"/>
      <c r="G46" s="35"/>
      <c r="H46" s="35"/>
      <c r="I46" s="35"/>
      <c r="J46" s="83"/>
      <c r="K46" s="84"/>
      <c r="L46" s="83"/>
      <c r="M46" s="83"/>
      <c r="N46" s="85"/>
    </row>
    <row r="47" spans="1:14">
      <c r="A47" s="52" t="s">
        <v>76</v>
      </c>
      <c r="B47" s="53"/>
      <c r="C47" s="29" t="s">
        <v>77</v>
      </c>
      <c r="D47" s="35"/>
      <c r="E47" s="14"/>
      <c r="F47" s="14"/>
      <c r="G47" s="14"/>
      <c r="H47" s="14"/>
      <c r="I47" s="15"/>
      <c r="J47" s="66">
        <f t="array" ref="J47">SUM(ROUND(J37:J45,0))</f>
        <v>24725959</v>
      </c>
      <c r="K47" s="59"/>
      <c r="L47" s="66">
        <f t="array" ref="L47">SUM(ROUND(L37:L45,0))</f>
        <v>1656786</v>
      </c>
      <c r="M47" s="66">
        <f t="array" ref="M47">SUM(ROUND(M37:M45,0))</f>
        <v>26382745</v>
      </c>
      <c r="N47" s="68"/>
    </row>
    <row r="48" spans="1:14">
      <c r="A48" s="52"/>
      <c r="B48" s="53"/>
      <c r="C48" s="86"/>
      <c r="D48" s="87"/>
      <c r="E48" s="15"/>
      <c r="F48" s="15"/>
      <c r="G48" s="15"/>
      <c r="H48" s="15"/>
      <c r="I48" s="15"/>
      <c r="J48" s="59"/>
      <c r="K48" s="59"/>
      <c r="L48" s="59"/>
      <c r="M48" s="59"/>
      <c r="N48" s="77"/>
    </row>
    <row r="49" spans="1:14">
      <c r="A49" s="52"/>
      <c r="B49" s="53"/>
      <c r="C49" s="65" t="str">
        <f>IF(J50&lt;0,IF(L50&gt;0,"Income (Loss) Before Other Revenues,","Loss Before Other Revenues,"),IF(J50&gt;0,IF(L50&gt;=0,"Income Before Other Revenues,","Income (Loss) Before Other Revenues,"),IF(L59&lt;0,"Loss Before Other Revenues,",IF(L59&gt;0,"Income Before Other Revenues,","Income (Loss) Before Other Revenues,"))))</f>
        <v>Income (Loss) Before Other Revenues,</v>
      </c>
      <c r="D49" s="35"/>
      <c r="E49" s="35"/>
      <c r="F49" s="14"/>
      <c r="G49" s="14"/>
      <c r="H49" s="14"/>
      <c r="I49" s="15"/>
      <c r="J49" s="35"/>
      <c r="K49" s="35"/>
      <c r="L49" s="35"/>
      <c r="M49" s="35"/>
      <c r="N49" s="37"/>
    </row>
    <row r="50" spans="1:14">
      <c r="A50" s="52"/>
      <c r="B50" s="53"/>
      <c r="C50" s="14"/>
      <c r="D50" s="29" t="s">
        <v>78</v>
      </c>
      <c r="E50" s="14"/>
      <c r="F50" s="14"/>
      <c r="G50" s="14"/>
      <c r="H50" s="14"/>
      <c r="I50" s="15"/>
      <c r="J50" s="66">
        <f>J34+J47</f>
        <v>-2878434</v>
      </c>
      <c r="K50" s="59"/>
      <c r="L50" s="66">
        <f>L34+L47</f>
        <v>327951</v>
      </c>
      <c r="M50" s="66">
        <f>M34+M47</f>
        <v>-2550483</v>
      </c>
      <c r="N50" s="68"/>
    </row>
    <row r="51" spans="1:14">
      <c r="A51" s="52"/>
      <c r="B51" s="53"/>
      <c r="C51" s="14"/>
      <c r="D51" s="29"/>
      <c r="E51" s="14"/>
      <c r="F51" s="14"/>
      <c r="G51" s="14"/>
      <c r="H51" s="14"/>
      <c r="I51" s="15"/>
      <c r="J51" s="17"/>
      <c r="K51" s="17"/>
      <c r="L51" s="17"/>
      <c r="M51" s="17"/>
      <c r="N51" s="18"/>
    </row>
    <row r="52" spans="1:14">
      <c r="A52" s="52" t="s">
        <v>79</v>
      </c>
      <c r="B52" s="53" t="s">
        <v>58</v>
      </c>
      <c r="C52" s="36" t="s">
        <v>80</v>
      </c>
      <c r="D52" s="35"/>
      <c r="E52" s="14"/>
      <c r="F52" s="14"/>
      <c r="G52" s="14"/>
      <c r="H52" s="35"/>
      <c r="I52" s="15"/>
      <c r="J52" s="80">
        <f>278886.11+984</f>
        <v>279870.11</v>
      </c>
      <c r="K52" s="49"/>
      <c r="L52" s="80">
        <v>0</v>
      </c>
      <c r="M52" s="80">
        <f>ROUND(L52,0)+ROUND(J52,0)</f>
        <v>279870</v>
      </c>
      <c r="N52" s="81"/>
    </row>
    <row r="53" spans="1:14">
      <c r="A53" s="52" t="s">
        <v>81</v>
      </c>
      <c r="B53" s="53" t="s">
        <v>82</v>
      </c>
      <c r="C53" s="36" t="s">
        <v>83</v>
      </c>
      <c r="D53" s="35"/>
      <c r="E53" s="14"/>
      <c r="F53" s="14"/>
      <c r="G53" s="14"/>
      <c r="H53" s="35"/>
      <c r="I53" s="15"/>
      <c r="J53" s="50">
        <v>357778.73</v>
      </c>
      <c r="K53" s="230"/>
      <c r="L53" s="50">
        <v>0</v>
      </c>
      <c r="M53" s="50">
        <f>ROUND(L53,0)+ROUND(J53,0)</f>
        <v>357779</v>
      </c>
      <c r="N53" s="51"/>
    </row>
    <row r="54" spans="1:14">
      <c r="A54" s="52" t="s">
        <v>84</v>
      </c>
      <c r="B54" s="53" t="s">
        <v>85</v>
      </c>
      <c r="C54" s="14" t="s">
        <v>86</v>
      </c>
      <c r="D54" s="35"/>
      <c r="E54" s="14"/>
      <c r="F54" s="14"/>
      <c r="G54" s="14"/>
      <c r="H54" s="35"/>
      <c r="I54" s="15"/>
      <c r="J54" s="89">
        <v>0</v>
      </c>
      <c r="K54" s="230"/>
      <c r="L54" s="89">
        <v>0</v>
      </c>
      <c r="M54" s="89">
        <f>ROUND(L54,0)+ROUND(J54,0)</f>
        <v>0</v>
      </c>
      <c r="N54" s="51"/>
    </row>
    <row r="55" spans="1:14">
      <c r="A55" s="52" t="s">
        <v>87</v>
      </c>
      <c r="B55" s="53" t="s">
        <v>85</v>
      </c>
      <c r="C55" s="76" t="str">
        <f>IF(J55&lt;0,IF(L55&gt;0,"Other Revenues (Expenses)","Other Expenses"),IF(J55&gt;0,IF(L55&gt;=0,"Other Revenues","Other Revenues (Expenses)"),IF(L55&lt;0,"Other Expenses",IF(L55&gt;0,"Other Revenues","Other Revenues (Expenses)"))))</f>
        <v>Other Revenues (Expenses)</v>
      </c>
      <c r="D55" s="35"/>
      <c r="E55" s="14"/>
      <c r="F55" s="14"/>
      <c r="G55" s="14"/>
      <c r="H55" s="35"/>
      <c r="I55" s="15"/>
      <c r="J55" s="58">
        <v>0</v>
      </c>
      <c r="K55" s="230"/>
      <c r="L55" s="58">
        <v>0</v>
      </c>
      <c r="M55" s="58">
        <f>ROUND(L55,0)+ROUND(J55,0)</f>
        <v>0</v>
      </c>
      <c r="N55" s="51"/>
    </row>
    <row r="56" spans="1:14">
      <c r="A56" s="52"/>
      <c r="B56" s="53"/>
      <c r="C56" s="35"/>
      <c r="D56" s="35"/>
      <c r="E56" s="14"/>
      <c r="F56" s="14"/>
      <c r="G56" s="14"/>
      <c r="H56" s="14"/>
      <c r="I56" s="15"/>
      <c r="J56" s="83"/>
      <c r="K56" s="84"/>
      <c r="L56" s="83"/>
      <c r="M56" s="83"/>
      <c r="N56" s="85"/>
    </row>
    <row r="57" spans="1:14">
      <c r="A57" s="70" t="s">
        <v>88</v>
      </c>
      <c r="B57" s="53"/>
      <c r="C57" s="29" t="s">
        <v>89</v>
      </c>
      <c r="D57" s="35"/>
      <c r="E57" s="35"/>
      <c r="F57" s="14"/>
      <c r="G57" s="14"/>
      <c r="H57" s="14"/>
      <c r="I57" s="15"/>
      <c r="J57" s="90">
        <f t="array" ref="J57">SUM(ROUND(J52:J55,0))</f>
        <v>637649</v>
      </c>
      <c r="K57" s="59"/>
      <c r="L57" s="90">
        <f t="array" ref="L57">SUM(ROUND(L52:L55,0))</f>
        <v>0</v>
      </c>
      <c r="M57" s="90">
        <f t="array" ref="M57">SUM(ROUND(M52:M55,0))</f>
        <v>637649</v>
      </c>
      <c r="N57" s="91"/>
    </row>
    <row r="58" spans="1:14">
      <c r="A58" s="52"/>
      <c r="B58" s="53"/>
      <c r="C58" s="29"/>
      <c r="D58" s="35"/>
      <c r="E58" s="35"/>
      <c r="F58" s="14"/>
      <c r="G58" s="14"/>
      <c r="H58" s="14"/>
      <c r="I58" s="15"/>
      <c r="J58" s="59"/>
      <c r="K58" s="59"/>
      <c r="L58" s="59"/>
      <c r="M58" s="59"/>
      <c r="N58" s="77"/>
    </row>
    <row r="59" spans="1:14">
      <c r="A59" s="70"/>
      <c r="B59" s="53"/>
      <c r="C59" s="65" t="str">
        <f>IF(J59&lt;0,IF(L59&gt;0,"Increase (Decrease) in Net Position","Decrease in Net Position"),IF(J59&gt;0,IF(L59&gt;=0,"Increase in Net Position","Increase (Decrease) in Net Position"),IF(L59&lt;0,"Decrease in Net Position",IF(L59&gt;0,"Increase in Net Position","Increase (Decrease) in Net Position"))))</f>
        <v>Increase (Decrease) in Net Position</v>
      </c>
      <c r="D59" s="35"/>
      <c r="E59" s="35"/>
      <c r="F59" s="14"/>
      <c r="G59" s="14"/>
      <c r="H59" s="14"/>
      <c r="I59" s="15"/>
      <c r="J59" s="90">
        <f>J50+J57</f>
        <v>-2240785</v>
      </c>
      <c r="K59" s="92"/>
      <c r="L59" s="90">
        <f>L50+L57</f>
        <v>327951</v>
      </c>
      <c r="M59" s="90">
        <f>M50+M57</f>
        <v>-1912834</v>
      </c>
      <c r="N59" s="91"/>
    </row>
    <row r="60" spans="1:14">
      <c r="A60" s="52"/>
      <c r="B60" s="53"/>
      <c r="C60" s="93"/>
      <c r="D60" s="35"/>
      <c r="E60" s="35"/>
      <c r="F60" s="14"/>
      <c r="G60" s="14"/>
      <c r="H60" s="14"/>
      <c r="I60" s="15"/>
      <c r="J60" s="94"/>
      <c r="K60" s="94"/>
      <c r="L60" s="94"/>
      <c r="M60" s="94"/>
      <c r="N60" s="95"/>
    </row>
    <row r="61" spans="1:14">
      <c r="A61" s="52" t="s">
        <v>90</v>
      </c>
      <c r="B61" s="53"/>
      <c r="C61" s="14" t="s">
        <v>91</v>
      </c>
      <c r="D61" s="35"/>
      <c r="E61" s="14"/>
      <c r="F61" s="14"/>
      <c r="G61" s="14"/>
      <c r="H61" s="14"/>
      <c r="I61" s="15"/>
      <c r="J61" s="96">
        <f>VLOOKUP($C$1,[30]VLOOKUPS!A44:D71,2,FALSE)</f>
        <v>69710424</v>
      </c>
      <c r="K61" s="49"/>
      <c r="L61" s="96">
        <f>VLOOKUP($C$1,[30]VLOOKUPS!A44:D71,3,FALSE)</f>
        <v>12079291</v>
      </c>
      <c r="M61" s="89">
        <f>ROUND(L61,0)+ROUND(J61,0)</f>
        <v>81789715</v>
      </c>
      <c r="N61" s="97"/>
    </row>
    <row r="62" spans="1:14">
      <c r="A62" s="52" t="s">
        <v>92</v>
      </c>
      <c r="B62" s="53" t="s">
        <v>93</v>
      </c>
      <c r="C62" s="14" t="s">
        <v>94</v>
      </c>
      <c r="D62" s="35"/>
      <c r="E62" s="14"/>
      <c r="F62" s="14"/>
      <c r="G62" s="14"/>
      <c r="H62" s="14"/>
      <c r="I62" s="15"/>
      <c r="J62" s="82">
        <v>-8373922</v>
      </c>
      <c r="K62" s="49"/>
      <c r="L62" s="82">
        <v>0</v>
      </c>
      <c r="M62" s="82">
        <f>ROUND(L62,0)+ROUND(J62,0)</f>
        <v>-8373922</v>
      </c>
      <c r="N62" s="81"/>
    </row>
    <row r="63" spans="1:14">
      <c r="A63" s="52"/>
      <c r="B63" s="53"/>
      <c r="C63" s="36"/>
      <c r="D63" s="36"/>
      <c r="E63" s="36"/>
      <c r="F63" s="36"/>
      <c r="G63" s="36"/>
      <c r="H63" s="98"/>
      <c r="I63" s="36"/>
      <c r="J63" s="92"/>
      <c r="K63" s="99"/>
      <c r="L63" s="99"/>
      <c r="M63" s="99"/>
      <c r="N63" s="100"/>
    </row>
    <row r="64" spans="1:14">
      <c r="A64" s="70"/>
      <c r="B64" s="53"/>
      <c r="C64" s="101" t="s">
        <v>95</v>
      </c>
      <c r="D64" s="36"/>
      <c r="E64" s="36"/>
      <c r="F64" s="36"/>
      <c r="G64" s="36"/>
      <c r="H64" s="60"/>
      <c r="I64" s="60"/>
      <c r="J64" s="90">
        <f t="array" ref="J64">SUM(ROUND(J61:J62,0))</f>
        <v>61336502</v>
      </c>
      <c r="K64" s="92"/>
      <c r="L64" s="90">
        <f t="array" ref="L64">SUM(ROUND(L61:L62,0))</f>
        <v>12079291</v>
      </c>
      <c r="M64" s="90">
        <f t="array" ref="M64">SUM(ROUND(M61:M62,0))</f>
        <v>73415793</v>
      </c>
      <c r="N64" s="91"/>
    </row>
    <row r="65" spans="1:14">
      <c r="A65" s="52"/>
      <c r="B65" s="53"/>
      <c r="C65" s="36"/>
      <c r="D65" s="36"/>
      <c r="E65" s="36"/>
      <c r="F65" s="36"/>
      <c r="G65" s="36"/>
      <c r="H65" s="102"/>
      <c r="I65" s="36"/>
      <c r="J65" s="102"/>
      <c r="K65" s="60"/>
      <c r="L65" s="60"/>
      <c r="M65" s="60"/>
      <c r="N65" s="61"/>
    </row>
    <row r="66" spans="1:14" ht="13.5" thickBot="1">
      <c r="A66" s="52"/>
      <c r="B66" s="53"/>
      <c r="C66" s="29" t="s">
        <v>96</v>
      </c>
      <c r="D66" s="35"/>
      <c r="E66" s="14"/>
      <c r="F66" s="14"/>
      <c r="G66" s="14"/>
      <c r="H66" s="14"/>
      <c r="I66" s="103"/>
      <c r="J66" s="104">
        <f>J59+J64</f>
        <v>59095717</v>
      </c>
      <c r="K66" s="105"/>
      <c r="L66" s="104">
        <f>L59+L64</f>
        <v>12407242</v>
      </c>
      <c r="M66" s="104">
        <f>M59+M64</f>
        <v>71502959</v>
      </c>
      <c r="N66" s="46"/>
    </row>
    <row r="67" spans="1:14" ht="13.5" thickTop="1">
      <c r="A67" s="70"/>
      <c r="B67" s="53"/>
      <c r="C67" s="14"/>
      <c r="D67" s="14"/>
      <c r="E67" s="14"/>
      <c r="F67" s="14"/>
      <c r="G67" s="14"/>
      <c r="H67" s="14"/>
      <c r="I67" s="15"/>
      <c r="J67" s="107"/>
      <c r="K67" s="15"/>
      <c r="L67" s="107"/>
      <c r="M67" s="107"/>
      <c r="N67" s="108"/>
    </row>
    <row r="68" spans="1:14">
      <c r="A68" s="52"/>
      <c r="B68" s="53"/>
      <c r="C68" s="35" t="s">
        <v>97</v>
      </c>
      <c r="D68" s="35"/>
      <c r="E68" s="35"/>
      <c r="F68" s="35"/>
      <c r="G68" s="35"/>
      <c r="H68" s="35"/>
      <c r="I68" s="87"/>
      <c r="J68" s="35"/>
      <c r="K68" s="87"/>
      <c r="L68" s="35"/>
      <c r="M68" s="35"/>
      <c r="N68" s="37"/>
    </row>
    <row r="69" spans="1:14">
      <c r="B69" s="72"/>
      <c r="I69" s="6"/>
      <c r="J69" s="109">
        <f>J66-[30]SNP!K119</f>
        <v>0</v>
      </c>
      <c r="K69" s="110"/>
      <c r="L69" s="111">
        <f>L66-[30]SNP!M119</f>
        <v>0</v>
      </c>
      <c r="M69" s="111">
        <f>M66-[30]SNP!N119</f>
        <v>0</v>
      </c>
      <c r="N69" s="112"/>
    </row>
    <row r="70" spans="1:14">
      <c r="B70" s="72"/>
      <c r="I70" s="113" t="s">
        <v>98</v>
      </c>
      <c r="J70" s="114"/>
      <c r="K70" s="115"/>
      <c r="L70" s="114"/>
      <c r="M70" s="114"/>
      <c r="N70" s="114"/>
    </row>
  </sheetData>
  <sheetProtection formatColumns="0" formatRows="0"/>
  <conditionalFormatting sqref="J69 L69">
    <cfRule type="cellIs" dxfId="44" priority="14" operator="notEqual">
      <formula>0</formula>
    </cfRule>
    <cfRule type="cellIs" dxfId="43" priority="15" operator="equal">
      <formula>0</formula>
    </cfRule>
  </conditionalFormatting>
  <conditionalFormatting sqref="J11:J15 F11:G11 L24:L30 L37:L45 J37:J45 L62 J62 L17:L18 J25:J29 J17:J18 F17:G17 L11:L15 L52:L55 J52:J55">
    <cfRule type="containsBlanks" dxfId="42" priority="12">
      <formula>LEN(TRIM(F11))=0</formula>
    </cfRule>
    <cfRule type="cellIs" dxfId="41" priority="13" operator="notEqual">
      <formula>0</formula>
    </cfRule>
  </conditionalFormatting>
  <conditionalFormatting sqref="J11">
    <cfRule type="cellIs" dxfId="40" priority="11" operator="notEqual">
      <formula>J20</formula>
    </cfRule>
  </conditionalFormatting>
  <conditionalFormatting sqref="L11">
    <cfRule type="cellIs" dxfId="39" priority="10" operator="notEqual">
      <formula>L20</formula>
    </cfRule>
  </conditionalFormatting>
  <conditionalFormatting sqref="M69">
    <cfRule type="cellIs" dxfId="38" priority="8" operator="notEqual">
      <formula>0</formula>
    </cfRule>
    <cfRule type="cellIs" dxfId="37" priority="9" operator="equal">
      <formula>0</formula>
    </cfRule>
  </conditionalFormatting>
  <conditionalFormatting sqref="M24:M30 M37:M45 M62 M17:M18 M11:M15 M52:M55">
    <cfRule type="containsBlanks" dxfId="36" priority="6">
      <formula>LEN(TRIM(M11))=0</formula>
    </cfRule>
    <cfRule type="cellIs" dxfId="35" priority="7" operator="notEqual">
      <formula>0</formula>
    </cfRule>
  </conditionalFormatting>
  <conditionalFormatting sqref="M11">
    <cfRule type="cellIs" dxfId="34" priority="5" operator="notEqual">
      <formula>M20</formula>
    </cfRule>
  </conditionalFormatting>
  <conditionalFormatting sqref="J24">
    <cfRule type="containsBlanks" dxfId="33" priority="3">
      <formula>LEN(TRIM(J24))=0</formula>
    </cfRule>
    <cfRule type="cellIs" dxfId="32" priority="4" operator="notEqual">
      <formula>0</formula>
    </cfRule>
  </conditionalFormatting>
  <conditionalFormatting sqref="M61">
    <cfRule type="containsBlanks" dxfId="31" priority="1">
      <formula>LEN(TRIM(M61))=0</formula>
    </cfRule>
    <cfRule type="cellIs" dxfId="30" priority="2" operator="notEqual">
      <formula>0</formula>
    </cfRule>
  </conditionalFormatting>
  <printOptions horizontalCentered="1"/>
  <pageMargins left="0.7" right="0.7" top="0.75" bottom="0.75" header="0.5" footer="0.5"/>
  <pageSetup scale="54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  <pageSetUpPr fitToPage="1"/>
  </sheetPr>
  <dimension ref="A1:U70"/>
  <sheetViews>
    <sheetView topLeftCell="C1" zoomScale="90" zoomScaleNormal="90" workbookViewId="0">
      <selection activeCell="C1" sqref="C1"/>
    </sheetView>
  </sheetViews>
  <sheetFormatPr defaultColWidth="11.140625" defaultRowHeight="12.75"/>
  <cols>
    <col min="1" max="1" width="0" style="1" hidden="1" customWidth="1"/>
    <col min="2" max="2" width="0" style="20" hidden="1" customWidth="1"/>
    <col min="3" max="8" width="11.140625" style="6"/>
    <col min="9" max="9" width="11.140625" style="11"/>
    <col min="10" max="10" width="15.42578125" style="11" customWidth="1"/>
    <col min="11" max="11" width="11.140625" style="6"/>
    <col min="12" max="12" width="17.140625" style="11" customWidth="1"/>
    <col min="13" max="13" width="15.7109375" style="6" customWidth="1"/>
    <col min="14" max="15" width="11.140625" style="6"/>
    <col min="16" max="16" width="11.140625" style="10"/>
    <col min="17" max="21" width="11.140625" style="5"/>
    <col min="22" max="16384" width="11.140625" style="6"/>
  </cols>
  <sheetData>
    <row r="1" spans="1:14">
      <c r="B1" s="2"/>
      <c r="C1" s="260" t="str">
        <f>'[31]Contact Information'!$C$5</f>
        <v>TALLAHASSEE COMMUNITY COLLEGE</v>
      </c>
      <c r="D1" s="260"/>
      <c r="E1" s="260"/>
      <c r="F1" s="260"/>
      <c r="G1" s="260"/>
      <c r="H1" s="260"/>
      <c r="I1" s="260"/>
      <c r="J1" s="260"/>
      <c r="K1" s="260"/>
      <c r="L1" s="260"/>
      <c r="M1" s="247"/>
      <c r="N1" s="3"/>
    </row>
    <row r="2" spans="1:14">
      <c r="B2" s="2"/>
      <c r="C2" s="256" t="s">
        <v>0</v>
      </c>
      <c r="D2" s="256"/>
      <c r="E2" s="256"/>
      <c r="F2" s="256"/>
      <c r="G2" s="256"/>
      <c r="H2" s="256"/>
      <c r="I2" s="256"/>
      <c r="J2" s="256"/>
      <c r="K2" s="256"/>
      <c r="L2" s="256"/>
      <c r="M2" s="245"/>
      <c r="N2" s="7"/>
    </row>
    <row r="3" spans="1:14">
      <c r="B3" s="2"/>
      <c r="C3" s="86" t="s">
        <v>1</v>
      </c>
      <c r="D3" s="86"/>
      <c r="E3" s="86"/>
      <c r="F3" s="86"/>
      <c r="G3" s="86"/>
      <c r="H3" s="86"/>
      <c r="I3" s="86"/>
      <c r="J3" s="86"/>
      <c r="K3" s="86"/>
      <c r="L3" s="86"/>
      <c r="M3" s="248"/>
      <c r="N3" s="9" t="s">
        <v>2</v>
      </c>
    </row>
    <row r="4" spans="1:14">
      <c r="B4" s="2"/>
      <c r="C4" s="261" t="s">
        <v>297</v>
      </c>
      <c r="D4" s="261"/>
      <c r="E4" s="261"/>
      <c r="F4" s="261"/>
      <c r="G4" s="261"/>
      <c r="H4" s="261"/>
      <c r="I4" s="261"/>
      <c r="J4" s="261"/>
      <c r="K4" s="261"/>
      <c r="L4" s="261"/>
      <c r="M4" s="249"/>
      <c r="N4" s="11" t="str">
        <f>'[31]Contact Information'!$C$3</f>
        <v>2015.v02</v>
      </c>
    </row>
    <row r="5" spans="1:14">
      <c r="A5" s="12"/>
      <c r="B5" s="13"/>
      <c r="C5" s="14"/>
      <c r="D5" s="14"/>
      <c r="E5" s="14"/>
      <c r="F5" s="14"/>
      <c r="G5" s="14"/>
      <c r="H5" s="14"/>
      <c r="I5" s="15"/>
      <c r="J5" s="16"/>
      <c r="K5" s="17"/>
      <c r="L5" s="16"/>
      <c r="M5" s="16"/>
      <c r="N5" s="18"/>
    </row>
    <row r="6" spans="1:14">
      <c r="C6" s="14"/>
      <c r="D6" s="14"/>
      <c r="E6" s="14"/>
      <c r="F6" s="14"/>
      <c r="G6" s="14"/>
      <c r="H6" s="14"/>
      <c r="I6" s="15"/>
      <c r="J6" s="249" t="s">
        <v>5</v>
      </c>
      <c r="K6" s="21"/>
      <c r="L6" s="22" t="s">
        <v>6</v>
      </c>
      <c r="M6" s="22" t="s">
        <v>7</v>
      </c>
      <c r="N6" s="23"/>
    </row>
    <row r="7" spans="1:14">
      <c r="C7" s="14"/>
      <c r="D7" s="14"/>
      <c r="E7" s="14"/>
      <c r="F7" s="14"/>
      <c r="G7" s="14"/>
      <c r="H7" s="14"/>
      <c r="I7" s="15"/>
      <c r="J7" s="24"/>
      <c r="K7" s="25"/>
      <c r="L7" s="26" t="str">
        <f>[31]SNP!$M$9</f>
        <v>Unit</v>
      </c>
      <c r="M7" s="26"/>
      <c r="N7" s="27"/>
    </row>
    <row r="8" spans="1:14">
      <c r="C8" s="29" t="s">
        <v>9</v>
      </c>
      <c r="D8" s="14"/>
      <c r="E8" s="14"/>
      <c r="F8" s="14"/>
      <c r="G8" s="14"/>
      <c r="H8" s="14"/>
      <c r="I8" s="15"/>
      <c r="J8" s="25"/>
      <c r="K8" s="25"/>
      <c r="L8" s="25"/>
      <c r="M8" s="25"/>
      <c r="N8" s="30"/>
    </row>
    <row r="9" spans="1:14">
      <c r="A9" s="32" t="s">
        <v>10</v>
      </c>
      <c r="B9" s="33" t="s">
        <v>11</v>
      </c>
      <c r="C9" s="14" t="s">
        <v>12</v>
      </c>
      <c r="D9" s="14"/>
      <c r="E9" s="14"/>
      <c r="F9" s="14"/>
      <c r="G9" s="14"/>
      <c r="H9" s="14"/>
      <c r="I9" s="15"/>
      <c r="J9" s="17"/>
      <c r="K9" s="17"/>
      <c r="L9" s="17"/>
      <c r="M9" s="17"/>
      <c r="N9" s="18"/>
    </row>
    <row r="10" spans="1:14">
      <c r="B10" s="34"/>
      <c r="C10" s="35"/>
      <c r="D10" s="36" t="s">
        <v>14</v>
      </c>
      <c r="E10" s="14"/>
      <c r="F10" s="14"/>
      <c r="G10" s="14"/>
      <c r="H10" s="14"/>
      <c r="I10" s="35"/>
      <c r="J10" s="35"/>
      <c r="K10" s="17"/>
      <c r="L10" s="35"/>
      <c r="M10" s="35"/>
      <c r="N10" s="37"/>
    </row>
    <row r="11" spans="1:14">
      <c r="A11" s="1" t="s">
        <v>17</v>
      </c>
      <c r="B11" s="34" t="s">
        <v>18</v>
      </c>
      <c r="C11" s="35"/>
      <c r="D11" s="44" t="s">
        <v>19</v>
      </c>
      <c r="E11" s="35"/>
      <c r="F11" s="263">
        <v>13415350.02</v>
      </c>
      <c r="G11" s="263"/>
      <c r="H11" s="45"/>
      <c r="I11" s="36"/>
      <c r="J11" s="228">
        <v>16869593</v>
      </c>
      <c r="K11" s="229"/>
      <c r="L11" s="228">
        <v>0</v>
      </c>
      <c r="M11" s="228">
        <f>ROUND(L11,0)+ROUND(J11,0)</f>
        <v>16869593</v>
      </c>
      <c r="N11" s="46"/>
    </row>
    <row r="12" spans="1:14">
      <c r="A12" s="1" t="s">
        <v>20</v>
      </c>
      <c r="B12" s="34" t="s">
        <v>21</v>
      </c>
      <c r="C12" s="35"/>
      <c r="D12" s="36" t="s">
        <v>22</v>
      </c>
      <c r="E12" s="14"/>
      <c r="F12" s="48"/>
      <c r="G12" s="49"/>
      <c r="H12" s="15"/>
      <c r="I12" s="35"/>
      <c r="J12" s="50">
        <v>16429992</v>
      </c>
      <c r="K12" s="230"/>
      <c r="L12" s="50">
        <v>0</v>
      </c>
      <c r="M12" s="50">
        <f>ROUND(L12,0)+ROUND(J12,0)</f>
        <v>16429992</v>
      </c>
      <c r="N12" s="51"/>
    </row>
    <row r="13" spans="1:14">
      <c r="A13" s="1" t="s">
        <v>23</v>
      </c>
      <c r="B13" s="34" t="s">
        <v>21</v>
      </c>
      <c r="C13" s="35"/>
      <c r="D13" s="36" t="s">
        <v>24</v>
      </c>
      <c r="E13" s="14"/>
      <c r="F13" s="48"/>
      <c r="G13" s="48"/>
      <c r="H13" s="14"/>
      <c r="I13" s="35"/>
      <c r="J13" s="50">
        <v>7087851</v>
      </c>
      <c r="K13" s="230"/>
      <c r="L13" s="50">
        <v>0</v>
      </c>
      <c r="M13" s="50">
        <f>ROUND(L13,0)+ROUND(J13,0)</f>
        <v>7087851</v>
      </c>
      <c r="N13" s="51"/>
    </row>
    <row r="14" spans="1:14">
      <c r="A14" s="1" t="s">
        <v>25</v>
      </c>
      <c r="B14" s="34" t="s">
        <v>21</v>
      </c>
      <c r="C14" s="35"/>
      <c r="D14" s="36" t="s">
        <v>26</v>
      </c>
      <c r="E14" s="14"/>
      <c r="F14" s="48"/>
      <c r="G14" s="48"/>
      <c r="H14" s="14"/>
      <c r="I14" s="35"/>
      <c r="J14" s="50">
        <v>1097119</v>
      </c>
      <c r="K14" s="230"/>
      <c r="L14" s="50">
        <v>0</v>
      </c>
      <c r="M14" s="50">
        <f>ROUND(L14,0)+ROUND(J14,0)</f>
        <v>1097119</v>
      </c>
      <c r="N14" s="51"/>
    </row>
    <row r="15" spans="1:14">
      <c r="A15" s="1" t="s">
        <v>27</v>
      </c>
      <c r="B15" s="34" t="s">
        <v>18</v>
      </c>
      <c r="C15" s="35"/>
      <c r="D15" s="36" t="s">
        <v>28</v>
      </c>
      <c r="E15" s="14"/>
      <c r="F15" s="48"/>
      <c r="G15" s="48"/>
      <c r="H15" s="35"/>
      <c r="I15" s="35"/>
      <c r="J15" s="50">
        <v>0</v>
      </c>
      <c r="K15" s="230"/>
      <c r="L15" s="50">
        <v>0</v>
      </c>
      <c r="M15" s="50">
        <f>ROUND(L15,0)+ROUND(J15,0)</f>
        <v>0</v>
      </c>
      <c r="N15" s="51"/>
    </row>
    <row r="16" spans="1:14">
      <c r="A16" s="52"/>
      <c r="B16" s="53"/>
      <c r="C16" s="35"/>
      <c r="D16" s="36" t="s">
        <v>29</v>
      </c>
      <c r="E16" s="14"/>
      <c r="F16" s="54"/>
      <c r="G16" s="49"/>
      <c r="H16" s="55"/>
      <c r="I16" s="35"/>
      <c r="J16" s="35"/>
      <c r="K16" s="230"/>
      <c r="L16" s="35"/>
      <c r="M16" s="35"/>
      <c r="N16" s="37"/>
    </row>
    <row r="17" spans="1:14">
      <c r="A17" s="52" t="s">
        <v>30</v>
      </c>
      <c r="B17" s="53" t="s">
        <v>18</v>
      </c>
      <c r="C17" s="35"/>
      <c r="D17" s="44" t="s">
        <v>19</v>
      </c>
      <c r="E17" s="35"/>
      <c r="F17" s="263">
        <v>0</v>
      </c>
      <c r="G17" s="263"/>
      <c r="H17" s="55"/>
      <c r="I17" s="35"/>
      <c r="J17" s="50">
        <v>5116009</v>
      </c>
      <c r="K17" s="230"/>
      <c r="L17" s="50">
        <v>0</v>
      </c>
      <c r="M17" s="50">
        <f>ROUND(L17,0)+ROUND(J17,0)</f>
        <v>5116009</v>
      </c>
      <c r="N17" s="51"/>
    </row>
    <row r="18" spans="1:14">
      <c r="A18" s="52" t="s">
        <v>31</v>
      </c>
      <c r="B18" s="56" t="s">
        <v>32</v>
      </c>
      <c r="C18" s="35"/>
      <c r="D18" s="57" t="s">
        <v>33</v>
      </c>
      <c r="E18" s="14"/>
      <c r="F18" s="14"/>
      <c r="G18" s="14"/>
      <c r="H18" s="14"/>
      <c r="I18" s="36"/>
      <c r="J18" s="58">
        <v>238982</v>
      </c>
      <c r="K18" s="230"/>
      <c r="L18" s="58">
        <v>1839880</v>
      </c>
      <c r="M18" s="58">
        <f>ROUND(L18,0)+ROUND(J18,0)</f>
        <v>2078862</v>
      </c>
      <c r="N18" s="51"/>
    </row>
    <row r="19" spans="1:14">
      <c r="A19" s="52"/>
      <c r="B19" s="56"/>
      <c r="C19" s="36"/>
      <c r="D19" s="36"/>
      <c r="E19" s="36"/>
      <c r="F19" s="36"/>
      <c r="G19" s="36"/>
      <c r="H19" s="59"/>
      <c r="I19" s="59"/>
      <c r="J19" s="59"/>
      <c r="K19" s="60"/>
      <c r="L19" s="60"/>
      <c r="M19" s="60"/>
      <c r="N19" s="61"/>
    </row>
    <row r="20" spans="1:14">
      <c r="A20" s="52" t="s">
        <v>34</v>
      </c>
      <c r="B20" s="56"/>
      <c r="C20" s="35"/>
      <c r="D20" s="65" t="s">
        <v>35</v>
      </c>
      <c r="E20" s="35"/>
      <c r="F20" s="14"/>
      <c r="G20" s="14"/>
      <c r="H20" s="14"/>
      <c r="I20" s="15"/>
      <c r="J20" s="66">
        <f t="array" ref="J20">SUM(ROUND(J11:J18,0))</f>
        <v>46839546</v>
      </c>
      <c r="K20" s="67"/>
      <c r="L20" s="66">
        <f t="array" ref="L20">SUM(ROUND(L11:L18,0))</f>
        <v>1839880</v>
      </c>
      <c r="M20" s="66">
        <f t="array" ref="M20">SUM(ROUND(M11:M18,0))</f>
        <v>48679426</v>
      </c>
      <c r="N20" s="68"/>
    </row>
    <row r="21" spans="1:14">
      <c r="A21" s="52"/>
      <c r="B21" s="56"/>
      <c r="C21" s="14"/>
      <c r="D21" s="14"/>
      <c r="E21" s="14"/>
      <c r="F21" s="14"/>
      <c r="G21" s="14"/>
      <c r="H21" s="14"/>
      <c r="I21" s="15"/>
      <c r="J21" s="17"/>
      <c r="K21" s="17"/>
      <c r="L21" s="17"/>
      <c r="M21" s="17"/>
      <c r="N21" s="18"/>
    </row>
    <row r="22" spans="1:14">
      <c r="A22" s="70"/>
      <c r="B22" s="71"/>
      <c r="C22" s="29" t="s">
        <v>36</v>
      </c>
      <c r="D22" s="14"/>
      <c r="E22" s="14"/>
      <c r="F22" s="14"/>
      <c r="G22" s="14"/>
      <c r="H22" s="14"/>
      <c r="I22" s="15"/>
      <c r="J22" s="16"/>
      <c r="K22" s="17"/>
      <c r="L22" s="16"/>
      <c r="M22" s="16"/>
      <c r="N22" s="18"/>
    </row>
    <row r="23" spans="1:14">
      <c r="A23" s="52"/>
      <c r="B23" s="53"/>
      <c r="C23" s="14" t="s">
        <v>37</v>
      </c>
      <c r="D23" s="14"/>
      <c r="E23" s="14"/>
      <c r="F23" s="14"/>
      <c r="G23" s="35"/>
      <c r="H23" s="14"/>
      <c r="I23" s="15"/>
      <c r="J23" s="16"/>
      <c r="K23" s="17"/>
      <c r="L23" s="16"/>
      <c r="M23" s="16"/>
      <c r="N23" s="18"/>
    </row>
    <row r="24" spans="1:14">
      <c r="A24" s="12" t="s">
        <v>38</v>
      </c>
      <c r="B24" s="72" t="s">
        <v>39</v>
      </c>
      <c r="C24" s="44"/>
      <c r="D24" s="36" t="s">
        <v>40</v>
      </c>
      <c r="E24" s="14"/>
      <c r="F24" s="14"/>
      <c r="G24" s="35"/>
      <c r="H24" s="14"/>
      <c r="I24" s="15"/>
      <c r="J24" s="50">
        <f>56622056</f>
        <v>56622056</v>
      </c>
      <c r="K24" s="230"/>
      <c r="L24" s="50">
        <v>300651</v>
      </c>
      <c r="M24" s="50">
        <f t="shared" ref="M24:M30" si="0">ROUND(L24,0)+ROUND(J24,0)</f>
        <v>56922707</v>
      </c>
      <c r="N24" s="51"/>
    </row>
    <row r="25" spans="1:14">
      <c r="A25" s="1" t="s">
        <v>41</v>
      </c>
      <c r="B25" s="72" t="s">
        <v>39</v>
      </c>
      <c r="C25" s="44"/>
      <c r="D25" s="36" t="s">
        <v>42</v>
      </c>
      <c r="E25" s="14"/>
      <c r="F25" s="14"/>
      <c r="G25" s="35"/>
      <c r="H25" s="14"/>
      <c r="I25" s="15"/>
      <c r="J25" s="50">
        <v>17625781</v>
      </c>
      <c r="K25" s="230"/>
      <c r="L25" s="50">
        <v>269799</v>
      </c>
      <c r="M25" s="50">
        <f t="shared" si="0"/>
        <v>17895580</v>
      </c>
      <c r="N25" s="51"/>
    </row>
    <row r="26" spans="1:14">
      <c r="A26" s="12" t="s">
        <v>43</v>
      </c>
      <c r="B26" s="34" t="s">
        <v>39</v>
      </c>
      <c r="C26" s="44"/>
      <c r="D26" s="36" t="s">
        <v>44</v>
      </c>
      <c r="E26" s="14"/>
      <c r="F26" s="14"/>
      <c r="G26" s="35"/>
      <c r="H26" s="14"/>
      <c r="I26" s="15"/>
      <c r="J26" s="50">
        <v>2278883</v>
      </c>
      <c r="K26" s="230"/>
      <c r="L26" s="50">
        <v>4186</v>
      </c>
      <c r="M26" s="50">
        <f t="shared" si="0"/>
        <v>2283069</v>
      </c>
      <c r="N26" s="51"/>
    </row>
    <row r="27" spans="1:14">
      <c r="A27" s="1" t="s">
        <v>45</v>
      </c>
      <c r="B27" s="72" t="s">
        <v>39</v>
      </c>
      <c r="C27" s="44"/>
      <c r="D27" s="36" t="s">
        <v>46</v>
      </c>
      <c r="E27" s="14"/>
      <c r="F27" s="14"/>
      <c r="G27" s="35"/>
      <c r="H27" s="14"/>
      <c r="I27" s="15"/>
      <c r="J27" s="50">
        <v>15296772</v>
      </c>
      <c r="K27" s="230"/>
      <c r="L27" s="50">
        <v>201727</v>
      </c>
      <c r="M27" s="50">
        <f t="shared" si="0"/>
        <v>15498499</v>
      </c>
      <c r="N27" s="51"/>
    </row>
    <row r="28" spans="1:14">
      <c r="A28" s="12" t="s">
        <v>47</v>
      </c>
      <c r="B28" s="34" t="s">
        <v>39</v>
      </c>
      <c r="C28" s="44"/>
      <c r="D28" s="36" t="s">
        <v>48</v>
      </c>
      <c r="E28" s="14"/>
      <c r="F28" s="14"/>
      <c r="G28" s="35"/>
      <c r="H28" s="14"/>
      <c r="I28" s="15"/>
      <c r="J28" s="50">
        <v>3691658</v>
      </c>
      <c r="K28" s="230"/>
      <c r="L28" s="50">
        <v>2167496</v>
      </c>
      <c r="M28" s="50">
        <f t="shared" si="0"/>
        <v>5859154</v>
      </c>
      <c r="N28" s="51"/>
    </row>
    <row r="29" spans="1:14">
      <c r="A29" s="1" t="s">
        <v>49</v>
      </c>
      <c r="B29" s="34" t="s">
        <v>39</v>
      </c>
      <c r="C29" s="44"/>
      <c r="D29" s="36" t="s">
        <v>50</v>
      </c>
      <c r="E29" s="14"/>
      <c r="F29" s="14"/>
      <c r="G29" s="35"/>
      <c r="H29" s="14"/>
      <c r="I29" s="15"/>
      <c r="J29" s="50">
        <v>7756967</v>
      </c>
      <c r="K29" s="230"/>
      <c r="L29" s="50">
        <v>48605</v>
      </c>
      <c r="M29" s="50">
        <f t="shared" si="0"/>
        <v>7805572</v>
      </c>
      <c r="N29" s="51"/>
    </row>
    <row r="30" spans="1:14">
      <c r="A30" s="12" t="s">
        <v>51</v>
      </c>
      <c r="B30" s="72" t="s">
        <v>52</v>
      </c>
      <c r="C30" s="44"/>
      <c r="D30" s="36" t="s">
        <v>53</v>
      </c>
      <c r="E30" s="14"/>
      <c r="F30" s="14"/>
      <c r="G30" s="35"/>
      <c r="H30" s="14"/>
      <c r="I30" s="15"/>
      <c r="J30" s="231">
        <f>'[31]Accounts by GL'!O481</f>
        <v>5033227.0599999996</v>
      </c>
      <c r="K30" s="230"/>
      <c r="L30" s="58">
        <v>207661</v>
      </c>
      <c r="M30" s="58">
        <f t="shared" si="0"/>
        <v>5240888</v>
      </c>
      <c r="N30" s="51"/>
    </row>
    <row r="31" spans="1:14">
      <c r="B31" s="72"/>
      <c r="C31" s="44"/>
      <c r="D31" s="36"/>
      <c r="E31" s="14"/>
      <c r="F31" s="14"/>
      <c r="G31" s="35"/>
      <c r="H31" s="14"/>
      <c r="I31" s="15"/>
      <c r="J31" s="73"/>
      <c r="K31" s="73"/>
      <c r="L31" s="73"/>
      <c r="M31" s="73"/>
      <c r="N31" s="74"/>
    </row>
    <row r="32" spans="1:14">
      <c r="A32" s="1" t="s">
        <v>54</v>
      </c>
      <c r="B32" s="72"/>
      <c r="C32" s="14"/>
      <c r="D32" s="65" t="s">
        <v>55</v>
      </c>
      <c r="E32" s="35"/>
      <c r="F32" s="14"/>
      <c r="G32" s="14"/>
      <c r="H32" s="14"/>
      <c r="I32" s="15"/>
      <c r="J32" s="66">
        <f t="array" ref="J32">SUM(ROUND(J24:J30,0))</f>
        <v>108305344</v>
      </c>
      <c r="K32" s="59"/>
      <c r="L32" s="66">
        <f t="array" ref="L32">SUM(ROUND(L24:L30,0))</f>
        <v>3200125</v>
      </c>
      <c r="M32" s="66">
        <f t="array" ref="M32">SUM(ROUND(M24:M30,0))</f>
        <v>111505469</v>
      </c>
      <c r="N32" s="68"/>
    </row>
    <row r="33" spans="1:14">
      <c r="A33" s="12"/>
      <c r="B33" s="72"/>
      <c r="C33" s="44"/>
      <c r="D33" s="76"/>
      <c r="E33" s="14"/>
      <c r="F33" s="14"/>
      <c r="G33" s="35"/>
      <c r="H33" s="14"/>
      <c r="I33" s="15"/>
      <c r="J33" s="59"/>
      <c r="K33" s="59"/>
      <c r="L33" s="59"/>
      <c r="M33" s="59"/>
      <c r="N33" s="77"/>
    </row>
    <row r="34" spans="1:14">
      <c r="B34" s="72"/>
      <c r="C34" s="14"/>
      <c r="D34" s="65" t="str">
        <f>IF(J34&lt;0,IF(L34&gt;0,"Operating Income (Loss)","Operating Loss"),IF(J34&gt;0,IF(L34&gt;=0,"Operating Income","Operating Income (Loss)"),IF(L34&lt;0,"Operating Loss",IF(L34&gt;0,"Operating Income","Operating Income (Loss)"))))</f>
        <v>Operating Loss</v>
      </c>
      <c r="E34" s="35"/>
      <c r="F34" s="14"/>
      <c r="G34" s="14"/>
      <c r="H34" s="14"/>
      <c r="I34" s="15"/>
      <c r="J34" s="66">
        <f>J20-J32</f>
        <v>-61465798</v>
      </c>
      <c r="K34" s="67"/>
      <c r="L34" s="66">
        <f>L20-L32</f>
        <v>-1360245</v>
      </c>
      <c r="M34" s="66">
        <f>M20-M32</f>
        <v>-62826043</v>
      </c>
      <c r="N34" s="68"/>
    </row>
    <row r="35" spans="1:14">
      <c r="A35" s="12"/>
      <c r="B35" s="72"/>
      <c r="C35" s="14"/>
      <c r="D35" s="14"/>
      <c r="E35" s="14"/>
      <c r="F35" s="14"/>
      <c r="G35" s="14"/>
      <c r="H35" s="14"/>
      <c r="I35" s="15"/>
      <c r="J35" s="78"/>
      <c r="K35" s="78"/>
      <c r="L35" s="78"/>
      <c r="M35" s="78"/>
      <c r="N35" s="79"/>
    </row>
    <row r="36" spans="1:14">
      <c r="B36" s="72"/>
      <c r="C36" s="29" t="s">
        <v>56</v>
      </c>
      <c r="D36" s="35"/>
      <c r="E36" s="14"/>
      <c r="F36" s="14"/>
      <c r="G36" s="14"/>
      <c r="H36" s="14"/>
      <c r="I36" s="15"/>
      <c r="J36" s="16"/>
      <c r="K36" s="17"/>
      <c r="L36" s="16"/>
      <c r="M36" s="16"/>
      <c r="N36" s="18"/>
    </row>
    <row r="37" spans="1:14">
      <c r="A37" s="12" t="s">
        <v>57</v>
      </c>
      <c r="B37" s="72" t="s">
        <v>58</v>
      </c>
      <c r="C37" s="36" t="s">
        <v>59</v>
      </c>
      <c r="D37" s="35"/>
      <c r="E37" s="14"/>
      <c r="F37" s="14"/>
      <c r="G37" s="35"/>
      <c r="H37" s="14"/>
      <c r="I37" s="15"/>
      <c r="J37" s="80">
        <v>31676762</v>
      </c>
      <c r="K37" s="49"/>
      <c r="L37" s="80">
        <v>0</v>
      </c>
      <c r="M37" s="80">
        <f t="shared" ref="M37:M45" si="1">ROUND(L37,0)+ROUND(J37,0)</f>
        <v>31676762</v>
      </c>
      <c r="N37" s="81"/>
    </row>
    <row r="38" spans="1:14">
      <c r="A38" s="1" t="s">
        <v>60</v>
      </c>
      <c r="B38" s="72" t="s">
        <v>21</v>
      </c>
      <c r="C38" s="36" t="s">
        <v>61</v>
      </c>
      <c r="D38" s="35"/>
      <c r="E38" s="14"/>
      <c r="F38" s="14"/>
      <c r="G38" s="35"/>
      <c r="H38" s="14"/>
      <c r="I38" s="15"/>
      <c r="J38" s="80">
        <v>29216207</v>
      </c>
      <c r="K38" s="49"/>
      <c r="L38" s="80">
        <v>0</v>
      </c>
      <c r="M38" s="80">
        <f t="shared" si="1"/>
        <v>29216207</v>
      </c>
      <c r="N38" s="81"/>
    </row>
    <row r="39" spans="1:14">
      <c r="A39" s="12" t="s">
        <v>62</v>
      </c>
      <c r="B39" s="72" t="s">
        <v>21</v>
      </c>
      <c r="C39" s="36" t="s">
        <v>63</v>
      </c>
      <c r="D39" s="35"/>
      <c r="E39" s="14"/>
      <c r="F39" s="14"/>
      <c r="G39" s="35"/>
      <c r="H39" s="14"/>
      <c r="I39" s="15"/>
      <c r="J39" s="80">
        <v>182037</v>
      </c>
      <c r="K39" s="49"/>
      <c r="L39" s="80">
        <v>0</v>
      </c>
      <c r="M39" s="80">
        <f t="shared" si="1"/>
        <v>182037</v>
      </c>
      <c r="N39" s="81"/>
    </row>
    <row r="40" spans="1:14">
      <c r="A40" s="1" t="s">
        <v>64</v>
      </c>
      <c r="B40" s="72" t="s">
        <v>65</v>
      </c>
      <c r="C40" s="36" t="s">
        <v>66</v>
      </c>
      <c r="D40" s="35"/>
      <c r="E40" s="14"/>
      <c r="F40" s="14"/>
      <c r="G40" s="35"/>
      <c r="H40" s="14"/>
      <c r="I40" s="15"/>
      <c r="J40" s="80">
        <v>4456</v>
      </c>
      <c r="K40" s="49"/>
      <c r="L40" s="80">
        <v>169456</v>
      </c>
      <c r="M40" s="80">
        <f t="shared" si="1"/>
        <v>173912</v>
      </c>
      <c r="N40" s="81"/>
    </row>
    <row r="41" spans="1:14">
      <c r="A41" s="12" t="s">
        <v>67</v>
      </c>
      <c r="B41" s="72" t="s">
        <v>65</v>
      </c>
      <c r="C41" s="36" t="str">
        <f>IF(J41&lt;0,IF(L41&gt;0,"Net Gain (Loss) on Investments","Net Loss on Investments"),IF(J41&gt;0,IF(L41&gt;=0,"Net Gain on Investments","Net Gain (Loss) on Investments"),IF(L41&lt;0,"Net Loss on Investments",IF(L41&gt;0,"Net Gain on Investments","Net Gain (Loss) on Investments"))))</f>
        <v>Net Gain (Loss) on Investments</v>
      </c>
      <c r="D41" s="35"/>
      <c r="E41" s="14"/>
      <c r="F41" s="14"/>
      <c r="G41" s="35"/>
      <c r="H41" s="14"/>
      <c r="I41" s="15"/>
      <c r="J41" s="80">
        <v>0</v>
      </c>
      <c r="K41" s="49"/>
      <c r="L41" s="80">
        <v>0</v>
      </c>
      <c r="M41" s="80">
        <f t="shared" si="1"/>
        <v>0</v>
      </c>
      <c r="N41" s="81"/>
    </row>
    <row r="42" spans="1:14">
      <c r="A42" s="1" t="s">
        <v>68</v>
      </c>
      <c r="B42" s="72" t="s">
        <v>32</v>
      </c>
      <c r="C42" s="36" t="s">
        <v>69</v>
      </c>
      <c r="D42" s="35"/>
      <c r="E42" s="14"/>
      <c r="F42" s="14"/>
      <c r="G42" s="35"/>
      <c r="H42" s="14"/>
      <c r="I42" s="15"/>
      <c r="J42" s="80">
        <v>19074</v>
      </c>
      <c r="K42" s="49"/>
      <c r="L42" s="80">
        <v>0</v>
      </c>
      <c r="M42" s="80">
        <f t="shared" si="1"/>
        <v>19074</v>
      </c>
      <c r="N42" s="81"/>
    </row>
    <row r="43" spans="1:14">
      <c r="A43" s="12" t="s">
        <v>70</v>
      </c>
      <c r="B43" s="72" t="s">
        <v>71</v>
      </c>
      <c r="C43" s="36" t="str">
        <f>IF(J43&lt;0,IF(L43&gt;0,"Gain (Loss) on Disposal of Capital Assets","Loss on Disposal of Capital Assets"),IF(J43&gt;0,IF(L43&gt;=0,"Gain on Disposal of Capital Assets","Gain (Loss) on Disposal of Capital Assets"),IF(L43&lt;0,"Loss on Disposal of Capital Assets",IF(L43&gt;0,"Gain on Disposal of Capital Assets","Gain (Loss) on Disposal of Capital Assets"))))</f>
        <v>Gain (Loss) on Disposal of Capital Assets</v>
      </c>
      <c r="D43" s="35"/>
      <c r="E43" s="14"/>
      <c r="F43" s="14"/>
      <c r="G43" s="35"/>
      <c r="H43" s="14"/>
      <c r="I43" s="15"/>
      <c r="J43" s="80">
        <v>0</v>
      </c>
      <c r="K43" s="49"/>
      <c r="L43" s="80">
        <v>0</v>
      </c>
      <c r="M43" s="80">
        <f t="shared" si="1"/>
        <v>0</v>
      </c>
      <c r="N43" s="81"/>
    </row>
    <row r="44" spans="1:14">
      <c r="A44" s="1" t="s">
        <v>72</v>
      </c>
      <c r="B44" s="72" t="s">
        <v>39</v>
      </c>
      <c r="C44" s="36" t="s">
        <v>73</v>
      </c>
      <c r="D44" s="35"/>
      <c r="E44" s="35"/>
      <c r="F44" s="35"/>
      <c r="G44" s="35"/>
      <c r="H44" s="35"/>
      <c r="I44" s="35"/>
      <c r="J44" s="80">
        <v>-745194</v>
      </c>
      <c r="K44" s="49"/>
      <c r="L44" s="80">
        <v>-283958</v>
      </c>
      <c r="M44" s="80">
        <f t="shared" si="1"/>
        <v>-1029152</v>
      </c>
      <c r="N44" s="81"/>
    </row>
    <row r="45" spans="1:14">
      <c r="A45" s="12" t="s">
        <v>74</v>
      </c>
      <c r="B45" s="72" t="s">
        <v>39</v>
      </c>
      <c r="C45" s="36" t="s">
        <v>75</v>
      </c>
      <c r="D45" s="35"/>
      <c r="E45" s="14"/>
      <c r="F45" s="14"/>
      <c r="G45" s="35"/>
      <c r="H45" s="14"/>
      <c r="I45" s="15"/>
      <c r="J45" s="82">
        <v>-698837</v>
      </c>
      <c r="K45" s="49"/>
      <c r="L45" s="82">
        <v>-145719</v>
      </c>
      <c r="M45" s="82">
        <f t="shared" si="1"/>
        <v>-844556</v>
      </c>
      <c r="N45" s="81"/>
    </row>
    <row r="46" spans="1:14">
      <c r="B46" s="72"/>
      <c r="C46" s="35"/>
      <c r="D46" s="35"/>
      <c r="E46" s="35"/>
      <c r="F46" s="35"/>
      <c r="G46" s="35"/>
      <c r="H46" s="35"/>
      <c r="I46" s="35"/>
      <c r="J46" s="83"/>
      <c r="K46" s="84"/>
      <c r="L46" s="83"/>
      <c r="M46" s="83"/>
      <c r="N46" s="85"/>
    </row>
    <row r="47" spans="1:14">
      <c r="A47" s="52" t="s">
        <v>76</v>
      </c>
      <c r="B47" s="53"/>
      <c r="C47" s="29" t="s">
        <v>77</v>
      </c>
      <c r="D47" s="35"/>
      <c r="E47" s="14"/>
      <c r="F47" s="14"/>
      <c r="G47" s="14"/>
      <c r="H47" s="14"/>
      <c r="I47" s="15"/>
      <c r="J47" s="66">
        <f t="array" ref="J47">SUM(ROUND(J37:J45,0))</f>
        <v>59654505</v>
      </c>
      <c r="K47" s="59"/>
      <c r="L47" s="66">
        <f t="array" ref="L47">SUM(ROUND(L37:L45,0))</f>
        <v>-260221</v>
      </c>
      <c r="M47" s="66">
        <f t="array" ref="M47">SUM(ROUND(M37:M45,0))</f>
        <v>59394284</v>
      </c>
      <c r="N47" s="68"/>
    </row>
    <row r="48" spans="1:14">
      <c r="A48" s="52"/>
      <c r="B48" s="53"/>
      <c r="C48" s="86"/>
      <c r="D48" s="87"/>
      <c r="E48" s="15"/>
      <c r="F48" s="15"/>
      <c r="G48" s="15"/>
      <c r="H48" s="15"/>
      <c r="I48" s="15"/>
      <c r="J48" s="59"/>
      <c r="K48" s="59"/>
      <c r="L48" s="59"/>
      <c r="M48" s="59"/>
      <c r="N48" s="77"/>
    </row>
    <row r="49" spans="1:14">
      <c r="A49" s="52"/>
      <c r="B49" s="53"/>
      <c r="C49" s="65" t="str">
        <f>IF(J50&lt;0,IF(L50&gt;0,"Income (Loss) Before Other Revenues,","Loss Before Other Revenues,"),IF(J50&gt;0,IF(L50&gt;=0,"Income Before Other Revenues,","Income (Loss) Before Other Revenues,"),IF(L59&lt;0,"Loss Before Other Revenues,",IF(L59&gt;0,"Income Before Other Revenues,","Income (Loss) Before Other Revenues,"))))</f>
        <v>Loss Before Other Revenues,</v>
      </c>
      <c r="D49" s="35"/>
      <c r="E49" s="35"/>
      <c r="F49" s="14"/>
      <c r="G49" s="14"/>
      <c r="H49" s="14"/>
      <c r="I49" s="15"/>
      <c r="J49" s="35"/>
      <c r="K49" s="35"/>
      <c r="L49" s="35"/>
      <c r="M49" s="35"/>
      <c r="N49" s="37"/>
    </row>
    <row r="50" spans="1:14">
      <c r="A50" s="52"/>
      <c r="B50" s="53"/>
      <c r="C50" s="14"/>
      <c r="D50" s="29" t="s">
        <v>78</v>
      </c>
      <c r="E50" s="14"/>
      <c r="F50" s="14"/>
      <c r="G50" s="14"/>
      <c r="H50" s="14"/>
      <c r="I50" s="15"/>
      <c r="J50" s="66">
        <f>J34+J47</f>
        <v>-1811293</v>
      </c>
      <c r="K50" s="59"/>
      <c r="L50" s="66">
        <f>L34+L47</f>
        <v>-1620466</v>
      </c>
      <c r="M50" s="66">
        <f>M34+M47</f>
        <v>-3431759</v>
      </c>
      <c r="N50" s="68"/>
    </row>
    <row r="51" spans="1:14">
      <c r="A51" s="52"/>
      <c r="B51" s="53"/>
      <c r="C51" s="14"/>
      <c r="D51" s="29"/>
      <c r="E51" s="14"/>
      <c r="F51" s="14"/>
      <c r="G51" s="14"/>
      <c r="H51" s="14"/>
      <c r="I51" s="15"/>
      <c r="J51" s="17"/>
      <c r="K51" s="17"/>
      <c r="L51" s="17"/>
      <c r="M51" s="17"/>
      <c r="N51" s="18"/>
    </row>
    <row r="52" spans="1:14">
      <c r="A52" s="52" t="s">
        <v>79</v>
      </c>
      <c r="B52" s="53" t="s">
        <v>58</v>
      </c>
      <c r="C52" s="36" t="s">
        <v>80</v>
      </c>
      <c r="D52" s="35"/>
      <c r="E52" s="14"/>
      <c r="F52" s="14"/>
      <c r="G52" s="14"/>
      <c r="H52" s="35"/>
      <c r="I52" s="15"/>
      <c r="J52" s="80">
        <v>939843</v>
      </c>
      <c r="K52" s="49"/>
      <c r="L52" s="80">
        <v>0</v>
      </c>
      <c r="M52" s="80">
        <f>ROUND(L52,0)+ROUND(J52,0)</f>
        <v>939843</v>
      </c>
      <c r="N52" s="81"/>
    </row>
    <row r="53" spans="1:14">
      <c r="A53" s="52" t="s">
        <v>81</v>
      </c>
      <c r="B53" s="53" t="s">
        <v>82</v>
      </c>
      <c r="C53" s="36" t="s">
        <v>83</v>
      </c>
      <c r="D53" s="35"/>
      <c r="E53" s="14"/>
      <c r="F53" s="14"/>
      <c r="G53" s="14"/>
      <c r="H53" s="35"/>
      <c r="I53" s="15"/>
      <c r="J53" s="50">
        <v>4812488</v>
      </c>
      <c r="K53" s="230"/>
      <c r="L53" s="50">
        <v>0</v>
      </c>
      <c r="M53" s="50">
        <f>ROUND(L53,0)+ROUND(J53,0)</f>
        <v>4812488</v>
      </c>
      <c r="N53" s="51"/>
    </row>
    <row r="54" spans="1:14">
      <c r="A54" s="52" t="s">
        <v>84</v>
      </c>
      <c r="B54" s="53" t="s">
        <v>85</v>
      </c>
      <c r="C54" s="14" t="s">
        <v>86</v>
      </c>
      <c r="D54" s="35"/>
      <c r="E54" s="14"/>
      <c r="F54" s="14"/>
      <c r="G54" s="14"/>
      <c r="H54" s="35"/>
      <c r="I54" s="15"/>
      <c r="J54" s="89">
        <v>0</v>
      </c>
      <c r="K54" s="230"/>
      <c r="L54" s="89">
        <v>0</v>
      </c>
      <c r="M54" s="89">
        <f>ROUND(L54,0)+ROUND(J54,0)</f>
        <v>0</v>
      </c>
      <c r="N54" s="51"/>
    </row>
    <row r="55" spans="1:14">
      <c r="A55" s="52" t="s">
        <v>87</v>
      </c>
      <c r="B55" s="53" t="s">
        <v>85</v>
      </c>
      <c r="C55" s="76" t="str">
        <f>IF(J55&lt;0,IF(L55&gt;0,"Other Revenues (Expenses)","Other Expenses"),IF(J55&gt;0,IF(L55&gt;=0,"Other Revenues","Other Revenues (Expenses)"),IF(L55&lt;0,"Other Expenses",IF(L55&gt;0,"Other Revenues","Other Revenues (Expenses)"))))</f>
        <v>Other Revenues (Expenses)</v>
      </c>
      <c r="D55" s="35"/>
      <c r="E55" s="14"/>
      <c r="F55" s="14"/>
      <c r="G55" s="14"/>
      <c r="H55" s="35"/>
      <c r="I55" s="15"/>
      <c r="J55" s="58">
        <v>0</v>
      </c>
      <c r="K55" s="230"/>
      <c r="L55" s="58">
        <v>0</v>
      </c>
      <c r="M55" s="58">
        <f>ROUND(L55,0)+ROUND(J55,0)</f>
        <v>0</v>
      </c>
      <c r="N55" s="51"/>
    </row>
    <row r="56" spans="1:14">
      <c r="A56" s="52"/>
      <c r="B56" s="53"/>
      <c r="C56" s="35"/>
      <c r="D56" s="35"/>
      <c r="E56" s="14"/>
      <c r="F56" s="14"/>
      <c r="G56" s="14"/>
      <c r="H56" s="14"/>
      <c r="I56" s="15"/>
      <c r="J56" s="83"/>
      <c r="K56" s="84"/>
      <c r="L56" s="83"/>
      <c r="M56" s="83"/>
      <c r="N56" s="85"/>
    </row>
    <row r="57" spans="1:14">
      <c r="A57" s="70" t="s">
        <v>88</v>
      </c>
      <c r="B57" s="53"/>
      <c r="C57" s="29" t="s">
        <v>89</v>
      </c>
      <c r="D57" s="35"/>
      <c r="E57" s="35"/>
      <c r="F57" s="14"/>
      <c r="G57" s="14"/>
      <c r="H57" s="14"/>
      <c r="I57" s="15"/>
      <c r="J57" s="90">
        <f t="array" ref="J57">SUM(ROUND(J52:J55,0))</f>
        <v>5752331</v>
      </c>
      <c r="K57" s="59"/>
      <c r="L57" s="90">
        <f t="array" ref="L57">SUM(ROUND(L52:L55,0))</f>
        <v>0</v>
      </c>
      <c r="M57" s="90">
        <f t="array" ref="M57">SUM(ROUND(M52:M55,0))</f>
        <v>5752331</v>
      </c>
      <c r="N57" s="91"/>
    </row>
    <row r="58" spans="1:14">
      <c r="A58" s="52"/>
      <c r="B58" s="53"/>
      <c r="C58" s="29"/>
      <c r="D58" s="35"/>
      <c r="E58" s="35"/>
      <c r="F58" s="14"/>
      <c r="G58" s="14"/>
      <c r="H58" s="14"/>
      <c r="I58" s="15"/>
      <c r="J58" s="59"/>
      <c r="K58" s="59"/>
      <c r="L58" s="59"/>
      <c r="M58" s="59"/>
      <c r="N58" s="77"/>
    </row>
    <row r="59" spans="1:14">
      <c r="A59" s="70"/>
      <c r="B59" s="53"/>
      <c r="C59" s="65" t="str">
        <f>IF(J59&lt;0,IF(L59&gt;0,"Increase (Decrease) in Net Position","Decrease in Net Position"),IF(J59&gt;0,IF(L59&gt;=0,"Increase in Net Position","Increase (Decrease) in Net Position"),IF(L59&lt;0,"Decrease in Net Position",IF(L59&gt;0,"Increase in Net Position","Increase (Decrease) in Net Position"))))</f>
        <v>Increase (Decrease) in Net Position</v>
      </c>
      <c r="D59" s="35"/>
      <c r="E59" s="35"/>
      <c r="F59" s="14"/>
      <c r="G59" s="14"/>
      <c r="H59" s="14"/>
      <c r="I59" s="15"/>
      <c r="J59" s="90">
        <f>J50+J57</f>
        <v>3941038</v>
      </c>
      <c r="K59" s="92"/>
      <c r="L59" s="90">
        <f>L50+L57</f>
        <v>-1620466</v>
      </c>
      <c r="M59" s="90">
        <f>M50+M57</f>
        <v>2320572</v>
      </c>
      <c r="N59" s="91"/>
    </row>
    <row r="60" spans="1:14">
      <c r="A60" s="52"/>
      <c r="B60" s="53"/>
      <c r="C60" s="93"/>
      <c r="D60" s="35"/>
      <c r="E60" s="35"/>
      <c r="F60" s="14"/>
      <c r="G60" s="14"/>
      <c r="H60" s="14"/>
      <c r="I60" s="15"/>
      <c r="J60" s="94"/>
      <c r="K60" s="94"/>
      <c r="L60" s="94"/>
      <c r="M60" s="94"/>
      <c r="N60" s="95"/>
    </row>
    <row r="61" spans="1:14">
      <c r="A61" s="52" t="s">
        <v>90</v>
      </c>
      <c r="B61" s="53"/>
      <c r="C61" s="14" t="s">
        <v>91</v>
      </c>
      <c r="D61" s="35"/>
      <c r="E61" s="14"/>
      <c r="F61" s="14"/>
      <c r="G61" s="14"/>
      <c r="H61" s="14"/>
      <c r="I61" s="15"/>
      <c r="J61" s="96">
        <f>VLOOKUP($C$1,[31]VLOOKUPS!A44:D71,2,FALSE)</f>
        <v>135497218</v>
      </c>
      <c r="K61" s="49"/>
      <c r="L61" s="96">
        <f>VLOOKUP($C$1,[31]VLOOKUPS!A44:D71,3,FALSE)</f>
        <v>16120502</v>
      </c>
      <c r="M61" s="89">
        <f>ROUND(L61,0)+ROUND(J61,0)</f>
        <v>151617720</v>
      </c>
      <c r="N61" s="97"/>
    </row>
    <row r="62" spans="1:14">
      <c r="A62" s="52" t="s">
        <v>92</v>
      </c>
      <c r="B62" s="53" t="s">
        <v>93</v>
      </c>
      <c r="C62" s="14" t="s">
        <v>94</v>
      </c>
      <c r="D62" s="35"/>
      <c r="E62" s="14"/>
      <c r="F62" s="14"/>
      <c r="G62" s="14"/>
      <c r="H62" s="14"/>
      <c r="I62" s="15"/>
      <c r="J62" s="82">
        <f>-28238394</f>
        <v>-28238394</v>
      </c>
      <c r="K62" s="49"/>
      <c r="L62" s="82">
        <v>0</v>
      </c>
      <c r="M62" s="82">
        <f>ROUND(L62,0)+ROUND(J62,0)</f>
        <v>-28238394</v>
      </c>
      <c r="N62" s="81"/>
    </row>
    <row r="63" spans="1:14">
      <c r="A63" s="52"/>
      <c r="B63" s="53"/>
      <c r="C63" s="36"/>
      <c r="D63" s="36"/>
      <c r="E63" s="36"/>
      <c r="F63" s="36"/>
      <c r="G63" s="36"/>
      <c r="H63" s="98"/>
      <c r="I63" s="36"/>
      <c r="J63" s="92"/>
      <c r="K63" s="99"/>
      <c r="L63" s="99"/>
      <c r="M63" s="99"/>
      <c r="N63" s="100"/>
    </row>
    <row r="64" spans="1:14">
      <c r="A64" s="70"/>
      <c r="B64" s="53"/>
      <c r="C64" s="101" t="s">
        <v>95</v>
      </c>
      <c r="D64" s="36"/>
      <c r="E64" s="36"/>
      <c r="F64" s="36"/>
      <c r="G64" s="36"/>
      <c r="H64" s="60"/>
      <c r="I64" s="60"/>
      <c r="J64" s="90">
        <f t="array" ref="J64">SUM(ROUND(J61:J62,0))</f>
        <v>107258824</v>
      </c>
      <c r="K64" s="92"/>
      <c r="L64" s="90">
        <f t="array" ref="L64">SUM(ROUND(L61:L62,0))</f>
        <v>16120502</v>
      </c>
      <c r="M64" s="90">
        <f t="array" ref="M64">SUM(ROUND(M61:M62,0))</f>
        <v>123379326</v>
      </c>
      <c r="N64" s="91"/>
    </row>
    <row r="65" spans="1:14">
      <c r="A65" s="52"/>
      <c r="B65" s="53"/>
      <c r="C65" s="36"/>
      <c r="D65" s="36"/>
      <c r="E65" s="36"/>
      <c r="F65" s="36"/>
      <c r="G65" s="36"/>
      <c r="H65" s="102"/>
      <c r="I65" s="36"/>
      <c r="J65" s="102"/>
      <c r="K65" s="60"/>
      <c r="L65" s="60"/>
      <c r="M65" s="60"/>
      <c r="N65" s="61"/>
    </row>
    <row r="66" spans="1:14" ht="13.5" thickBot="1">
      <c r="A66" s="52"/>
      <c r="B66" s="53"/>
      <c r="C66" s="29" t="s">
        <v>96</v>
      </c>
      <c r="D66" s="35"/>
      <c r="E66" s="14"/>
      <c r="F66" s="14"/>
      <c r="G66" s="14"/>
      <c r="H66" s="14"/>
      <c r="I66" s="103"/>
      <c r="J66" s="104">
        <f>J59+J64</f>
        <v>111199862</v>
      </c>
      <c r="K66" s="105"/>
      <c r="L66" s="104">
        <f>L59+L64</f>
        <v>14500036</v>
      </c>
      <c r="M66" s="104">
        <f>M59+M64</f>
        <v>125699898</v>
      </c>
      <c r="N66" s="46"/>
    </row>
    <row r="67" spans="1:14" ht="13.5" thickTop="1">
      <c r="A67" s="70"/>
      <c r="B67" s="53"/>
      <c r="C67" s="14"/>
      <c r="D67" s="14"/>
      <c r="E67" s="14"/>
      <c r="F67" s="14"/>
      <c r="G67" s="14"/>
      <c r="H67" s="14"/>
      <c r="I67" s="15"/>
      <c r="J67" s="107"/>
      <c r="K67" s="15"/>
      <c r="L67" s="107"/>
      <c r="M67" s="107"/>
      <c r="N67" s="108"/>
    </row>
    <row r="68" spans="1:14">
      <c r="A68" s="52"/>
      <c r="B68" s="53"/>
      <c r="C68" s="35" t="s">
        <v>97</v>
      </c>
      <c r="D68" s="35"/>
      <c r="E68" s="35"/>
      <c r="F68" s="35"/>
      <c r="G68" s="35"/>
      <c r="H68" s="35"/>
      <c r="I68" s="87"/>
      <c r="J68" s="35"/>
      <c r="K68" s="87"/>
      <c r="L68" s="35"/>
      <c r="M68" s="35"/>
      <c r="N68" s="37"/>
    </row>
    <row r="69" spans="1:14">
      <c r="B69" s="72"/>
      <c r="I69" s="6"/>
      <c r="J69" s="109">
        <f>J66-[31]SNP!K119</f>
        <v>0</v>
      </c>
      <c r="K69" s="110"/>
      <c r="L69" s="111">
        <f>L66-[31]SNP!M119</f>
        <v>0</v>
      </c>
      <c r="M69" s="111">
        <f>M66-[31]SNP!N119</f>
        <v>0</v>
      </c>
      <c r="N69" s="112"/>
    </row>
    <row r="70" spans="1:14">
      <c r="B70" s="72"/>
      <c r="I70" s="113" t="s">
        <v>98</v>
      </c>
      <c r="J70" s="114"/>
      <c r="K70" s="115"/>
      <c r="L70" s="114"/>
      <c r="M70" s="114"/>
      <c r="N70" s="114"/>
    </row>
  </sheetData>
  <sheetProtection formatColumns="0" formatRows="0"/>
  <conditionalFormatting sqref="J69 L69">
    <cfRule type="cellIs" dxfId="29" priority="14" operator="notEqual">
      <formula>0</formula>
    </cfRule>
    <cfRule type="cellIs" dxfId="28" priority="15" operator="equal">
      <formula>0</formula>
    </cfRule>
  </conditionalFormatting>
  <conditionalFormatting sqref="J11:J15 F11:G11 L24:L30 L37:L45 J37:J45 L62 J62 L17:L18 J25:J29 J17:J18 F17:G17 L11:L15 L52:L55 J52:J55">
    <cfRule type="containsBlanks" dxfId="27" priority="12">
      <formula>LEN(TRIM(F11))=0</formula>
    </cfRule>
    <cfRule type="cellIs" dxfId="26" priority="13" operator="notEqual">
      <formula>0</formula>
    </cfRule>
  </conditionalFormatting>
  <conditionalFormatting sqref="J11">
    <cfRule type="cellIs" dxfId="25" priority="11" operator="notEqual">
      <formula>J20</formula>
    </cfRule>
  </conditionalFormatting>
  <conditionalFormatting sqref="L11">
    <cfRule type="cellIs" dxfId="24" priority="10" operator="notEqual">
      <formula>L20</formula>
    </cfRule>
  </conditionalFormatting>
  <conditionalFormatting sqref="M69">
    <cfRule type="cellIs" dxfId="23" priority="8" operator="notEqual">
      <formula>0</formula>
    </cfRule>
    <cfRule type="cellIs" dxfId="22" priority="9" operator="equal">
      <formula>0</formula>
    </cfRule>
  </conditionalFormatting>
  <conditionalFormatting sqref="M24:M30 M37:M45 M62 M17:M18 M11:M15 M52:M55">
    <cfRule type="containsBlanks" dxfId="21" priority="6">
      <formula>LEN(TRIM(M11))=0</formula>
    </cfRule>
    <cfRule type="cellIs" dxfId="20" priority="7" operator="notEqual">
      <formula>0</formula>
    </cfRule>
  </conditionalFormatting>
  <conditionalFormatting sqref="M11">
    <cfRule type="cellIs" dxfId="19" priority="5" operator="notEqual">
      <formula>M20</formula>
    </cfRule>
  </conditionalFormatting>
  <conditionalFormatting sqref="J24">
    <cfRule type="containsBlanks" dxfId="18" priority="3">
      <formula>LEN(TRIM(J24))=0</formula>
    </cfRule>
    <cfRule type="cellIs" dxfId="17" priority="4" operator="notEqual">
      <formula>0</formula>
    </cfRule>
  </conditionalFormatting>
  <conditionalFormatting sqref="M61">
    <cfRule type="containsBlanks" dxfId="16" priority="1">
      <formula>LEN(TRIM(M61))=0</formula>
    </cfRule>
    <cfRule type="cellIs" dxfId="15" priority="2" operator="notEqual">
      <formula>0</formula>
    </cfRule>
  </conditionalFormatting>
  <printOptions horizontalCentered="1"/>
  <pageMargins left="0.7" right="0.7" top="0.75" bottom="0.75" header="0.5" footer="0.5"/>
  <pageSetup scale="52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  <pageSetUpPr fitToPage="1"/>
  </sheetPr>
  <dimension ref="A1:T70"/>
  <sheetViews>
    <sheetView topLeftCell="C1" zoomScale="80" zoomScaleNormal="80" zoomScaleSheetLayoutView="70" workbookViewId="0">
      <selection activeCell="C1" sqref="C1"/>
    </sheetView>
  </sheetViews>
  <sheetFormatPr defaultColWidth="11.140625" defaultRowHeight="12.75"/>
  <cols>
    <col min="1" max="1" width="0" style="1" hidden="1" customWidth="1"/>
    <col min="2" max="2" width="0" style="20" hidden="1" customWidth="1"/>
    <col min="3" max="8" width="11.140625" style="6"/>
    <col min="9" max="9" width="11.140625" style="11"/>
    <col min="10" max="10" width="16.5703125" style="6" customWidth="1"/>
    <col min="11" max="11" width="11.140625" style="11"/>
    <col min="12" max="12" width="14.5703125" style="6" customWidth="1"/>
    <col min="13" max="13" width="16" style="6" customWidth="1"/>
    <col min="14" max="14" width="11.140625" style="6"/>
    <col min="15" max="15" width="11.140625" style="10"/>
    <col min="16" max="20" width="11.140625" style="5"/>
    <col min="21" max="16384" width="11.140625" style="6"/>
  </cols>
  <sheetData>
    <row r="1" spans="1:14">
      <c r="B1" s="2"/>
      <c r="C1" s="260" t="str">
        <f>'[5]Contact Information'!$C$5</f>
        <v>EASTERN FLORIDA STATE COLLEGE</v>
      </c>
      <c r="D1" s="260"/>
      <c r="E1" s="260"/>
      <c r="F1" s="260"/>
      <c r="G1" s="260"/>
      <c r="H1" s="260"/>
      <c r="I1" s="260"/>
      <c r="J1" s="260"/>
      <c r="K1" s="260"/>
      <c r="L1" s="260"/>
      <c r="M1" s="247"/>
      <c r="N1" s="3"/>
    </row>
    <row r="2" spans="1:14">
      <c r="B2" s="2"/>
      <c r="C2" s="256" t="s">
        <v>0</v>
      </c>
      <c r="D2" s="256"/>
      <c r="E2" s="256"/>
      <c r="F2" s="256"/>
      <c r="G2" s="256"/>
      <c r="H2" s="256"/>
      <c r="I2" s="256"/>
      <c r="J2" s="256"/>
      <c r="K2" s="256"/>
      <c r="L2" s="256"/>
      <c r="M2" s="245"/>
      <c r="N2" s="7"/>
    </row>
    <row r="3" spans="1:14">
      <c r="B3" s="2"/>
      <c r="C3" s="86" t="s">
        <v>1</v>
      </c>
      <c r="D3" s="86"/>
      <c r="E3" s="86"/>
      <c r="F3" s="86"/>
      <c r="G3" s="86"/>
      <c r="H3" s="86"/>
      <c r="I3" s="86"/>
      <c r="J3" s="86"/>
      <c r="K3" s="86"/>
      <c r="L3" s="86"/>
      <c r="M3" s="248"/>
      <c r="N3" s="9" t="s">
        <v>2</v>
      </c>
    </row>
    <row r="4" spans="1:14">
      <c r="B4" s="2"/>
      <c r="C4" s="261" t="s">
        <v>297</v>
      </c>
      <c r="D4" s="261"/>
      <c r="E4" s="261"/>
      <c r="F4" s="261"/>
      <c r="G4" s="261"/>
      <c r="H4" s="261"/>
      <c r="I4" s="261"/>
      <c r="J4" s="261"/>
      <c r="K4" s="261"/>
      <c r="L4" s="261"/>
      <c r="M4" s="249"/>
      <c r="N4" s="11" t="str">
        <f>'[5]Contact Information'!$C$3</f>
        <v>2015.v03</v>
      </c>
    </row>
    <row r="5" spans="1:14">
      <c r="A5" s="12"/>
      <c r="B5" s="13"/>
      <c r="C5" s="14"/>
      <c r="D5" s="14"/>
      <c r="E5" s="14"/>
      <c r="F5" s="14"/>
      <c r="G5" s="14"/>
      <c r="H5" s="14"/>
      <c r="I5" s="15"/>
      <c r="J5" s="16"/>
      <c r="K5" s="17"/>
      <c r="L5" s="16"/>
      <c r="M5" s="16"/>
      <c r="N5" s="18"/>
    </row>
    <row r="6" spans="1:14">
      <c r="C6" s="14"/>
      <c r="D6" s="14"/>
      <c r="E6" s="14"/>
      <c r="F6" s="14"/>
      <c r="G6" s="14"/>
      <c r="H6" s="14"/>
      <c r="I6" s="15"/>
      <c r="J6" s="249" t="s">
        <v>5</v>
      </c>
      <c r="K6" s="21"/>
      <c r="L6" s="22" t="s">
        <v>6</v>
      </c>
      <c r="M6" s="22" t="s">
        <v>7</v>
      </c>
      <c r="N6" s="23"/>
    </row>
    <row r="7" spans="1:14">
      <c r="C7" s="14"/>
      <c r="D7" s="14"/>
      <c r="E7" s="14"/>
      <c r="F7" s="14"/>
      <c r="G7" s="14"/>
      <c r="H7" s="14"/>
      <c r="I7" s="15"/>
      <c r="J7" s="24"/>
      <c r="K7" s="25"/>
      <c r="L7" s="26" t="str">
        <f>[5]SNP!$M$9</f>
        <v>Unit</v>
      </c>
      <c r="M7" s="26"/>
      <c r="N7" s="27"/>
    </row>
    <row r="8" spans="1:14">
      <c r="C8" s="29" t="s">
        <v>9</v>
      </c>
      <c r="D8" s="14"/>
      <c r="E8" s="14"/>
      <c r="F8" s="14"/>
      <c r="G8" s="14"/>
      <c r="H8" s="14"/>
      <c r="I8" s="15"/>
      <c r="J8" s="25"/>
      <c r="K8" s="25"/>
      <c r="L8" s="25"/>
      <c r="M8" s="25"/>
      <c r="N8" s="30"/>
    </row>
    <row r="9" spans="1:14">
      <c r="A9" s="32" t="s">
        <v>10</v>
      </c>
      <c r="B9" s="33" t="s">
        <v>11</v>
      </c>
      <c r="C9" s="14" t="s">
        <v>12</v>
      </c>
      <c r="D9" s="14"/>
      <c r="E9" s="14"/>
      <c r="F9" s="14"/>
      <c r="G9" s="14"/>
      <c r="H9" s="14"/>
      <c r="I9" s="15"/>
      <c r="J9" s="17"/>
      <c r="K9" s="17"/>
      <c r="L9" s="17"/>
      <c r="M9" s="17"/>
      <c r="N9" s="18"/>
    </row>
    <row r="10" spans="1:14">
      <c r="B10" s="34"/>
      <c r="C10" s="35"/>
      <c r="D10" s="36" t="s">
        <v>14</v>
      </c>
      <c r="E10" s="14"/>
      <c r="F10" s="14"/>
      <c r="G10" s="14"/>
      <c r="H10" s="14"/>
      <c r="I10" s="35"/>
      <c r="J10" s="35"/>
      <c r="K10" s="17"/>
      <c r="L10" s="35"/>
      <c r="M10" s="35"/>
      <c r="N10" s="37"/>
    </row>
    <row r="11" spans="1:14">
      <c r="A11" s="1" t="s">
        <v>17</v>
      </c>
      <c r="B11" s="34" t="s">
        <v>18</v>
      </c>
      <c r="C11" s="35"/>
      <c r="D11" s="44" t="s">
        <v>19</v>
      </c>
      <c r="E11" s="35"/>
      <c r="F11" s="263">
        <v>10687298.99</v>
      </c>
      <c r="G11" s="263"/>
      <c r="H11" s="45"/>
      <c r="I11" s="36"/>
      <c r="J11" s="228">
        <v>19458327.640000001</v>
      </c>
      <c r="K11" s="229"/>
      <c r="L11" s="228">
        <v>0</v>
      </c>
      <c r="M11" s="228">
        <f>ROUND(L11,0)+ROUND(J11,0)</f>
        <v>19458328</v>
      </c>
      <c r="N11" s="46"/>
    </row>
    <row r="12" spans="1:14">
      <c r="A12" s="1" t="s">
        <v>20</v>
      </c>
      <c r="B12" s="34" t="s">
        <v>21</v>
      </c>
      <c r="C12" s="35"/>
      <c r="D12" s="36" t="s">
        <v>22</v>
      </c>
      <c r="E12" s="14"/>
      <c r="F12" s="48"/>
      <c r="G12" s="49"/>
      <c r="H12" s="15"/>
      <c r="I12" s="35"/>
      <c r="J12" s="50">
        <v>3516567.21</v>
      </c>
      <c r="K12" s="230"/>
      <c r="L12" s="50">
        <v>0</v>
      </c>
      <c r="M12" s="50">
        <f>ROUND(L12,0)+ROUND(J12,0)</f>
        <v>3516567</v>
      </c>
      <c r="N12" s="51"/>
    </row>
    <row r="13" spans="1:14">
      <c r="A13" s="1" t="s">
        <v>23</v>
      </c>
      <c r="B13" s="34" t="s">
        <v>21</v>
      </c>
      <c r="C13" s="35"/>
      <c r="D13" s="36" t="s">
        <v>24</v>
      </c>
      <c r="E13" s="14"/>
      <c r="F13" s="48"/>
      <c r="G13" s="48"/>
      <c r="H13" s="14"/>
      <c r="I13" s="35"/>
      <c r="J13" s="50">
        <v>2099591.61</v>
      </c>
      <c r="K13" s="230"/>
      <c r="L13" s="50">
        <v>0</v>
      </c>
      <c r="M13" s="50">
        <f>ROUND(L13,0)+ROUND(J13,0)</f>
        <v>2099592</v>
      </c>
      <c r="N13" s="51"/>
    </row>
    <row r="14" spans="1:14">
      <c r="A14" s="1" t="s">
        <v>25</v>
      </c>
      <c r="B14" s="34" t="s">
        <v>21</v>
      </c>
      <c r="C14" s="35"/>
      <c r="D14" s="36" t="s">
        <v>26</v>
      </c>
      <c r="E14" s="14"/>
      <c r="F14" s="48"/>
      <c r="G14" s="48"/>
      <c r="H14" s="14"/>
      <c r="I14" s="35"/>
      <c r="J14" s="50">
        <v>382883.4</v>
      </c>
      <c r="K14" s="230"/>
      <c r="L14" s="50">
        <v>0</v>
      </c>
      <c r="M14" s="50">
        <f>ROUND(L14,0)+ROUND(J14,0)</f>
        <v>382883</v>
      </c>
      <c r="N14" s="51"/>
    </row>
    <row r="15" spans="1:14">
      <c r="A15" s="1" t="s">
        <v>27</v>
      </c>
      <c r="B15" s="34" t="s">
        <v>18</v>
      </c>
      <c r="C15" s="35"/>
      <c r="D15" s="36" t="s">
        <v>28</v>
      </c>
      <c r="E15" s="14"/>
      <c r="F15" s="48"/>
      <c r="G15" s="48"/>
      <c r="H15" s="35"/>
      <c r="I15" s="35"/>
      <c r="J15" s="50">
        <v>1435395.83</v>
      </c>
      <c r="K15" s="230"/>
      <c r="L15" s="50">
        <v>0</v>
      </c>
      <c r="M15" s="50">
        <f>ROUND(L15,0)+ROUND(J15,0)</f>
        <v>1435396</v>
      </c>
      <c r="N15" s="51"/>
    </row>
    <row r="16" spans="1:14">
      <c r="A16" s="52"/>
      <c r="B16" s="53"/>
      <c r="C16" s="35"/>
      <c r="D16" s="36" t="s">
        <v>29</v>
      </c>
      <c r="E16" s="14"/>
      <c r="F16" s="54"/>
      <c r="G16" s="49"/>
      <c r="H16" s="55"/>
      <c r="I16" s="35"/>
      <c r="J16" s="35"/>
      <c r="K16" s="230"/>
      <c r="L16" s="35"/>
      <c r="M16" s="35"/>
      <c r="N16" s="37"/>
    </row>
    <row r="17" spans="1:14">
      <c r="A17" s="52" t="s">
        <v>30</v>
      </c>
      <c r="B17" s="53" t="s">
        <v>18</v>
      </c>
      <c r="C17" s="35"/>
      <c r="D17" s="44" t="s">
        <v>19</v>
      </c>
      <c r="E17" s="35"/>
      <c r="F17" s="263">
        <v>0</v>
      </c>
      <c r="G17" s="263"/>
      <c r="H17" s="55"/>
      <c r="I17" s="35"/>
      <c r="J17" s="50">
        <v>1249521.54</v>
      </c>
      <c r="K17" s="230"/>
      <c r="L17" s="50">
        <v>0</v>
      </c>
      <c r="M17" s="50">
        <f>ROUND(L17,0)+ROUND(J17,0)</f>
        <v>1249522</v>
      </c>
      <c r="N17" s="51"/>
    </row>
    <row r="18" spans="1:14">
      <c r="A18" s="52" t="s">
        <v>31</v>
      </c>
      <c r="B18" s="56" t="s">
        <v>32</v>
      </c>
      <c r="C18" s="35"/>
      <c r="D18" s="57" t="s">
        <v>33</v>
      </c>
      <c r="E18" s="14"/>
      <c r="F18" s="14"/>
      <c r="G18" s="14"/>
      <c r="H18" s="14"/>
      <c r="I18" s="36"/>
      <c r="J18" s="58">
        <v>439293.11</v>
      </c>
      <c r="K18" s="230"/>
      <c r="L18" s="58">
        <v>114047</v>
      </c>
      <c r="M18" s="58">
        <f>ROUND(L18,0)+ROUND(J18,0)</f>
        <v>553340</v>
      </c>
      <c r="N18" s="51"/>
    </row>
    <row r="19" spans="1:14">
      <c r="A19" s="52"/>
      <c r="B19" s="56"/>
      <c r="C19" s="36"/>
      <c r="D19" s="36"/>
      <c r="E19" s="36"/>
      <c r="F19" s="36"/>
      <c r="G19" s="36"/>
      <c r="H19" s="59"/>
      <c r="I19" s="59"/>
      <c r="J19" s="59"/>
      <c r="K19" s="60"/>
      <c r="L19" s="60"/>
      <c r="M19" s="60"/>
      <c r="N19" s="61"/>
    </row>
    <row r="20" spans="1:14">
      <c r="A20" s="52" t="s">
        <v>34</v>
      </c>
      <c r="B20" s="56"/>
      <c r="C20" s="35"/>
      <c r="D20" s="65" t="s">
        <v>35</v>
      </c>
      <c r="E20" s="35"/>
      <c r="F20" s="14"/>
      <c r="G20" s="14"/>
      <c r="H20" s="14"/>
      <c r="I20" s="15"/>
      <c r="J20" s="66">
        <f t="array" ref="J20">SUM(ROUND(J11:J18,0))</f>
        <v>28581581</v>
      </c>
      <c r="K20" s="67"/>
      <c r="L20" s="66">
        <f t="array" ref="L20">SUM(ROUND(L11:L18,0))</f>
        <v>114047</v>
      </c>
      <c r="M20" s="66">
        <f t="array" ref="M20">SUM(ROUND(M11:M18,0))</f>
        <v>28695628</v>
      </c>
      <c r="N20" s="68"/>
    </row>
    <row r="21" spans="1:14">
      <c r="A21" s="52"/>
      <c r="B21" s="56"/>
      <c r="C21" s="14"/>
      <c r="D21" s="14"/>
      <c r="E21" s="14"/>
      <c r="F21" s="14"/>
      <c r="G21" s="14"/>
      <c r="H21" s="14"/>
      <c r="I21" s="15"/>
      <c r="J21" s="17"/>
      <c r="K21" s="17"/>
      <c r="L21" s="17"/>
      <c r="M21" s="17"/>
      <c r="N21" s="18"/>
    </row>
    <row r="22" spans="1:14">
      <c r="A22" s="70"/>
      <c r="B22" s="71"/>
      <c r="C22" s="29" t="s">
        <v>36</v>
      </c>
      <c r="D22" s="14"/>
      <c r="E22" s="14"/>
      <c r="F22" s="14"/>
      <c r="G22" s="14"/>
      <c r="H22" s="14"/>
      <c r="I22" s="15"/>
      <c r="J22" s="16"/>
      <c r="K22" s="17"/>
      <c r="L22" s="16"/>
      <c r="M22" s="16"/>
      <c r="N22" s="18"/>
    </row>
    <row r="23" spans="1:14">
      <c r="A23" s="52"/>
      <c r="B23" s="53"/>
      <c r="C23" s="14" t="s">
        <v>37</v>
      </c>
      <c r="D23" s="14"/>
      <c r="E23" s="14"/>
      <c r="F23" s="14"/>
      <c r="G23" s="35"/>
      <c r="H23" s="14"/>
      <c r="I23" s="15"/>
      <c r="J23" s="16"/>
      <c r="K23" s="17"/>
      <c r="L23" s="16"/>
      <c r="M23" s="16"/>
      <c r="N23" s="18"/>
    </row>
    <row r="24" spans="1:14">
      <c r="A24" s="12" t="s">
        <v>38</v>
      </c>
      <c r="B24" s="72" t="s">
        <v>39</v>
      </c>
      <c r="C24" s="44"/>
      <c r="D24" s="36" t="s">
        <v>40</v>
      </c>
      <c r="E24" s="14"/>
      <c r="F24" s="14"/>
      <c r="G24" s="35"/>
      <c r="H24" s="14"/>
      <c r="I24" s="15"/>
      <c r="J24" s="50">
        <v>60428400.189999998</v>
      </c>
      <c r="K24" s="230"/>
      <c r="L24" s="50">
        <v>51523</v>
      </c>
      <c r="M24" s="50">
        <f t="shared" ref="M24:M30" si="0">ROUND(L24,0)+ROUND(J24,0)</f>
        <v>60479923</v>
      </c>
      <c r="N24" s="51"/>
    </row>
    <row r="25" spans="1:14">
      <c r="A25" s="1" t="s">
        <v>41</v>
      </c>
      <c r="B25" s="72" t="s">
        <v>39</v>
      </c>
      <c r="C25" s="44"/>
      <c r="D25" s="36" t="s">
        <v>42</v>
      </c>
      <c r="E25" s="14"/>
      <c r="F25" s="14"/>
      <c r="G25" s="35"/>
      <c r="H25" s="14"/>
      <c r="I25" s="15"/>
      <c r="J25" s="50">
        <v>19914409.190000001</v>
      </c>
      <c r="K25" s="230"/>
      <c r="L25" s="50">
        <v>563226</v>
      </c>
      <c r="M25" s="50">
        <f t="shared" si="0"/>
        <v>20477635</v>
      </c>
      <c r="N25" s="51"/>
    </row>
    <row r="26" spans="1:14">
      <c r="A26" s="12" t="s">
        <v>43</v>
      </c>
      <c r="B26" s="34" t="s">
        <v>39</v>
      </c>
      <c r="C26" s="44"/>
      <c r="D26" s="36" t="s">
        <v>44</v>
      </c>
      <c r="E26" s="14"/>
      <c r="F26" s="14"/>
      <c r="G26" s="35"/>
      <c r="H26" s="14"/>
      <c r="I26" s="15"/>
      <c r="J26" s="50">
        <v>3245409.28</v>
      </c>
      <c r="K26" s="230"/>
      <c r="L26" s="50">
        <v>318</v>
      </c>
      <c r="M26" s="50">
        <f t="shared" si="0"/>
        <v>3245727</v>
      </c>
      <c r="N26" s="51"/>
    </row>
    <row r="27" spans="1:14">
      <c r="A27" s="1" t="s">
        <v>45</v>
      </c>
      <c r="B27" s="72" t="s">
        <v>39</v>
      </c>
      <c r="C27" s="44"/>
      <c r="D27" s="36" t="s">
        <v>46</v>
      </c>
      <c r="E27" s="14"/>
      <c r="F27" s="14"/>
      <c r="G27" s="35"/>
      <c r="H27" s="14"/>
      <c r="I27" s="15"/>
      <c r="J27" s="50">
        <v>8265198.0800000001</v>
      </c>
      <c r="K27" s="230"/>
      <c r="L27" s="50">
        <v>255785</v>
      </c>
      <c r="M27" s="50">
        <f t="shared" si="0"/>
        <v>8520983</v>
      </c>
      <c r="N27" s="51"/>
    </row>
    <row r="28" spans="1:14">
      <c r="A28" s="12" t="s">
        <v>47</v>
      </c>
      <c r="B28" s="34" t="s">
        <v>39</v>
      </c>
      <c r="C28" s="44"/>
      <c r="D28" s="36" t="s">
        <v>48</v>
      </c>
      <c r="E28" s="14"/>
      <c r="F28" s="14"/>
      <c r="G28" s="35"/>
      <c r="H28" s="14"/>
      <c r="I28" s="15"/>
      <c r="J28" s="50">
        <v>5989764.2000000002</v>
      </c>
      <c r="K28" s="230"/>
      <c r="L28" s="50">
        <v>190565</v>
      </c>
      <c r="M28" s="50">
        <f t="shared" si="0"/>
        <v>6180329</v>
      </c>
      <c r="N28" s="51"/>
    </row>
    <row r="29" spans="1:14">
      <c r="A29" s="1" t="s">
        <v>49</v>
      </c>
      <c r="B29" s="34" t="s">
        <v>39</v>
      </c>
      <c r="C29" s="44"/>
      <c r="D29" s="36" t="s">
        <v>50</v>
      </c>
      <c r="E29" s="14"/>
      <c r="F29" s="14"/>
      <c r="G29" s="35"/>
      <c r="H29" s="14"/>
      <c r="I29" s="15"/>
      <c r="J29" s="50">
        <v>5121865.3899999997</v>
      </c>
      <c r="K29" s="230"/>
      <c r="L29" s="50">
        <v>27063</v>
      </c>
      <c r="M29" s="50">
        <f t="shared" si="0"/>
        <v>5148928</v>
      </c>
      <c r="N29" s="51"/>
    </row>
    <row r="30" spans="1:14">
      <c r="A30" s="12" t="s">
        <v>51</v>
      </c>
      <c r="B30" s="72" t="s">
        <v>52</v>
      </c>
      <c r="C30" s="44"/>
      <c r="D30" s="36" t="s">
        <v>53</v>
      </c>
      <c r="E30" s="14"/>
      <c r="F30" s="14"/>
      <c r="G30" s="35"/>
      <c r="H30" s="14"/>
      <c r="I30" s="15"/>
      <c r="J30" s="231">
        <f>'[5]Accounts by GL'!O481</f>
        <v>7305857.6299999999</v>
      </c>
      <c r="K30" s="230"/>
      <c r="L30" s="58">
        <v>1960</v>
      </c>
      <c r="M30" s="58">
        <f t="shared" si="0"/>
        <v>7307818</v>
      </c>
      <c r="N30" s="51"/>
    </row>
    <row r="31" spans="1:14">
      <c r="B31" s="72"/>
      <c r="C31" s="44"/>
      <c r="D31" s="36"/>
      <c r="E31" s="14"/>
      <c r="F31" s="14"/>
      <c r="G31" s="35"/>
      <c r="H31" s="14"/>
      <c r="I31" s="15"/>
      <c r="J31" s="73"/>
      <c r="K31" s="73"/>
      <c r="L31" s="73"/>
      <c r="M31" s="73"/>
      <c r="N31" s="74"/>
    </row>
    <row r="32" spans="1:14">
      <c r="A32" s="1" t="s">
        <v>54</v>
      </c>
      <c r="B32" s="72"/>
      <c r="C32" s="14"/>
      <c r="D32" s="65" t="s">
        <v>55</v>
      </c>
      <c r="E32" s="35"/>
      <c r="F32" s="14"/>
      <c r="G32" s="14"/>
      <c r="H32" s="14"/>
      <c r="I32" s="15"/>
      <c r="J32" s="66">
        <f t="array" ref="J32">SUM(ROUND(J24:J30,0))</f>
        <v>110270903</v>
      </c>
      <c r="K32" s="59"/>
      <c r="L32" s="66">
        <f t="array" ref="L32">SUM(ROUND(L24:L30,0))</f>
        <v>1090440</v>
      </c>
      <c r="M32" s="66">
        <f t="array" ref="M32">SUM(ROUND(M24:M30,0))</f>
        <v>111361343</v>
      </c>
      <c r="N32" s="68"/>
    </row>
    <row r="33" spans="1:14">
      <c r="A33" s="12"/>
      <c r="B33" s="72"/>
      <c r="C33" s="44"/>
      <c r="D33" s="76"/>
      <c r="E33" s="14"/>
      <c r="F33" s="14"/>
      <c r="G33" s="35"/>
      <c r="H33" s="14"/>
      <c r="I33" s="15"/>
      <c r="J33" s="59"/>
      <c r="K33" s="59"/>
      <c r="L33" s="59"/>
      <c r="M33" s="59"/>
      <c r="N33" s="77"/>
    </row>
    <row r="34" spans="1:14">
      <c r="B34" s="72"/>
      <c r="C34" s="14"/>
      <c r="D34" s="65" t="str">
        <f>IF(J34&lt;0,IF(L34&gt;0,"Operating Income (Loss)","Operating Loss"),IF(J34&gt;0,IF(L34&gt;=0,"Operating Income","Operating Income (Loss)"),IF(L34&lt;0,"Operating Loss",IF(L34&gt;0,"Operating Income","Operating Income (Loss)"))))</f>
        <v>Operating Loss</v>
      </c>
      <c r="E34" s="35"/>
      <c r="F34" s="14"/>
      <c r="G34" s="14"/>
      <c r="H34" s="14"/>
      <c r="I34" s="15"/>
      <c r="J34" s="66">
        <f>J20-J32</f>
        <v>-81689322</v>
      </c>
      <c r="K34" s="67"/>
      <c r="L34" s="66">
        <f>L20-L32</f>
        <v>-976393</v>
      </c>
      <c r="M34" s="66">
        <f>M20-M32</f>
        <v>-82665715</v>
      </c>
      <c r="N34" s="68"/>
    </row>
    <row r="35" spans="1:14">
      <c r="A35" s="12"/>
      <c r="B35" s="72"/>
      <c r="C35" s="14"/>
      <c r="D35" s="14"/>
      <c r="E35" s="14"/>
      <c r="F35" s="14"/>
      <c r="G35" s="14"/>
      <c r="H35" s="14"/>
      <c r="I35" s="15"/>
      <c r="J35" s="78"/>
      <c r="K35" s="78"/>
      <c r="L35" s="78"/>
      <c r="M35" s="78"/>
      <c r="N35" s="79"/>
    </row>
    <row r="36" spans="1:14">
      <c r="B36" s="72"/>
      <c r="C36" s="29" t="s">
        <v>56</v>
      </c>
      <c r="D36" s="35"/>
      <c r="E36" s="14"/>
      <c r="F36" s="14"/>
      <c r="G36" s="14"/>
      <c r="H36" s="14"/>
      <c r="I36" s="15"/>
      <c r="J36" s="16"/>
      <c r="K36" s="17"/>
      <c r="L36" s="16"/>
      <c r="M36" s="16"/>
      <c r="N36" s="18"/>
    </row>
    <row r="37" spans="1:14">
      <c r="A37" s="12" t="s">
        <v>57</v>
      </c>
      <c r="B37" s="72" t="s">
        <v>58</v>
      </c>
      <c r="C37" s="36" t="s">
        <v>59</v>
      </c>
      <c r="D37" s="35"/>
      <c r="E37" s="14"/>
      <c r="F37" s="14"/>
      <c r="G37" s="35"/>
      <c r="H37" s="14"/>
      <c r="I37" s="15"/>
      <c r="J37" s="80">
        <v>42861042.909999996</v>
      </c>
      <c r="K37" s="49"/>
      <c r="L37" s="80">
        <v>0</v>
      </c>
      <c r="M37" s="80">
        <f t="shared" ref="M37:M45" si="1">ROUND(L37,0)+ROUND(J37,0)</f>
        <v>42861043</v>
      </c>
      <c r="N37" s="81"/>
    </row>
    <row r="38" spans="1:14">
      <c r="A38" s="1" t="s">
        <v>60</v>
      </c>
      <c r="B38" s="72" t="s">
        <v>21</v>
      </c>
      <c r="C38" s="36" t="s">
        <v>61</v>
      </c>
      <c r="D38" s="35"/>
      <c r="E38" s="14"/>
      <c r="F38" s="14"/>
      <c r="G38" s="35"/>
      <c r="H38" s="14"/>
      <c r="I38" s="15"/>
      <c r="J38" s="80">
        <v>29630866.5</v>
      </c>
      <c r="K38" s="49"/>
      <c r="L38" s="80">
        <v>0</v>
      </c>
      <c r="M38" s="80">
        <f t="shared" si="1"/>
        <v>29630867</v>
      </c>
      <c r="N38" s="81"/>
    </row>
    <row r="39" spans="1:14">
      <c r="A39" s="12" t="s">
        <v>62</v>
      </c>
      <c r="B39" s="72" t="s">
        <v>21</v>
      </c>
      <c r="C39" s="36" t="s">
        <v>63</v>
      </c>
      <c r="D39" s="35"/>
      <c r="E39" s="14"/>
      <c r="F39" s="14"/>
      <c r="G39" s="35"/>
      <c r="H39" s="14"/>
      <c r="I39" s="15"/>
      <c r="J39" s="80">
        <v>2839437.2</v>
      </c>
      <c r="K39" s="49"/>
      <c r="L39" s="80">
        <v>811806</v>
      </c>
      <c r="M39" s="80">
        <f t="shared" si="1"/>
        <v>3651243</v>
      </c>
      <c r="N39" s="81"/>
    </row>
    <row r="40" spans="1:14">
      <c r="A40" s="1" t="s">
        <v>64</v>
      </c>
      <c r="B40" s="72" t="s">
        <v>65</v>
      </c>
      <c r="C40" s="36" t="s">
        <v>66</v>
      </c>
      <c r="D40" s="35"/>
      <c r="E40" s="14"/>
      <c r="F40" s="14"/>
      <c r="G40" s="35"/>
      <c r="H40" s="14"/>
      <c r="I40" s="15"/>
      <c r="J40" s="80">
        <v>9778.0400000000009</v>
      </c>
      <c r="K40" s="49"/>
      <c r="L40" s="80">
        <v>705035</v>
      </c>
      <c r="M40" s="80">
        <f t="shared" si="1"/>
        <v>714813</v>
      </c>
      <c r="N40" s="81"/>
    </row>
    <row r="41" spans="1:14">
      <c r="A41" s="12" t="s">
        <v>67</v>
      </c>
      <c r="B41" s="72" t="s">
        <v>65</v>
      </c>
      <c r="C41" s="36" t="str">
        <f>IF(J41&lt;0,IF(L41&gt;0,"Net Gain (Loss) on Investments","Net Loss on Investments"),IF(J41&gt;0,IF(L41&gt;=0,"Net Gain on Investments","Net Gain (Loss) on Investments"),IF(L41&lt;0,"Net Loss on Investments",IF(L41&gt;0,"Net Gain on Investments","Net Gain (Loss) on Investments"))))</f>
        <v>Net Gain (Loss) on Investments</v>
      </c>
      <c r="D41" s="35"/>
      <c r="E41" s="14"/>
      <c r="F41" s="14"/>
      <c r="G41" s="35"/>
      <c r="H41" s="14"/>
      <c r="I41" s="15"/>
      <c r="J41" s="80">
        <v>0</v>
      </c>
      <c r="K41" s="49"/>
      <c r="L41" s="80">
        <v>0</v>
      </c>
      <c r="M41" s="80">
        <f t="shared" si="1"/>
        <v>0</v>
      </c>
      <c r="N41" s="81"/>
    </row>
    <row r="42" spans="1:14">
      <c r="A42" s="1" t="s">
        <v>68</v>
      </c>
      <c r="B42" s="72" t="s">
        <v>32</v>
      </c>
      <c r="C42" s="36" t="s">
        <v>69</v>
      </c>
      <c r="D42" s="35"/>
      <c r="E42" s="14"/>
      <c r="F42" s="14"/>
      <c r="G42" s="35"/>
      <c r="H42" s="14"/>
      <c r="I42" s="15"/>
      <c r="J42" s="80">
        <v>30073.21</v>
      </c>
      <c r="K42" s="49"/>
      <c r="L42" s="80">
        <v>0</v>
      </c>
      <c r="M42" s="80">
        <f t="shared" si="1"/>
        <v>30073</v>
      </c>
      <c r="N42" s="81"/>
    </row>
    <row r="43" spans="1:14">
      <c r="A43" s="12" t="s">
        <v>70</v>
      </c>
      <c r="B43" s="72" t="s">
        <v>71</v>
      </c>
      <c r="C43" s="36" t="str">
        <f>IF(J43&lt;0,IF(L43&gt;0,"Gain (Loss) on Disposal of Capital Assets","Loss on Disposal of Capital Assets"),IF(J43&gt;0,IF(L43&gt;=0,"Gain on Disposal of Capital Assets","Gain (Loss) on Disposal of Capital Assets"),IF(L43&lt;0,"Loss on Disposal of Capital Assets",IF(L43&gt;0,"Gain on Disposal of Capital Assets","Gain (Loss) on Disposal of Capital Assets"))))</f>
        <v>Loss on Disposal of Capital Assets</v>
      </c>
      <c r="D43" s="35"/>
      <c r="E43" s="14"/>
      <c r="F43" s="14"/>
      <c r="G43" s="35"/>
      <c r="H43" s="14"/>
      <c r="I43" s="15"/>
      <c r="J43" s="80">
        <v>-11331.55</v>
      </c>
      <c r="K43" s="49"/>
      <c r="L43" s="80">
        <v>0</v>
      </c>
      <c r="M43" s="80">
        <f t="shared" si="1"/>
        <v>-11332</v>
      </c>
      <c r="N43" s="81"/>
    </row>
    <row r="44" spans="1:14">
      <c r="A44" s="1" t="s">
        <v>72</v>
      </c>
      <c r="B44" s="72" t="s">
        <v>39</v>
      </c>
      <c r="C44" s="36" t="s">
        <v>73</v>
      </c>
      <c r="D44" s="35"/>
      <c r="E44" s="35"/>
      <c r="F44" s="35"/>
      <c r="G44" s="35"/>
      <c r="H44" s="35"/>
      <c r="I44" s="35"/>
      <c r="J44" s="80">
        <v>-95581.48</v>
      </c>
      <c r="K44" s="49"/>
      <c r="L44" s="80">
        <v>107355</v>
      </c>
      <c r="M44" s="80">
        <f t="shared" si="1"/>
        <v>11774</v>
      </c>
      <c r="N44" s="81"/>
    </row>
    <row r="45" spans="1:14">
      <c r="A45" s="12" t="s">
        <v>74</v>
      </c>
      <c r="B45" s="72" t="s">
        <v>39</v>
      </c>
      <c r="C45" s="36" t="s">
        <v>75</v>
      </c>
      <c r="D45" s="35"/>
      <c r="E45" s="14"/>
      <c r="F45" s="14"/>
      <c r="G45" s="35"/>
      <c r="H45" s="14"/>
      <c r="I45" s="15"/>
      <c r="J45" s="82">
        <v>0</v>
      </c>
      <c r="K45" s="49"/>
      <c r="L45" s="82">
        <v>0</v>
      </c>
      <c r="M45" s="82">
        <f t="shared" si="1"/>
        <v>0</v>
      </c>
      <c r="N45" s="81"/>
    </row>
    <row r="46" spans="1:14">
      <c r="B46" s="72"/>
      <c r="C46" s="35"/>
      <c r="D46" s="35"/>
      <c r="E46" s="35"/>
      <c r="F46" s="35"/>
      <c r="G46" s="35"/>
      <c r="H46" s="35"/>
      <c r="I46" s="35"/>
      <c r="J46" s="83"/>
      <c r="K46" s="84"/>
      <c r="L46" s="83"/>
      <c r="M46" s="83"/>
      <c r="N46" s="85"/>
    </row>
    <row r="47" spans="1:14">
      <c r="A47" s="52" t="s">
        <v>76</v>
      </c>
      <c r="B47" s="53"/>
      <c r="C47" s="29" t="s">
        <v>77</v>
      </c>
      <c r="D47" s="35"/>
      <c r="E47" s="14"/>
      <c r="F47" s="14"/>
      <c r="G47" s="14"/>
      <c r="H47" s="14"/>
      <c r="I47" s="15"/>
      <c r="J47" s="66">
        <f t="array" ref="J47">SUM(ROUND(J37:J45,0))</f>
        <v>75264285</v>
      </c>
      <c r="K47" s="59"/>
      <c r="L47" s="66">
        <f t="array" ref="L47">SUM(ROUND(L37:L45,0))</f>
        <v>1624196</v>
      </c>
      <c r="M47" s="66">
        <f t="array" ref="M47">SUM(ROUND(M37:M45,0))</f>
        <v>76888481</v>
      </c>
      <c r="N47" s="68"/>
    </row>
    <row r="48" spans="1:14">
      <c r="A48" s="52"/>
      <c r="B48" s="53"/>
      <c r="C48" s="86"/>
      <c r="D48" s="87"/>
      <c r="E48" s="15"/>
      <c r="F48" s="15"/>
      <c r="G48" s="15"/>
      <c r="H48" s="15"/>
      <c r="I48" s="15"/>
      <c r="J48" s="59"/>
      <c r="K48" s="59"/>
      <c r="L48" s="59"/>
      <c r="M48" s="59"/>
      <c r="N48" s="77"/>
    </row>
    <row r="49" spans="1:14">
      <c r="A49" s="52"/>
      <c r="B49" s="53"/>
      <c r="C49" s="65" t="str">
        <f>IF(J50&lt;0,IF(L50&gt;0,"Income (Loss) Before Other Revenues,","Loss Before Other Revenues,"),IF(J50&gt;0,IF(L50&gt;=0,"Income Before Other Revenues,","Income (Loss) Before Other Revenues,"),IF(L59&lt;0,"Loss Before Other Revenues,",IF(L59&gt;0,"Income Before Other Revenues,","Income (Loss) Before Other Revenues,"))))</f>
        <v>Income (Loss) Before Other Revenues,</v>
      </c>
      <c r="D49" s="35"/>
      <c r="E49" s="35"/>
      <c r="F49" s="14"/>
      <c r="G49" s="14"/>
      <c r="H49" s="14"/>
      <c r="I49" s="15"/>
      <c r="J49" s="35"/>
      <c r="K49" s="35"/>
      <c r="L49" s="35"/>
      <c r="M49" s="35"/>
      <c r="N49" s="37"/>
    </row>
    <row r="50" spans="1:14">
      <c r="A50" s="52"/>
      <c r="B50" s="53"/>
      <c r="C50" s="14"/>
      <c r="D50" s="29" t="s">
        <v>78</v>
      </c>
      <c r="E50" s="14"/>
      <c r="F50" s="14"/>
      <c r="G50" s="14"/>
      <c r="H50" s="14"/>
      <c r="I50" s="15"/>
      <c r="J50" s="66">
        <f>J34+J47</f>
        <v>-6425037</v>
      </c>
      <c r="K50" s="59"/>
      <c r="L50" s="66">
        <f>L34+L47</f>
        <v>647803</v>
      </c>
      <c r="M50" s="66">
        <f>M34+M47</f>
        <v>-5777234</v>
      </c>
      <c r="N50" s="68"/>
    </row>
    <row r="51" spans="1:14">
      <c r="A51" s="52"/>
      <c r="B51" s="53"/>
      <c r="C51" s="14"/>
      <c r="D51" s="29"/>
      <c r="E51" s="14"/>
      <c r="F51" s="14"/>
      <c r="G51" s="14"/>
      <c r="H51" s="14"/>
      <c r="I51" s="15"/>
      <c r="J51" s="17"/>
      <c r="K51" s="17"/>
      <c r="L51" s="17"/>
      <c r="M51" s="17"/>
      <c r="N51" s="18"/>
    </row>
    <row r="52" spans="1:14">
      <c r="A52" s="52" t="s">
        <v>79</v>
      </c>
      <c r="B52" s="53" t="s">
        <v>58</v>
      </c>
      <c r="C52" s="36" t="s">
        <v>80</v>
      </c>
      <c r="D52" s="35"/>
      <c r="E52" s="14"/>
      <c r="F52" s="14"/>
      <c r="G52" s="14"/>
      <c r="H52" s="35"/>
      <c r="I52" s="15"/>
      <c r="J52" s="80">
        <v>3753952.45</v>
      </c>
      <c r="K52" s="49"/>
      <c r="L52" s="80">
        <v>0</v>
      </c>
      <c r="M52" s="80">
        <f>ROUND(L52,0)+ROUND(J52,0)</f>
        <v>3753952</v>
      </c>
      <c r="N52" s="81"/>
    </row>
    <row r="53" spans="1:14">
      <c r="A53" s="52" t="s">
        <v>81</v>
      </c>
      <c r="B53" s="53" t="s">
        <v>82</v>
      </c>
      <c r="C53" s="36" t="s">
        <v>83</v>
      </c>
      <c r="D53" s="35"/>
      <c r="E53" s="14"/>
      <c r="F53" s="14"/>
      <c r="G53" s="14"/>
      <c r="H53" s="35"/>
      <c r="I53" s="15"/>
      <c r="J53" s="50">
        <v>3870320.47</v>
      </c>
      <c r="K53" s="230"/>
      <c r="L53" s="50">
        <v>0</v>
      </c>
      <c r="M53" s="50">
        <f>ROUND(L53,0)+ROUND(J53,0)</f>
        <v>3870320</v>
      </c>
      <c r="N53" s="51"/>
    </row>
    <row r="54" spans="1:14">
      <c r="A54" s="52" t="s">
        <v>84</v>
      </c>
      <c r="B54" s="53" t="s">
        <v>85</v>
      </c>
      <c r="C54" s="14" t="s">
        <v>86</v>
      </c>
      <c r="D54" s="35"/>
      <c r="E54" s="14"/>
      <c r="F54" s="14"/>
      <c r="G54" s="14"/>
      <c r="H54" s="35"/>
      <c r="I54" s="15"/>
      <c r="J54" s="89">
        <v>0</v>
      </c>
      <c r="K54" s="230"/>
      <c r="L54" s="89">
        <v>63305</v>
      </c>
      <c r="M54" s="89">
        <f>ROUND(L54,0)+ROUND(J54,0)</f>
        <v>63305</v>
      </c>
      <c r="N54" s="51"/>
    </row>
    <row r="55" spans="1:14">
      <c r="A55" s="52" t="s">
        <v>87</v>
      </c>
      <c r="B55" s="53" t="s">
        <v>85</v>
      </c>
      <c r="C55" s="76" t="str">
        <f>IF(J55&lt;0,IF(L55&gt;0,"Other Revenues (Expenses)","Other Expenses"),IF(J55&gt;0,IF(L55&gt;=0,"Other Revenues","Other Revenues (Expenses)"),IF(L55&lt;0,"Other Expenses",IF(L55&gt;0,"Other Revenues","Other Revenues (Expenses)"))))</f>
        <v>Other Revenues (Expenses)</v>
      </c>
      <c r="D55" s="35"/>
      <c r="E55" s="14"/>
      <c r="F55" s="14"/>
      <c r="G55" s="14"/>
      <c r="H55" s="35"/>
      <c r="I55" s="15"/>
      <c r="J55" s="58">
        <v>0</v>
      </c>
      <c r="K55" s="230"/>
      <c r="L55" s="58">
        <v>0</v>
      </c>
      <c r="M55" s="58">
        <f>ROUND(L55,0)+ROUND(J55,0)</f>
        <v>0</v>
      </c>
      <c r="N55" s="51"/>
    </row>
    <row r="56" spans="1:14">
      <c r="A56" s="52"/>
      <c r="B56" s="53"/>
      <c r="C56" s="35"/>
      <c r="D56" s="35"/>
      <c r="E56" s="14"/>
      <c r="F56" s="14"/>
      <c r="G56" s="14"/>
      <c r="H56" s="14"/>
      <c r="I56" s="15"/>
      <c r="J56" s="83"/>
      <c r="K56" s="84"/>
      <c r="L56" s="83"/>
      <c r="M56" s="83"/>
      <c r="N56" s="85"/>
    </row>
    <row r="57" spans="1:14">
      <c r="A57" s="70" t="s">
        <v>88</v>
      </c>
      <c r="B57" s="53"/>
      <c r="C57" s="29" t="s">
        <v>89</v>
      </c>
      <c r="D57" s="35"/>
      <c r="E57" s="35"/>
      <c r="F57" s="14"/>
      <c r="G57" s="14"/>
      <c r="H57" s="14"/>
      <c r="I57" s="15"/>
      <c r="J57" s="90">
        <f t="array" ref="J57">SUM(ROUND(J52:J55,0))</f>
        <v>7624272</v>
      </c>
      <c r="K57" s="59"/>
      <c r="L57" s="90">
        <f t="array" ref="L57">SUM(ROUND(L52:L55,0))</f>
        <v>63305</v>
      </c>
      <c r="M57" s="90">
        <f t="array" ref="M57">SUM(ROUND(M52:M55,0))</f>
        <v>7687577</v>
      </c>
      <c r="N57" s="91"/>
    </row>
    <row r="58" spans="1:14">
      <c r="A58" s="52"/>
      <c r="B58" s="53"/>
      <c r="C58" s="29"/>
      <c r="D58" s="35"/>
      <c r="E58" s="35"/>
      <c r="F58" s="14"/>
      <c r="G58" s="14"/>
      <c r="H58" s="14"/>
      <c r="I58" s="15"/>
      <c r="J58" s="59"/>
      <c r="K58" s="59"/>
      <c r="L58" s="59"/>
      <c r="M58" s="59"/>
      <c r="N58" s="77"/>
    </row>
    <row r="59" spans="1:14">
      <c r="A59" s="70"/>
      <c r="B59" s="53"/>
      <c r="C59" s="65" t="str">
        <f>IF(J59&lt;0,IF(L59&gt;0,"Increase (Decrease) in Net Position","Decrease in Net Position"),IF(J59&gt;0,IF(L59&gt;=0,"Increase in Net Position","Increase (Decrease) in Net Position"),IF(L59&lt;0,"Decrease in Net Position",IF(L59&gt;0,"Increase in Net Position","Increase (Decrease) in Net Position"))))</f>
        <v>Increase in Net Position</v>
      </c>
      <c r="D59" s="35"/>
      <c r="E59" s="35"/>
      <c r="F59" s="14"/>
      <c r="G59" s="14"/>
      <c r="H59" s="14"/>
      <c r="I59" s="15"/>
      <c r="J59" s="90">
        <f>J50+J57</f>
        <v>1199235</v>
      </c>
      <c r="K59" s="92"/>
      <c r="L59" s="90">
        <f>L50+L57</f>
        <v>711108</v>
      </c>
      <c r="M59" s="90">
        <f>M50+M57</f>
        <v>1910343</v>
      </c>
      <c r="N59" s="91"/>
    </row>
    <row r="60" spans="1:14">
      <c r="A60" s="52"/>
      <c r="B60" s="53"/>
      <c r="C60" s="93"/>
      <c r="D60" s="35"/>
      <c r="E60" s="35"/>
      <c r="F60" s="14"/>
      <c r="G60" s="14"/>
      <c r="H60" s="14"/>
      <c r="I60" s="15"/>
      <c r="J60" s="94"/>
      <c r="K60" s="94"/>
      <c r="L60" s="94"/>
      <c r="M60" s="94"/>
      <c r="N60" s="95"/>
    </row>
    <row r="61" spans="1:14">
      <c r="A61" s="52" t="s">
        <v>90</v>
      </c>
      <c r="B61" s="53"/>
      <c r="C61" s="14" t="s">
        <v>91</v>
      </c>
      <c r="D61" s="35"/>
      <c r="E61" s="14"/>
      <c r="F61" s="14"/>
      <c r="G61" s="14"/>
      <c r="H61" s="14"/>
      <c r="I61" s="15"/>
      <c r="J61" s="96">
        <f>VLOOKUP($C$1,[5]VLOOKUPS!A44:D71,2,FALSE)</f>
        <v>132823495</v>
      </c>
      <c r="K61" s="49"/>
      <c r="L61" s="96">
        <f>VLOOKUP($C$1,[5]VLOOKUPS!A44:D71,3,FALSE)</f>
        <v>19357044</v>
      </c>
      <c r="M61" s="89">
        <f>ROUND(L61,0)+ROUND(J61,0)</f>
        <v>152180539</v>
      </c>
      <c r="N61" s="97"/>
    </row>
    <row r="62" spans="1:14">
      <c r="A62" s="52" t="s">
        <v>92</v>
      </c>
      <c r="B62" s="53" t="s">
        <v>93</v>
      </c>
      <c r="C62" s="14" t="s">
        <v>94</v>
      </c>
      <c r="D62" s="35"/>
      <c r="E62" s="14"/>
      <c r="F62" s="14"/>
      <c r="G62" s="14"/>
      <c r="H62" s="14"/>
      <c r="I62" s="15"/>
      <c r="J62" s="82">
        <v>-26975509</v>
      </c>
      <c r="K62" s="49"/>
      <c r="L62" s="82">
        <v>0</v>
      </c>
      <c r="M62" s="82">
        <f>ROUND(L62,0)+ROUND(J62,0)</f>
        <v>-26975509</v>
      </c>
      <c r="N62" s="81"/>
    </row>
    <row r="63" spans="1:14">
      <c r="A63" s="52"/>
      <c r="B63" s="53"/>
      <c r="C63" s="36"/>
      <c r="D63" s="36"/>
      <c r="E63" s="36"/>
      <c r="F63" s="36"/>
      <c r="G63" s="36"/>
      <c r="H63" s="98"/>
      <c r="I63" s="36"/>
      <c r="J63" s="92"/>
      <c r="K63" s="99"/>
      <c r="L63" s="99"/>
      <c r="M63" s="99"/>
      <c r="N63" s="100"/>
    </row>
    <row r="64" spans="1:14">
      <c r="A64" s="70"/>
      <c r="B64" s="53"/>
      <c r="C64" s="101" t="s">
        <v>95</v>
      </c>
      <c r="D64" s="36"/>
      <c r="E64" s="36"/>
      <c r="F64" s="36"/>
      <c r="G64" s="36"/>
      <c r="H64" s="60"/>
      <c r="I64" s="60"/>
      <c r="J64" s="90">
        <f t="array" ref="J64">SUM(ROUND(J61:J62,0))</f>
        <v>105847986</v>
      </c>
      <c r="K64" s="92"/>
      <c r="L64" s="90">
        <f t="array" ref="L64">SUM(ROUND(L61:L62,0))</f>
        <v>19357044</v>
      </c>
      <c r="M64" s="90">
        <f t="array" ref="M64">SUM(ROUND(M61:M62,0))</f>
        <v>125205030</v>
      </c>
      <c r="N64" s="91"/>
    </row>
    <row r="65" spans="1:14">
      <c r="A65" s="52"/>
      <c r="B65" s="53"/>
      <c r="C65" s="36"/>
      <c r="D65" s="36"/>
      <c r="E65" s="36"/>
      <c r="F65" s="36"/>
      <c r="G65" s="36"/>
      <c r="H65" s="102"/>
      <c r="I65" s="36"/>
      <c r="J65" s="102"/>
      <c r="K65" s="60"/>
      <c r="L65" s="60"/>
      <c r="M65" s="60"/>
      <c r="N65" s="61"/>
    </row>
    <row r="66" spans="1:14" ht="13.5" thickBot="1">
      <c r="A66" s="52"/>
      <c r="B66" s="53"/>
      <c r="C66" s="29" t="s">
        <v>96</v>
      </c>
      <c r="D66" s="35"/>
      <c r="E66" s="14"/>
      <c r="F66" s="14"/>
      <c r="G66" s="14"/>
      <c r="H66" s="14"/>
      <c r="I66" s="103"/>
      <c r="J66" s="104">
        <f>J59+J64</f>
        <v>107047221</v>
      </c>
      <c r="K66" s="105"/>
      <c r="L66" s="104">
        <f>L59+L64</f>
        <v>20068152</v>
      </c>
      <c r="M66" s="104">
        <f>M59+M64</f>
        <v>127115373</v>
      </c>
      <c r="N66" s="46"/>
    </row>
    <row r="67" spans="1:14" ht="13.5" thickTop="1">
      <c r="A67" s="70"/>
      <c r="B67" s="53"/>
      <c r="C67" s="14"/>
      <c r="D67" s="14"/>
      <c r="E67" s="14"/>
      <c r="F67" s="14"/>
      <c r="G67" s="14"/>
      <c r="H67" s="14"/>
      <c r="I67" s="15"/>
      <c r="J67" s="107"/>
      <c r="K67" s="15"/>
      <c r="L67" s="107"/>
      <c r="M67" s="107"/>
      <c r="N67" s="108"/>
    </row>
    <row r="68" spans="1:14">
      <c r="A68" s="52"/>
      <c r="B68" s="53"/>
      <c r="C68" s="35" t="s">
        <v>97</v>
      </c>
      <c r="D68" s="35"/>
      <c r="E68" s="35"/>
      <c r="F68" s="35"/>
      <c r="G68" s="35"/>
      <c r="H68" s="35"/>
      <c r="I68" s="87"/>
      <c r="J68" s="35"/>
      <c r="K68" s="87"/>
      <c r="L68" s="35"/>
      <c r="M68" s="35"/>
      <c r="N68" s="37"/>
    </row>
    <row r="69" spans="1:14">
      <c r="B69" s="72"/>
      <c r="I69" s="6"/>
      <c r="J69" s="109">
        <f>J66-[5]SNP!K119</f>
        <v>0</v>
      </c>
      <c r="K69" s="110"/>
      <c r="L69" s="111">
        <f>L66-[5]SNP!M119</f>
        <v>0</v>
      </c>
      <c r="M69" s="111">
        <f>M66-[5]SNP!N119</f>
        <v>1</v>
      </c>
      <c r="N69" s="112"/>
    </row>
    <row r="70" spans="1:14">
      <c r="B70" s="72"/>
      <c r="I70" s="113" t="s">
        <v>98</v>
      </c>
      <c r="J70" s="114"/>
      <c r="K70" s="115"/>
      <c r="L70" s="114"/>
      <c r="M70" s="114"/>
      <c r="N70" s="114"/>
    </row>
  </sheetData>
  <sheetProtection formatColumns="0" formatRows="0"/>
  <conditionalFormatting sqref="J69 L69">
    <cfRule type="cellIs" dxfId="408" priority="14" operator="notEqual">
      <formula>0</formula>
    </cfRule>
    <cfRule type="cellIs" dxfId="407" priority="15" operator="equal">
      <formula>0</formula>
    </cfRule>
  </conditionalFormatting>
  <conditionalFormatting sqref="J11:J15 F11:G11 L24:L30 L37:L45 J37:J45 L62 J62 L17:L18 J25:J29 J17:J18 F17:G17 L11:L15 L52:L55 J52:J55">
    <cfRule type="containsBlanks" dxfId="406" priority="12">
      <formula>LEN(TRIM(F11))=0</formula>
    </cfRule>
    <cfRule type="cellIs" dxfId="405" priority="13" operator="notEqual">
      <formula>0</formula>
    </cfRule>
  </conditionalFormatting>
  <conditionalFormatting sqref="J11">
    <cfRule type="cellIs" dxfId="404" priority="11" operator="notEqual">
      <formula>J20</formula>
    </cfRule>
  </conditionalFormatting>
  <conditionalFormatting sqref="L11">
    <cfRule type="cellIs" dxfId="403" priority="10" operator="notEqual">
      <formula>L20</formula>
    </cfRule>
  </conditionalFormatting>
  <conditionalFormatting sqref="M69">
    <cfRule type="cellIs" dxfId="402" priority="8" operator="notEqual">
      <formula>0</formula>
    </cfRule>
    <cfRule type="cellIs" dxfId="401" priority="9" operator="equal">
      <formula>0</formula>
    </cfRule>
  </conditionalFormatting>
  <conditionalFormatting sqref="M24:M30 M37:M45 M62 M17:M18 M11:M15 M52:M55">
    <cfRule type="containsBlanks" dxfId="400" priority="6">
      <formula>LEN(TRIM(M11))=0</formula>
    </cfRule>
    <cfRule type="cellIs" dxfId="399" priority="7" operator="notEqual">
      <formula>0</formula>
    </cfRule>
  </conditionalFormatting>
  <conditionalFormatting sqref="M11">
    <cfRule type="cellIs" dxfId="398" priority="5" operator="notEqual">
      <formula>M20</formula>
    </cfRule>
  </conditionalFormatting>
  <conditionalFormatting sqref="J24">
    <cfRule type="containsBlanks" dxfId="397" priority="3">
      <formula>LEN(TRIM(J24))=0</formula>
    </cfRule>
    <cfRule type="cellIs" dxfId="396" priority="4" operator="notEqual">
      <formula>0</formula>
    </cfRule>
  </conditionalFormatting>
  <conditionalFormatting sqref="M61">
    <cfRule type="containsBlanks" dxfId="395" priority="1">
      <formula>LEN(TRIM(M61))=0</formula>
    </cfRule>
    <cfRule type="cellIs" dxfId="394" priority="2" operator="notEqual">
      <formula>0</formula>
    </cfRule>
  </conditionalFormatting>
  <printOptions horizontalCentered="1"/>
  <pageMargins left="0.7" right="0.7" top="0.75" bottom="0.75" header="0.5" footer="0.5"/>
  <pageSetup scale="61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  <pageSetUpPr fitToPage="1"/>
  </sheetPr>
  <dimension ref="A1:T70"/>
  <sheetViews>
    <sheetView topLeftCell="C1" zoomScale="80" zoomScaleNormal="80" zoomScaleSheetLayoutView="70" workbookViewId="0">
      <selection activeCell="C1" sqref="C1"/>
    </sheetView>
  </sheetViews>
  <sheetFormatPr defaultColWidth="11.140625" defaultRowHeight="12.75"/>
  <cols>
    <col min="1" max="1" width="0" style="1" hidden="1" customWidth="1"/>
    <col min="2" max="2" width="0" style="20" hidden="1" customWidth="1"/>
    <col min="3" max="8" width="11.140625" style="6"/>
    <col min="9" max="9" width="11.140625" style="11"/>
    <col min="10" max="10" width="15.28515625" style="6" customWidth="1"/>
    <col min="11" max="11" width="11.140625" style="11"/>
    <col min="12" max="12" width="15.28515625" style="6" customWidth="1"/>
    <col min="13" max="13" width="15.85546875" style="6" customWidth="1"/>
    <col min="14" max="14" width="11.140625" style="6"/>
    <col min="15" max="15" width="11.140625" style="10"/>
    <col min="16" max="20" width="11.140625" style="5"/>
    <col min="21" max="16384" width="11.140625" style="6"/>
  </cols>
  <sheetData>
    <row r="1" spans="1:14">
      <c r="B1" s="2"/>
      <c r="C1" s="260" t="str">
        <f>'[32]Contact Information'!$C$5</f>
        <v>VALENCIA COLLEGE</v>
      </c>
      <c r="D1" s="260"/>
      <c r="E1" s="260"/>
      <c r="F1" s="260"/>
      <c r="G1" s="260"/>
      <c r="H1" s="260"/>
      <c r="I1" s="260"/>
      <c r="J1" s="260"/>
      <c r="K1" s="260"/>
      <c r="L1" s="260"/>
      <c r="M1" s="247"/>
      <c r="N1" s="3"/>
    </row>
    <row r="2" spans="1:14">
      <c r="B2" s="2"/>
      <c r="C2" s="256" t="s">
        <v>0</v>
      </c>
      <c r="D2" s="256"/>
      <c r="E2" s="256"/>
      <c r="F2" s="256"/>
      <c r="G2" s="256"/>
      <c r="H2" s="256"/>
      <c r="I2" s="256"/>
      <c r="J2" s="256"/>
      <c r="K2" s="256"/>
      <c r="L2" s="256"/>
      <c r="M2" s="245"/>
      <c r="N2" s="7"/>
    </row>
    <row r="3" spans="1:14">
      <c r="B3" s="2"/>
      <c r="C3" s="86" t="s">
        <v>1</v>
      </c>
      <c r="D3" s="86"/>
      <c r="E3" s="86"/>
      <c r="F3" s="86"/>
      <c r="G3" s="86"/>
      <c r="H3" s="86"/>
      <c r="I3" s="86"/>
      <c r="J3" s="86"/>
      <c r="K3" s="86"/>
      <c r="L3" s="86"/>
      <c r="M3" s="248"/>
      <c r="N3" s="9" t="s">
        <v>2</v>
      </c>
    </row>
    <row r="4" spans="1:14">
      <c r="B4" s="2"/>
      <c r="C4" s="261" t="s">
        <v>297</v>
      </c>
      <c r="D4" s="261"/>
      <c r="E4" s="261"/>
      <c r="F4" s="261"/>
      <c r="G4" s="261"/>
      <c r="H4" s="261"/>
      <c r="I4" s="261"/>
      <c r="J4" s="261"/>
      <c r="K4" s="261"/>
      <c r="L4" s="261"/>
      <c r="M4" s="249"/>
      <c r="N4" s="11" t="str">
        <f>'[32]Contact Information'!$C$3</f>
        <v>2015.v02</v>
      </c>
    </row>
    <row r="5" spans="1:14">
      <c r="A5" s="12"/>
      <c r="B5" s="13"/>
      <c r="C5" s="14"/>
      <c r="D5" s="14"/>
      <c r="E5" s="14"/>
      <c r="F5" s="14"/>
      <c r="G5" s="14"/>
      <c r="H5" s="14"/>
      <c r="I5" s="15"/>
      <c r="J5" s="16"/>
      <c r="K5" s="17"/>
      <c r="L5" s="16"/>
      <c r="M5" s="16"/>
      <c r="N5" s="18"/>
    </row>
    <row r="6" spans="1:14">
      <c r="C6" s="14"/>
      <c r="D6" s="14"/>
      <c r="E6" s="14"/>
      <c r="F6" s="14"/>
      <c r="G6" s="14"/>
      <c r="H6" s="14"/>
      <c r="I6" s="15"/>
      <c r="J6" s="249" t="s">
        <v>5</v>
      </c>
      <c r="K6" s="21"/>
      <c r="L6" s="22" t="s">
        <v>6</v>
      </c>
      <c r="M6" s="22" t="s">
        <v>7</v>
      </c>
      <c r="N6" s="23"/>
    </row>
    <row r="7" spans="1:14">
      <c r="C7" s="14"/>
      <c r="D7" s="14"/>
      <c r="E7" s="14"/>
      <c r="F7" s="14"/>
      <c r="G7" s="14"/>
      <c r="H7" s="14"/>
      <c r="I7" s="15"/>
      <c r="J7" s="24"/>
      <c r="K7" s="25"/>
      <c r="L7" s="26" t="str">
        <f>[32]SNP!$M$9</f>
        <v>Unit</v>
      </c>
      <c r="M7" s="26"/>
      <c r="N7" s="27"/>
    </row>
    <row r="8" spans="1:14">
      <c r="C8" s="29" t="s">
        <v>9</v>
      </c>
      <c r="D8" s="14"/>
      <c r="E8" s="14"/>
      <c r="F8" s="14"/>
      <c r="G8" s="14"/>
      <c r="H8" s="14"/>
      <c r="I8" s="15"/>
      <c r="J8" s="25"/>
      <c r="K8" s="25"/>
      <c r="L8" s="25"/>
      <c r="M8" s="25"/>
      <c r="N8" s="30"/>
    </row>
    <row r="9" spans="1:14">
      <c r="A9" s="32" t="s">
        <v>10</v>
      </c>
      <c r="B9" s="33" t="s">
        <v>11</v>
      </c>
      <c r="C9" s="14" t="s">
        <v>12</v>
      </c>
      <c r="D9" s="14"/>
      <c r="E9" s="14"/>
      <c r="F9" s="14"/>
      <c r="G9" s="14"/>
      <c r="H9" s="14"/>
      <c r="I9" s="15"/>
      <c r="J9" s="17"/>
      <c r="K9" s="17"/>
      <c r="L9" s="17"/>
      <c r="M9" s="17"/>
      <c r="N9" s="18"/>
    </row>
    <row r="10" spans="1:14">
      <c r="B10" s="34"/>
      <c r="C10" s="35"/>
      <c r="D10" s="36" t="s">
        <v>14</v>
      </c>
      <c r="E10" s="14"/>
      <c r="F10" s="14"/>
      <c r="G10" s="14"/>
      <c r="H10" s="14"/>
      <c r="I10" s="35"/>
      <c r="J10" s="35"/>
      <c r="K10" s="17"/>
      <c r="L10" s="35"/>
      <c r="M10" s="35"/>
      <c r="N10" s="37"/>
    </row>
    <row r="11" spans="1:14">
      <c r="A11" s="1" t="s">
        <v>17</v>
      </c>
      <c r="B11" s="34" t="s">
        <v>18</v>
      </c>
      <c r="C11" s="35"/>
      <c r="D11" s="44" t="s">
        <v>19</v>
      </c>
      <c r="E11" s="35"/>
      <c r="F11" s="263">
        <v>46715289</v>
      </c>
      <c r="G11" s="263"/>
      <c r="H11" s="45"/>
      <c r="I11" s="36"/>
      <c r="J11" s="228">
        <v>59342665.090000004</v>
      </c>
      <c r="K11" s="229"/>
      <c r="L11" s="228">
        <v>0</v>
      </c>
      <c r="M11" s="228">
        <f>ROUND(L11,0)+ROUND(J11,0)</f>
        <v>59342665</v>
      </c>
      <c r="N11" s="46"/>
    </row>
    <row r="12" spans="1:14">
      <c r="A12" s="1" t="s">
        <v>20</v>
      </c>
      <c r="B12" s="34" t="s">
        <v>21</v>
      </c>
      <c r="C12" s="35"/>
      <c r="D12" s="36" t="s">
        <v>22</v>
      </c>
      <c r="E12" s="14"/>
      <c r="F12" s="48"/>
      <c r="G12" s="49"/>
      <c r="H12" s="15"/>
      <c r="I12" s="35"/>
      <c r="J12" s="50">
        <v>429874</v>
      </c>
      <c r="K12" s="230"/>
      <c r="L12" s="50">
        <v>0</v>
      </c>
      <c r="M12" s="50">
        <f>ROUND(L12,0)+ROUND(J12,0)</f>
        <v>429874</v>
      </c>
      <c r="N12" s="51"/>
    </row>
    <row r="13" spans="1:14">
      <c r="A13" s="1" t="s">
        <v>23</v>
      </c>
      <c r="B13" s="34" t="s">
        <v>21</v>
      </c>
      <c r="C13" s="35"/>
      <c r="D13" s="36" t="s">
        <v>24</v>
      </c>
      <c r="E13" s="14"/>
      <c r="F13" s="48"/>
      <c r="G13" s="48"/>
      <c r="H13" s="14"/>
      <c r="I13" s="35"/>
      <c r="J13" s="50">
        <v>0</v>
      </c>
      <c r="K13" s="230"/>
      <c r="L13" s="50">
        <f>120717</f>
        <v>120717</v>
      </c>
      <c r="M13" s="50">
        <f>ROUND(L13,0)+ROUND(J13,0)</f>
        <v>120717</v>
      </c>
      <c r="N13" s="51"/>
    </row>
    <row r="14" spans="1:14">
      <c r="A14" s="1" t="s">
        <v>25</v>
      </c>
      <c r="B14" s="34" t="s">
        <v>21</v>
      </c>
      <c r="C14" s="35"/>
      <c r="D14" s="36" t="s">
        <v>26</v>
      </c>
      <c r="E14" s="14"/>
      <c r="F14" s="48"/>
      <c r="G14" s="48"/>
      <c r="H14" s="14"/>
      <c r="I14" s="35"/>
      <c r="J14" s="50">
        <f>1600746</f>
        <v>1600746</v>
      </c>
      <c r="K14" s="230"/>
      <c r="L14" s="50">
        <f>1326352.2+668208.47+11721.93+1083963.61-188907.28+19966.54</f>
        <v>2921305.47</v>
      </c>
      <c r="M14" s="50">
        <f>ROUND(L14,0)+ROUND(J14,0)</f>
        <v>4522051</v>
      </c>
      <c r="N14" s="51"/>
    </row>
    <row r="15" spans="1:14">
      <c r="A15" s="1" t="s">
        <v>27</v>
      </c>
      <c r="B15" s="34" t="s">
        <v>18</v>
      </c>
      <c r="C15" s="35"/>
      <c r="D15" s="36" t="s">
        <v>28</v>
      </c>
      <c r="E15" s="14"/>
      <c r="F15" s="48"/>
      <c r="G15" s="48"/>
      <c r="H15" s="35"/>
      <c r="I15" s="35"/>
      <c r="J15" s="50">
        <f>47973</f>
        <v>47973</v>
      </c>
      <c r="K15" s="230"/>
      <c r="L15" s="50">
        <v>0</v>
      </c>
      <c r="M15" s="50">
        <f>ROUND(L15,0)+ROUND(J15,0)</f>
        <v>47973</v>
      </c>
      <c r="N15" s="51"/>
    </row>
    <row r="16" spans="1:14">
      <c r="A16" s="52"/>
      <c r="B16" s="53"/>
      <c r="C16" s="35"/>
      <c r="D16" s="36" t="s">
        <v>29</v>
      </c>
      <c r="E16" s="14"/>
      <c r="F16" s="54"/>
      <c r="G16" s="49"/>
      <c r="H16" s="55"/>
      <c r="I16" s="35"/>
      <c r="J16" s="35"/>
      <c r="K16" s="230"/>
      <c r="L16" s="35"/>
      <c r="M16" s="35"/>
      <c r="N16" s="37"/>
    </row>
    <row r="17" spans="1:14">
      <c r="A17" s="52" t="s">
        <v>30</v>
      </c>
      <c r="B17" s="53" t="s">
        <v>18</v>
      </c>
      <c r="C17" s="35"/>
      <c r="D17" s="44" t="s">
        <v>19</v>
      </c>
      <c r="E17" s="35"/>
      <c r="F17" s="263">
        <v>7149393</v>
      </c>
      <c r="G17" s="263"/>
      <c r="H17" s="55"/>
      <c r="I17" s="35"/>
      <c r="J17" s="50">
        <v>10412979</v>
      </c>
      <c r="K17" s="230"/>
      <c r="L17" s="50">
        <v>0</v>
      </c>
      <c r="M17" s="50">
        <f>ROUND(L17,0)+ROUND(J17,0)</f>
        <v>10412979</v>
      </c>
      <c r="N17" s="51"/>
    </row>
    <row r="18" spans="1:14">
      <c r="A18" s="52" t="s">
        <v>31</v>
      </c>
      <c r="B18" s="56" t="s">
        <v>32</v>
      </c>
      <c r="C18" s="35"/>
      <c r="D18" s="57" t="s">
        <v>33</v>
      </c>
      <c r="E18" s="14"/>
      <c r="F18" s="14"/>
      <c r="G18" s="14"/>
      <c r="H18" s="14"/>
      <c r="I18" s="36"/>
      <c r="J18" s="58">
        <f>1767412.32</f>
        <v>1767412.32</v>
      </c>
      <c r="K18" s="230"/>
      <c r="L18" s="58">
        <f>415846.74+371387</f>
        <v>787233.74</v>
      </c>
      <c r="M18" s="58">
        <f>ROUND(L18,0)+ROUND(J18,0)</f>
        <v>2554646</v>
      </c>
      <c r="N18" s="51"/>
    </row>
    <row r="19" spans="1:14">
      <c r="A19" s="52"/>
      <c r="B19" s="56"/>
      <c r="C19" s="36"/>
      <c r="D19" s="36"/>
      <c r="E19" s="36"/>
      <c r="F19" s="36"/>
      <c r="G19" s="36"/>
      <c r="H19" s="59"/>
      <c r="I19" s="59"/>
      <c r="J19" s="59"/>
      <c r="K19" s="60"/>
      <c r="L19" s="60"/>
      <c r="M19" s="60"/>
      <c r="N19" s="61"/>
    </row>
    <row r="20" spans="1:14">
      <c r="A20" s="52" t="s">
        <v>34</v>
      </c>
      <c r="B20" s="56"/>
      <c r="C20" s="35"/>
      <c r="D20" s="65" t="s">
        <v>35</v>
      </c>
      <c r="E20" s="35"/>
      <c r="F20" s="14"/>
      <c r="G20" s="14"/>
      <c r="H20" s="14"/>
      <c r="I20" s="15"/>
      <c r="J20" s="66">
        <f t="array" ref="J20">SUM(ROUND(J11:J18,0))</f>
        <v>73601649</v>
      </c>
      <c r="K20" s="67"/>
      <c r="L20" s="66">
        <f t="array" ref="L20">SUM(ROUND(L11:L18,0))</f>
        <v>3829256</v>
      </c>
      <c r="M20" s="66">
        <f t="array" ref="M20">SUM(ROUND(M11:M18,0))</f>
        <v>77430905</v>
      </c>
      <c r="N20" s="68"/>
    </row>
    <row r="21" spans="1:14">
      <c r="A21" s="52"/>
      <c r="B21" s="56"/>
      <c r="C21" s="14"/>
      <c r="D21" s="14"/>
      <c r="E21" s="14"/>
      <c r="F21" s="14"/>
      <c r="G21" s="14"/>
      <c r="H21" s="14"/>
      <c r="I21" s="15"/>
      <c r="J21" s="17"/>
      <c r="K21" s="17"/>
      <c r="L21" s="17"/>
      <c r="M21" s="17"/>
      <c r="N21" s="18"/>
    </row>
    <row r="22" spans="1:14">
      <c r="A22" s="70"/>
      <c r="B22" s="71"/>
      <c r="C22" s="29" t="s">
        <v>36</v>
      </c>
      <c r="D22" s="14"/>
      <c r="E22" s="14"/>
      <c r="F22" s="14"/>
      <c r="G22" s="14"/>
      <c r="H22" s="14"/>
      <c r="I22" s="15"/>
      <c r="J22" s="16"/>
      <c r="K22" s="17"/>
      <c r="L22" s="16"/>
      <c r="M22" s="16"/>
      <c r="N22" s="18"/>
    </row>
    <row r="23" spans="1:14">
      <c r="A23" s="52"/>
      <c r="B23" s="53"/>
      <c r="C23" s="14" t="s">
        <v>37</v>
      </c>
      <c r="D23" s="14"/>
      <c r="E23" s="14"/>
      <c r="F23" s="14"/>
      <c r="G23" s="35"/>
      <c r="H23" s="14"/>
      <c r="I23" s="15"/>
      <c r="J23" s="16"/>
      <c r="K23" s="17"/>
      <c r="L23" s="16"/>
      <c r="M23" s="16"/>
      <c r="N23" s="18"/>
    </row>
    <row r="24" spans="1:14">
      <c r="A24" s="12" t="s">
        <v>38</v>
      </c>
      <c r="B24" s="72" t="s">
        <v>39</v>
      </c>
      <c r="C24" s="44"/>
      <c r="D24" s="36" t="s">
        <v>40</v>
      </c>
      <c r="E24" s="14"/>
      <c r="F24" s="14"/>
      <c r="G24" s="35"/>
      <c r="H24" s="14"/>
      <c r="I24" s="15"/>
      <c r="J24" s="50">
        <v>141138571</v>
      </c>
      <c r="K24" s="230"/>
      <c r="L24" s="50">
        <f>692223.61+125196.66</f>
        <v>817420.27</v>
      </c>
      <c r="M24" s="50">
        <f t="shared" ref="M24:M30" si="0">ROUND(L24,0)+ROUND(J24,0)</f>
        <v>141955991</v>
      </c>
      <c r="N24" s="51"/>
    </row>
    <row r="25" spans="1:14">
      <c r="A25" s="1" t="s">
        <v>41</v>
      </c>
      <c r="B25" s="72" t="s">
        <v>39</v>
      </c>
      <c r="C25" s="44"/>
      <c r="D25" s="36" t="s">
        <v>42</v>
      </c>
      <c r="E25" s="14"/>
      <c r="F25" s="14"/>
      <c r="G25" s="35"/>
      <c r="H25" s="14"/>
      <c r="I25" s="15"/>
      <c r="J25" s="50">
        <v>34270021</v>
      </c>
      <c r="K25" s="230"/>
      <c r="L25" s="50">
        <f>2435707.81</f>
        <v>2435707.81</v>
      </c>
      <c r="M25" s="50">
        <f t="shared" si="0"/>
        <v>36705729</v>
      </c>
      <c r="N25" s="51"/>
    </row>
    <row r="26" spans="1:14">
      <c r="A26" s="12" t="s">
        <v>43</v>
      </c>
      <c r="B26" s="34" t="s">
        <v>39</v>
      </c>
      <c r="C26" s="44"/>
      <c r="D26" s="36" t="s">
        <v>44</v>
      </c>
      <c r="E26" s="14"/>
      <c r="F26" s="14"/>
      <c r="G26" s="35"/>
      <c r="H26" s="14"/>
      <c r="I26" s="15"/>
      <c r="J26" s="50">
        <f>5179986.92</f>
        <v>5179986.92</v>
      </c>
      <c r="K26" s="230"/>
      <c r="L26" s="50">
        <v>0</v>
      </c>
      <c r="M26" s="50">
        <f t="shared" si="0"/>
        <v>5179987</v>
      </c>
      <c r="N26" s="51"/>
    </row>
    <row r="27" spans="1:14">
      <c r="A27" s="1" t="s">
        <v>45</v>
      </c>
      <c r="B27" s="72" t="s">
        <v>39</v>
      </c>
      <c r="C27" s="44"/>
      <c r="D27" s="36" t="s">
        <v>46</v>
      </c>
      <c r="E27" s="14"/>
      <c r="F27" s="14"/>
      <c r="G27" s="35"/>
      <c r="H27" s="14"/>
      <c r="I27" s="15"/>
      <c r="J27" s="50">
        <f>9051498.93</f>
        <v>9051498.9299999997</v>
      </c>
      <c r="K27" s="230"/>
      <c r="L27" s="50">
        <f>68475.4+5317.28</f>
        <v>73792.679999999993</v>
      </c>
      <c r="M27" s="50">
        <f t="shared" si="0"/>
        <v>9125292</v>
      </c>
      <c r="N27" s="51"/>
    </row>
    <row r="28" spans="1:14">
      <c r="A28" s="12" t="s">
        <v>47</v>
      </c>
      <c r="B28" s="34" t="s">
        <v>39</v>
      </c>
      <c r="C28" s="44"/>
      <c r="D28" s="36" t="s">
        <v>48</v>
      </c>
      <c r="E28" s="14"/>
      <c r="F28" s="14"/>
      <c r="G28" s="35"/>
      <c r="H28" s="14"/>
      <c r="I28" s="15"/>
      <c r="J28" s="50">
        <f>8946806.18</f>
        <v>8946806.1799999997</v>
      </c>
      <c r="K28" s="230"/>
      <c r="L28" s="50">
        <f>3645.7+10148.81+328997.78+211489.64+279833.17</f>
        <v>834115.10000000009</v>
      </c>
      <c r="M28" s="50">
        <f t="shared" si="0"/>
        <v>9780921</v>
      </c>
      <c r="N28" s="51"/>
    </row>
    <row r="29" spans="1:14">
      <c r="A29" s="1" t="s">
        <v>49</v>
      </c>
      <c r="B29" s="34" t="s">
        <v>39</v>
      </c>
      <c r="C29" s="44"/>
      <c r="D29" s="36" t="s">
        <v>50</v>
      </c>
      <c r="E29" s="14"/>
      <c r="F29" s="14"/>
      <c r="G29" s="35"/>
      <c r="H29" s="14"/>
      <c r="I29" s="15"/>
      <c r="J29" s="50">
        <f>29445098</f>
        <v>29445098</v>
      </c>
      <c r="K29" s="230"/>
      <c r="L29" s="50">
        <f>44598.38</f>
        <v>44598.38</v>
      </c>
      <c r="M29" s="50">
        <f t="shared" si="0"/>
        <v>29489696</v>
      </c>
      <c r="N29" s="51"/>
    </row>
    <row r="30" spans="1:14">
      <c r="A30" s="12" t="s">
        <v>51</v>
      </c>
      <c r="B30" s="72" t="s">
        <v>52</v>
      </c>
      <c r="C30" s="44"/>
      <c r="D30" s="36" t="s">
        <v>53</v>
      </c>
      <c r="E30" s="14"/>
      <c r="F30" s="14"/>
      <c r="G30" s="35"/>
      <c r="H30" s="14"/>
      <c r="I30" s="15"/>
      <c r="J30" s="231">
        <f>'[32]Accounts by GL'!O481</f>
        <v>10555181.109999999</v>
      </c>
      <c r="K30" s="230"/>
      <c r="L30" s="58">
        <f>-1286846.35</f>
        <v>-1286846.3500000001</v>
      </c>
      <c r="M30" s="58">
        <f t="shared" si="0"/>
        <v>9268335</v>
      </c>
      <c r="N30" s="51"/>
    </row>
    <row r="31" spans="1:14">
      <c r="B31" s="72"/>
      <c r="C31" s="44"/>
      <c r="D31" s="36"/>
      <c r="E31" s="14"/>
      <c r="F31" s="14"/>
      <c r="G31" s="35"/>
      <c r="H31" s="14"/>
      <c r="I31" s="15"/>
      <c r="J31" s="73"/>
      <c r="K31" s="73"/>
      <c r="L31" s="73"/>
      <c r="M31" s="73"/>
      <c r="N31" s="74"/>
    </row>
    <row r="32" spans="1:14">
      <c r="A32" s="1" t="s">
        <v>54</v>
      </c>
      <c r="B32" s="72"/>
      <c r="C32" s="14"/>
      <c r="D32" s="65" t="s">
        <v>55</v>
      </c>
      <c r="E32" s="35"/>
      <c r="F32" s="14"/>
      <c r="G32" s="14"/>
      <c r="H32" s="14"/>
      <c r="I32" s="15"/>
      <c r="J32" s="66">
        <f t="array" ref="J32">SUM(ROUND(J24:J30,0))</f>
        <v>238587163</v>
      </c>
      <c r="K32" s="59"/>
      <c r="L32" s="66">
        <f t="array" ref="L32">SUM(ROUND(L24:L30,0))</f>
        <v>2918788</v>
      </c>
      <c r="M32" s="66">
        <f t="array" ref="M32">SUM(ROUND(M24:M30,0))</f>
        <v>241505951</v>
      </c>
      <c r="N32" s="68"/>
    </row>
    <row r="33" spans="1:14">
      <c r="A33" s="12"/>
      <c r="B33" s="72"/>
      <c r="C33" s="44"/>
      <c r="D33" s="76"/>
      <c r="E33" s="14"/>
      <c r="F33" s="14"/>
      <c r="G33" s="35"/>
      <c r="H33" s="14"/>
      <c r="I33" s="15"/>
      <c r="J33" s="59"/>
      <c r="K33" s="59"/>
      <c r="L33" s="59"/>
      <c r="M33" s="59"/>
      <c r="N33" s="77"/>
    </row>
    <row r="34" spans="1:14">
      <c r="B34" s="72"/>
      <c r="C34" s="14"/>
      <c r="D34" s="65" t="str">
        <f>IF(J34&lt;0,IF(L34&gt;0,"Operating Income (Loss)","Operating Loss"),IF(J34&gt;0,IF(L34&gt;=0,"Operating Income","Operating Income (Loss)"),IF(L34&lt;0,"Operating Loss",IF(L34&gt;0,"Operating Income","Operating Income (Loss)"))))</f>
        <v>Operating Income (Loss)</v>
      </c>
      <c r="E34" s="35"/>
      <c r="F34" s="14"/>
      <c r="G34" s="14"/>
      <c r="H34" s="14"/>
      <c r="I34" s="15"/>
      <c r="J34" s="66">
        <f>J20-J32</f>
        <v>-164985514</v>
      </c>
      <c r="K34" s="67"/>
      <c r="L34" s="66">
        <f>L20-L32</f>
        <v>910468</v>
      </c>
      <c r="M34" s="66">
        <f>M20-M32</f>
        <v>-164075046</v>
      </c>
      <c r="N34" s="68"/>
    </row>
    <row r="35" spans="1:14">
      <c r="A35" s="12"/>
      <c r="B35" s="72"/>
      <c r="C35" s="14"/>
      <c r="D35" s="14"/>
      <c r="E35" s="14"/>
      <c r="F35" s="14"/>
      <c r="G35" s="14"/>
      <c r="H35" s="14"/>
      <c r="I35" s="15"/>
      <c r="J35" s="78"/>
      <c r="K35" s="78"/>
      <c r="L35" s="78"/>
      <c r="M35" s="78"/>
      <c r="N35" s="79"/>
    </row>
    <row r="36" spans="1:14">
      <c r="B36" s="72"/>
      <c r="C36" s="29" t="s">
        <v>56</v>
      </c>
      <c r="D36" s="35"/>
      <c r="E36" s="14"/>
      <c r="F36" s="14"/>
      <c r="G36" s="14"/>
      <c r="H36" s="14"/>
      <c r="I36" s="15"/>
      <c r="J36" s="16"/>
      <c r="K36" s="17"/>
      <c r="L36" s="16"/>
      <c r="M36" s="16"/>
      <c r="N36" s="18"/>
    </row>
    <row r="37" spans="1:14">
      <c r="A37" s="12" t="s">
        <v>57</v>
      </c>
      <c r="B37" s="72" t="s">
        <v>58</v>
      </c>
      <c r="C37" s="36" t="s">
        <v>59</v>
      </c>
      <c r="D37" s="35"/>
      <c r="E37" s="14"/>
      <c r="F37" s="14"/>
      <c r="G37" s="35"/>
      <c r="H37" s="14"/>
      <c r="I37" s="15"/>
      <c r="J37" s="80">
        <f>68573417.88</f>
        <v>68573417.879999995</v>
      </c>
      <c r="K37" s="49"/>
      <c r="L37" s="80">
        <v>0</v>
      </c>
      <c r="M37" s="80">
        <f t="shared" ref="M37:M45" si="1">ROUND(L37,0)+ROUND(J37,0)</f>
        <v>68573418</v>
      </c>
      <c r="N37" s="81"/>
    </row>
    <row r="38" spans="1:14">
      <c r="A38" s="1" t="s">
        <v>60</v>
      </c>
      <c r="B38" s="72" t="s">
        <v>21</v>
      </c>
      <c r="C38" s="36" t="s">
        <v>61</v>
      </c>
      <c r="D38" s="35"/>
      <c r="E38" s="14"/>
      <c r="F38" s="14"/>
      <c r="G38" s="35"/>
      <c r="H38" s="14"/>
      <c r="I38" s="15"/>
      <c r="J38" s="80">
        <v>0</v>
      </c>
      <c r="K38" s="49"/>
      <c r="L38" s="80">
        <v>0</v>
      </c>
      <c r="M38" s="80">
        <f t="shared" si="1"/>
        <v>0</v>
      </c>
      <c r="N38" s="81"/>
    </row>
    <row r="39" spans="1:14">
      <c r="A39" s="12" t="s">
        <v>62</v>
      </c>
      <c r="B39" s="72" t="s">
        <v>21</v>
      </c>
      <c r="C39" s="36" t="s">
        <v>63</v>
      </c>
      <c r="D39" s="35"/>
      <c r="E39" s="14"/>
      <c r="F39" s="14"/>
      <c r="G39" s="35"/>
      <c r="H39" s="14"/>
      <c r="I39" s="15"/>
      <c r="J39" s="80">
        <v>89809615</v>
      </c>
      <c r="K39" s="49"/>
      <c r="L39" s="80">
        <v>0</v>
      </c>
      <c r="M39" s="80">
        <f t="shared" si="1"/>
        <v>89809615</v>
      </c>
      <c r="N39" s="81"/>
    </row>
    <row r="40" spans="1:14">
      <c r="A40" s="1" t="s">
        <v>64</v>
      </c>
      <c r="B40" s="72" t="s">
        <v>65</v>
      </c>
      <c r="C40" s="36" t="s">
        <v>66</v>
      </c>
      <c r="D40" s="35"/>
      <c r="E40" s="14"/>
      <c r="F40" s="14"/>
      <c r="G40" s="35"/>
      <c r="H40" s="14"/>
      <c r="I40" s="15"/>
      <c r="J40" s="80">
        <f>192683.97</f>
        <v>192683.97</v>
      </c>
      <c r="K40" s="49"/>
      <c r="L40" s="80">
        <f>55.33+2131192.08+983460.32+34.55+13100-983460.32-1286846.35</f>
        <v>857535.60999999987</v>
      </c>
      <c r="M40" s="80">
        <f t="shared" si="1"/>
        <v>1050220</v>
      </c>
      <c r="N40" s="81"/>
    </row>
    <row r="41" spans="1:14">
      <c r="A41" s="12" t="s">
        <v>67</v>
      </c>
      <c r="B41" s="72" t="s">
        <v>65</v>
      </c>
      <c r="C41" s="36" t="str">
        <f>IF(J41&lt;0,IF(L41&gt;0,"Net Gain (Loss) on Investments","Net Loss on Investments"),IF(J41&gt;0,IF(L41&gt;=0,"Net Gain on Investments","Net Gain (Loss) on Investments"),IF(L41&lt;0,"Net Loss on Investments",IF(L41&gt;0,"Net Gain on Investments","Net Gain (Loss) on Investments"))))</f>
        <v>Net Gain (Loss) on Investments</v>
      </c>
      <c r="D41" s="35"/>
      <c r="E41" s="14"/>
      <c r="F41" s="14"/>
      <c r="G41" s="35"/>
      <c r="H41" s="14"/>
      <c r="I41" s="15"/>
      <c r="J41" s="80">
        <v>0</v>
      </c>
      <c r="K41" s="49"/>
      <c r="L41" s="80"/>
      <c r="M41" s="80">
        <f t="shared" si="1"/>
        <v>0</v>
      </c>
      <c r="N41" s="81"/>
    </row>
    <row r="42" spans="1:14">
      <c r="A42" s="1" t="s">
        <v>68</v>
      </c>
      <c r="B42" s="72" t="s">
        <v>32</v>
      </c>
      <c r="C42" s="36" t="s">
        <v>69</v>
      </c>
      <c r="D42" s="35"/>
      <c r="E42" s="14"/>
      <c r="F42" s="14"/>
      <c r="G42" s="35"/>
      <c r="H42" s="14"/>
      <c r="I42" s="15"/>
      <c r="J42" s="80">
        <f>586396.2</f>
        <v>586396.19999999995</v>
      </c>
      <c r="K42" s="49"/>
      <c r="L42" s="80">
        <v>0</v>
      </c>
      <c r="M42" s="80">
        <f t="shared" si="1"/>
        <v>586396</v>
      </c>
      <c r="N42" s="81"/>
    </row>
    <row r="43" spans="1:14">
      <c r="A43" s="12" t="s">
        <v>70</v>
      </c>
      <c r="B43" s="72" t="s">
        <v>71</v>
      </c>
      <c r="C43" s="36" t="str">
        <f>IF(J43&lt;0,IF(L43&gt;0,"Gain (Loss) on Disposal of Capital Assets","Loss on Disposal of Capital Assets"),IF(J43&gt;0,IF(L43&gt;=0,"Gain on Disposal of Capital Assets","Gain (Loss) on Disposal of Capital Assets"),IF(L43&lt;0,"Loss on Disposal of Capital Assets",IF(L43&gt;0,"Gain on Disposal of Capital Assets","Gain (Loss) on Disposal of Capital Assets"))))</f>
        <v>Gain on Disposal of Capital Assets</v>
      </c>
      <c r="D43" s="35"/>
      <c r="E43" s="14"/>
      <c r="F43" s="14"/>
      <c r="G43" s="35"/>
      <c r="H43" s="14"/>
      <c r="I43" s="15"/>
      <c r="J43" s="80">
        <v>0</v>
      </c>
      <c r="K43" s="49"/>
      <c r="L43" s="80">
        <f>168050.59+1481495.55+92616.72+4098081.84-41102</f>
        <v>5799142.7000000002</v>
      </c>
      <c r="M43" s="80">
        <f t="shared" si="1"/>
        <v>5799143</v>
      </c>
      <c r="N43" s="81"/>
    </row>
    <row r="44" spans="1:14">
      <c r="A44" s="1" t="s">
        <v>72</v>
      </c>
      <c r="B44" s="72" t="s">
        <v>39</v>
      </c>
      <c r="C44" s="36" t="s">
        <v>73</v>
      </c>
      <c r="D44" s="35"/>
      <c r="E44" s="35"/>
      <c r="F44" s="35"/>
      <c r="G44" s="35"/>
      <c r="H44" s="35"/>
      <c r="I44" s="35"/>
      <c r="J44" s="80">
        <f>-628704.94</f>
        <v>-628704.93999999994</v>
      </c>
      <c r="K44" s="49"/>
      <c r="L44" s="80">
        <v>0</v>
      </c>
      <c r="M44" s="80">
        <f t="shared" si="1"/>
        <v>-628705</v>
      </c>
      <c r="N44" s="81"/>
    </row>
    <row r="45" spans="1:14">
      <c r="A45" s="12" t="s">
        <v>74</v>
      </c>
      <c r="B45" s="72" t="s">
        <v>39</v>
      </c>
      <c r="C45" s="36" t="s">
        <v>75</v>
      </c>
      <c r="D45" s="35"/>
      <c r="E45" s="14"/>
      <c r="F45" s="14"/>
      <c r="G45" s="35"/>
      <c r="H45" s="14"/>
      <c r="I45" s="15"/>
      <c r="J45" s="82">
        <v>0</v>
      </c>
      <c r="K45" s="49"/>
      <c r="L45" s="82">
        <v>0</v>
      </c>
      <c r="M45" s="82">
        <f t="shared" si="1"/>
        <v>0</v>
      </c>
      <c r="N45" s="81"/>
    </row>
    <row r="46" spans="1:14">
      <c r="B46" s="72"/>
      <c r="C46" s="35"/>
      <c r="D46" s="35"/>
      <c r="E46" s="35"/>
      <c r="F46" s="35"/>
      <c r="G46" s="35"/>
      <c r="H46" s="35"/>
      <c r="I46" s="35"/>
      <c r="J46" s="83"/>
      <c r="K46" s="84"/>
      <c r="L46" s="83"/>
      <c r="M46" s="83"/>
      <c r="N46" s="85"/>
    </row>
    <row r="47" spans="1:14">
      <c r="A47" s="52" t="s">
        <v>76</v>
      </c>
      <c r="B47" s="53"/>
      <c r="C47" s="29" t="s">
        <v>77</v>
      </c>
      <c r="D47" s="35"/>
      <c r="E47" s="14"/>
      <c r="F47" s="14"/>
      <c r="G47" s="14"/>
      <c r="H47" s="14"/>
      <c r="I47" s="15"/>
      <c r="J47" s="66">
        <f t="array" ref="J47">SUM(ROUND(J37:J45,0))</f>
        <v>158533408</v>
      </c>
      <c r="K47" s="59"/>
      <c r="L47" s="66">
        <f t="array" ref="L47">SUM(ROUND(L37:L45,0))</f>
        <v>6656679</v>
      </c>
      <c r="M47" s="66">
        <f t="array" ref="M47">SUM(ROUND(M37:M45,0))</f>
        <v>165190087</v>
      </c>
      <c r="N47" s="68"/>
    </row>
    <row r="48" spans="1:14">
      <c r="A48" s="52"/>
      <c r="B48" s="53"/>
      <c r="C48" s="86"/>
      <c r="D48" s="87"/>
      <c r="E48" s="15"/>
      <c r="F48" s="15"/>
      <c r="G48" s="15"/>
      <c r="H48" s="15"/>
      <c r="I48" s="15"/>
      <c r="J48" s="59"/>
      <c r="K48" s="59"/>
      <c r="L48" s="59"/>
      <c r="M48" s="59"/>
      <c r="N48" s="77"/>
    </row>
    <row r="49" spans="1:14">
      <c r="A49" s="52"/>
      <c r="B49" s="53"/>
      <c r="C49" s="65" t="str">
        <f>IF(J50&lt;0,IF(L50&gt;0,"Income (Loss) Before Other Revenues,","Loss Before Other Revenues,"),IF(J50&gt;0,IF(L50&gt;=0,"Income Before Other Revenues,","Income (Loss) Before Other Revenues,"),IF(L59&lt;0,"Loss Before Other Revenues,",IF(L59&gt;0,"Income Before Other Revenues,","Income (Loss) Before Other Revenues,"))))</f>
        <v>Income (Loss) Before Other Revenues,</v>
      </c>
      <c r="D49" s="35"/>
      <c r="E49" s="35"/>
      <c r="F49" s="14"/>
      <c r="G49" s="14"/>
      <c r="H49" s="14"/>
      <c r="I49" s="15"/>
      <c r="J49" s="35"/>
      <c r="K49" s="35"/>
      <c r="L49" s="35"/>
      <c r="M49" s="35"/>
      <c r="N49" s="37"/>
    </row>
    <row r="50" spans="1:14">
      <c r="A50" s="52"/>
      <c r="B50" s="53"/>
      <c r="C50" s="14"/>
      <c r="D50" s="29" t="s">
        <v>78</v>
      </c>
      <c r="E50" s="14"/>
      <c r="F50" s="14"/>
      <c r="G50" s="14"/>
      <c r="H50" s="14"/>
      <c r="I50" s="15"/>
      <c r="J50" s="66">
        <f>J34+J47</f>
        <v>-6452106</v>
      </c>
      <c r="K50" s="59"/>
      <c r="L50" s="66">
        <f>L34+L47</f>
        <v>7567147</v>
      </c>
      <c r="M50" s="66">
        <f>M34+M47</f>
        <v>1115041</v>
      </c>
      <c r="N50" s="68"/>
    </row>
    <row r="51" spans="1:14">
      <c r="A51" s="52"/>
      <c r="B51" s="53"/>
      <c r="C51" s="14"/>
      <c r="D51" s="29"/>
      <c r="E51" s="14"/>
      <c r="F51" s="14"/>
      <c r="G51" s="14"/>
      <c r="H51" s="14"/>
      <c r="I51" s="15"/>
      <c r="J51" s="17"/>
      <c r="K51" s="17"/>
      <c r="L51" s="17"/>
      <c r="M51" s="17"/>
      <c r="N51" s="18"/>
    </row>
    <row r="52" spans="1:14">
      <c r="A52" s="52" t="s">
        <v>79</v>
      </c>
      <c r="B52" s="53" t="s">
        <v>58</v>
      </c>
      <c r="C52" s="36" t="s">
        <v>80</v>
      </c>
      <c r="D52" s="35"/>
      <c r="E52" s="14"/>
      <c r="F52" s="14"/>
      <c r="G52" s="14"/>
      <c r="H52" s="35"/>
      <c r="I52" s="15"/>
      <c r="J52" s="80">
        <f>2795244.17</f>
        <v>2795244.17</v>
      </c>
      <c r="K52" s="49"/>
      <c r="L52" s="80">
        <v>0</v>
      </c>
      <c r="M52" s="80">
        <f>ROUND(L52,0)+ROUND(J52,0)</f>
        <v>2795244</v>
      </c>
      <c r="N52" s="81"/>
    </row>
    <row r="53" spans="1:14">
      <c r="A53" s="52" t="s">
        <v>81</v>
      </c>
      <c r="B53" s="53" t="s">
        <v>82</v>
      </c>
      <c r="C53" s="36" t="s">
        <v>83</v>
      </c>
      <c r="D53" s="35"/>
      <c r="E53" s="14"/>
      <c r="F53" s="14"/>
      <c r="G53" s="14"/>
      <c r="H53" s="35"/>
      <c r="I53" s="15"/>
      <c r="J53" s="50">
        <f>5597631.32</f>
        <v>5597631.3200000003</v>
      </c>
      <c r="K53" s="230"/>
      <c r="L53" s="50">
        <v>0</v>
      </c>
      <c r="M53" s="50">
        <f>ROUND(L53,0)+ROUND(J53,0)</f>
        <v>5597631</v>
      </c>
      <c r="N53" s="51"/>
    </row>
    <row r="54" spans="1:14">
      <c r="A54" s="52" t="s">
        <v>84</v>
      </c>
      <c r="B54" s="53" t="s">
        <v>85</v>
      </c>
      <c r="C54" s="14" t="s">
        <v>86</v>
      </c>
      <c r="D54" s="35"/>
      <c r="E54" s="14"/>
      <c r="F54" s="14"/>
      <c r="G54" s="14"/>
      <c r="H54" s="35"/>
      <c r="I54" s="15"/>
      <c r="J54" s="89">
        <v>0</v>
      </c>
      <c r="K54" s="230"/>
      <c r="L54" s="89">
        <v>0</v>
      </c>
      <c r="M54" s="89">
        <f>ROUND(L54,0)+ROUND(J54,0)</f>
        <v>0</v>
      </c>
      <c r="N54" s="51"/>
    </row>
    <row r="55" spans="1:14">
      <c r="A55" s="52" t="s">
        <v>87</v>
      </c>
      <c r="B55" s="53" t="s">
        <v>85</v>
      </c>
      <c r="C55" s="76" t="str">
        <f>IF(J55&lt;0,IF(L55&gt;0,"Other Revenues (Expenses)","Other Expenses"),IF(J55&gt;0,IF(L55&gt;=0,"Other Revenues","Other Revenues (Expenses)"),IF(L55&lt;0,"Other Expenses",IF(L55&gt;0,"Other Revenues","Other Revenues (Expenses)"))))</f>
        <v>Other Revenues (Expenses)</v>
      </c>
      <c r="D55" s="35"/>
      <c r="E55" s="14"/>
      <c r="F55" s="14"/>
      <c r="G55" s="14"/>
      <c r="H55" s="35"/>
      <c r="I55" s="15"/>
      <c r="J55" s="58">
        <v>0</v>
      </c>
      <c r="K55" s="230"/>
      <c r="L55" s="58">
        <v>0</v>
      </c>
      <c r="M55" s="58">
        <f>ROUND(L55,0)+ROUND(J55,0)</f>
        <v>0</v>
      </c>
      <c r="N55" s="51"/>
    </row>
    <row r="56" spans="1:14">
      <c r="A56" s="52"/>
      <c r="B56" s="53"/>
      <c r="C56" s="35"/>
      <c r="D56" s="35"/>
      <c r="E56" s="14"/>
      <c r="F56" s="14"/>
      <c r="G56" s="14"/>
      <c r="H56" s="14"/>
      <c r="I56" s="15"/>
      <c r="J56" s="83"/>
      <c r="K56" s="84"/>
      <c r="L56" s="83"/>
      <c r="M56" s="83"/>
      <c r="N56" s="85"/>
    </row>
    <row r="57" spans="1:14">
      <c r="A57" s="70" t="s">
        <v>88</v>
      </c>
      <c r="B57" s="53"/>
      <c r="C57" s="29" t="s">
        <v>89</v>
      </c>
      <c r="D57" s="35"/>
      <c r="E57" s="35"/>
      <c r="F57" s="14"/>
      <c r="G57" s="14"/>
      <c r="H57" s="14"/>
      <c r="I57" s="15"/>
      <c r="J57" s="90">
        <f t="array" ref="J57">SUM(ROUND(J52:J55,0))</f>
        <v>8392875</v>
      </c>
      <c r="K57" s="59"/>
      <c r="L57" s="90">
        <f t="array" ref="L57">SUM(ROUND(L52:L55,0))</f>
        <v>0</v>
      </c>
      <c r="M57" s="90">
        <f t="array" ref="M57">SUM(ROUND(M52:M55,0))</f>
        <v>8392875</v>
      </c>
      <c r="N57" s="91"/>
    </row>
    <row r="58" spans="1:14">
      <c r="A58" s="52"/>
      <c r="B58" s="53"/>
      <c r="C58" s="29"/>
      <c r="D58" s="35"/>
      <c r="E58" s="35"/>
      <c r="F58" s="14"/>
      <c r="G58" s="14"/>
      <c r="H58" s="14"/>
      <c r="I58" s="15"/>
      <c r="J58" s="59"/>
      <c r="K58" s="59"/>
      <c r="L58" s="59"/>
      <c r="M58" s="59"/>
      <c r="N58" s="77"/>
    </row>
    <row r="59" spans="1:14">
      <c r="A59" s="70"/>
      <c r="B59" s="53"/>
      <c r="C59" s="65" t="str">
        <f>IF(J59&lt;0,IF(L59&gt;0,"Increase (Decrease) in Net Position","Decrease in Net Position"),IF(J59&gt;0,IF(L59&gt;=0,"Increase in Net Position","Increase (Decrease) in Net Position"),IF(L59&lt;0,"Decrease in Net Position",IF(L59&gt;0,"Increase in Net Position","Increase (Decrease) in Net Position"))))</f>
        <v>Increase in Net Position</v>
      </c>
      <c r="D59" s="35"/>
      <c r="E59" s="35"/>
      <c r="F59" s="14"/>
      <c r="G59" s="14"/>
      <c r="H59" s="14"/>
      <c r="I59" s="15"/>
      <c r="J59" s="90">
        <f>J50+J57</f>
        <v>1940769</v>
      </c>
      <c r="K59" s="92"/>
      <c r="L59" s="90">
        <f>L50+L57</f>
        <v>7567147</v>
      </c>
      <c r="M59" s="90">
        <f>M50+M57</f>
        <v>9507916</v>
      </c>
      <c r="N59" s="91"/>
    </row>
    <row r="60" spans="1:14">
      <c r="A60" s="52"/>
      <c r="B60" s="53"/>
      <c r="C60" s="93"/>
      <c r="D60" s="35"/>
      <c r="E60" s="35"/>
      <c r="F60" s="14"/>
      <c r="G60" s="14"/>
      <c r="H60" s="14"/>
      <c r="I60" s="15"/>
      <c r="J60" s="94"/>
      <c r="K60" s="94"/>
      <c r="L60" s="94"/>
      <c r="M60" s="94"/>
      <c r="N60" s="95"/>
    </row>
    <row r="61" spans="1:14">
      <c r="A61" s="52" t="s">
        <v>90</v>
      </c>
      <c r="B61" s="53"/>
      <c r="C61" s="14" t="s">
        <v>91</v>
      </c>
      <c r="D61" s="35"/>
      <c r="E61" s="14"/>
      <c r="F61" s="14"/>
      <c r="G61" s="14"/>
      <c r="H61" s="14"/>
      <c r="I61" s="15"/>
      <c r="J61" s="96">
        <f>VLOOKUP($C$1,[32]VLOOKUPS!A44:D71,2,FALSE)</f>
        <v>304247165</v>
      </c>
      <c r="K61" s="49"/>
      <c r="L61" s="96">
        <f>VLOOKUP($C$1,[32]VLOOKUPS!A44:D71,3,FALSE)</f>
        <v>75042790</v>
      </c>
      <c r="M61" s="89">
        <f>ROUND(L61,0)+ROUND(J61,0)</f>
        <v>379289955</v>
      </c>
      <c r="N61" s="97"/>
    </row>
    <row r="62" spans="1:14">
      <c r="A62" s="52" t="s">
        <v>92</v>
      </c>
      <c r="B62" s="53" t="s">
        <v>93</v>
      </c>
      <c r="C62" s="14" t="s">
        <v>94</v>
      </c>
      <c r="D62" s="35"/>
      <c r="E62" s="14"/>
      <c r="F62" s="14"/>
      <c r="G62" s="14"/>
      <c r="H62" s="14"/>
      <c r="I62" s="15"/>
      <c r="J62" s="82">
        <v>-44985647</v>
      </c>
      <c r="K62" s="49"/>
      <c r="L62" s="82">
        <v>0</v>
      </c>
      <c r="M62" s="82">
        <f>ROUND(L62,0)+ROUND(J62,0)</f>
        <v>-44985647</v>
      </c>
      <c r="N62" s="81"/>
    </row>
    <row r="63" spans="1:14">
      <c r="A63" s="52"/>
      <c r="B63" s="53"/>
      <c r="C63" s="36"/>
      <c r="D63" s="36"/>
      <c r="E63" s="36"/>
      <c r="F63" s="36"/>
      <c r="G63" s="36"/>
      <c r="H63" s="98"/>
      <c r="I63" s="36"/>
      <c r="J63" s="92"/>
      <c r="K63" s="99"/>
      <c r="L63" s="99"/>
      <c r="M63" s="99"/>
      <c r="N63" s="100"/>
    </row>
    <row r="64" spans="1:14">
      <c r="A64" s="70"/>
      <c r="B64" s="53"/>
      <c r="C64" s="101" t="s">
        <v>95</v>
      </c>
      <c r="D64" s="36"/>
      <c r="E64" s="36"/>
      <c r="F64" s="36"/>
      <c r="G64" s="36"/>
      <c r="H64" s="60"/>
      <c r="I64" s="60"/>
      <c r="J64" s="90">
        <f t="array" ref="J64">SUM(ROUND(J61:J62,0))</f>
        <v>259261518</v>
      </c>
      <c r="K64" s="92"/>
      <c r="L64" s="90">
        <f t="array" ref="L64">SUM(ROUND(L61:L62,0))</f>
        <v>75042790</v>
      </c>
      <c r="M64" s="90">
        <f t="array" ref="M64">SUM(ROUND(M61:M62,0))</f>
        <v>334304308</v>
      </c>
      <c r="N64" s="91"/>
    </row>
    <row r="65" spans="1:14">
      <c r="A65" s="52"/>
      <c r="B65" s="53"/>
      <c r="C65" s="36"/>
      <c r="D65" s="36"/>
      <c r="E65" s="36"/>
      <c r="F65" s="36"/>
      <c r="G65" s="36"/>
      <c r="H65" s="102"/>
      <c r="I65" s="36"/>
      <c r="J65" s="102"/>
      <c r="K65" s="60"/>
      <c r="L65" s="60"/>
      <c r="M65" s="60"/>
      <c r="N65" s="61"/>
    </row>
    <row r="66" spans="1:14" ht="13.5" thickBot="1">
      <c r="A66" s="52"/>
      <c r="B66" s="53"/>
      <c r="C66" s="29" t="s">
        <v>96</v>
      </c>
      <c r="D66" s="35"/>
      <c r="E66" s="14"/>
      <c r="F66" s="14"/>
      <c r="G66" s="14"/>
      <c r="H66" s="14"/>
      <c r="I66" s="103"/>
      <c r="J66" s="104">
        <f>J59+J64</f>
        <v>261202287</v>
      </c>
      <c r="K66" s="105"/>
      <c r="L66" s="104">
        <f>L59+L64</f>
        <v>82609937</v>
      </c>
      <c r="M66" s="104">
        <f>M59+M64</f>
        <v>343812224</v>
      </c>
      <c r="N66" s="46"/>
    </row>
    <row r="67" spans="1:14" ht="13.5" thickTop="1">
      <c r="A67" s="70"/>
      <c r="B67" s="53"/>
      <c r="C67" s="14"/>
      <c r="D67" s="14"/>
      <c r="E67" s="14"/>
      <c r="F67" s="14"/>
      <c r="G67" s="14"/>
      <c r="H67" s="14"/>
      <c r="I67" s="15"/>
      <c r="J67" s="107"/>
      <c r="K67" s="15"/>
      <c r="L67" s="107"/>
      <c r="M67" s="107"/>
      <c r="N67" s="108"/>
    </row>
    <row r="68" spans="1:14">
      <c r="A68" s="52"/>
      <c r="B68" s="53"/>
      <c r="C68" s="35" t="s">
        <v>97</v>
      </c>
      <c r="D68" s="35"/>
      <c r="E68" s="35"/>
      <c r="F68" s="35"/>
      <c r="G68" s="35"/>
      <c r="H68" s="35"/>
      <c r="I68" s="87"/>
      <c r="J68" s="35"/>
      <c r="K68" s="87"/>
      <c r="L68" s="35"/>
      <c r="M68" s="35"/>
      <c r="N68" s="37"/>
    </row>
    <row r="69" spans="1:14">
      <c r="B69" s="72"/>
      <c r="I69" s="6"/>
      <c r="J69" s="109">
        <f>J66-[32]SNP!K119</f>
        <v>0</v>
      </c>
      <c r="K69" s="110"/>
      <c r="L69" s="111">
        <f>L66-[32]SNP!M119</f>
        <v>0</v>
      </c>
      <c r="M69" s="111">
        <f>M66-[32]SNP!N119</f>
        <v>0</v>
      </c>
      <c r="N69" s="112"/>
    </row>
    <row r="70" spans="1:14">
      <c r="B70" s="72"/>
      <c r="I70" s="113" t="s">
        <v>98</v>
      </c>
      <c r="J70" s="114"/>
      <c r="K70" s="115"/>
      <c r="L70" s="114"/>
      <c r="M70" s="114"/>
      <c r="N70" s="114"/>
    </row>
  </sheetData>
  <sheetProtection formatColumns="0" formatRows="0"/>
  <conditionalFormatting sqref="J69 L69">
    <cfRule type="cellIs" dxfId="14" priority="14" operator="notEqual">
      <formula>0</formula>
    </cfRule>
    <cfRule type="cellIs" dxfId="13" priority="15" operator="equal">
      <formula>0</formula>
    </cfRule>
  </conditionalFormatting>
  <conditionalFormatting sqref="J11:J15 F11:G11 L24:L30 L37:L45 J37:J45 L62 J62 L17:L18 J25:J29 J17:J18 F17:G17 L11:L15 L52:L55 J52:J55">
    <cfRule type="containsBlanks" dxfId="12" priority="12">
      <formula>LEN(TRIM(F11))=0</formula>
    </cfRule>
    <cfRule type="cellIs" dxfId="11" priority="13" operator="notEqual">
      <formula>0</formula>
    </cfRule>
  </conditionalFormatting>
  <conditionalFormatting sqref="J11">
    <cfRule type="cellIs" dxfId="10" priority="11" operator="notEqual">
      <formula>J20</formula>
    </cfRule>
  </conditionalFormatting>
  <conditionalFormatting sqref="L11">
    <cfRule type="cellIs" dxfId="9" priority="10" operator="notEqual">
      <formula>L20</formula>
    </cfRule>
  </conditionalFormatting>
  <conditionalFormatting sqref="M69">
    <cfRule type="cellIs" dxfId="8" priority="8" operator="notEqual">
      <formula>0</formula>
    </cfRule>
    <cfRule type="cellIs" dxfId="7" priority="9" operator="equal">
      <formula>0</formula>
    </cfRule>
  </conditionalFormatting>
  <conditionalFormatting sqref="M24:M30 M37:M45 M62 M17:M18 M11:M15 M52:M55">
    <cfRule type="containsBlanks" dxfId="6" priority="6">
      <formula>LEN(TRIM(M11))=0</formula>
    </cfRule>
    <cfRule type="cellIs" dxfId="5" priority="7" operator="notEqual">
      <formula>0</formula>
    </cfRule>
  </conditionalFormatting>
  <conditionalFormatting sqref="M11">
    <cfRule type="cellIs" dxfId="4" priority="5" operator="notEqual">
      <formula>M20</formula>
    </cfRule>
  </conditionalFormatting>
  <conditionalFormatting sqref="J24">
    <cfRule type="containsBlanks" dxfId="3" priority="3">
      <formula>LEN(TRIM(J24))=0</formula>
    </cfRule>
    <cfRule type="cellIs" dxfId="2" priority="4" operator="notEqual">
      <formula>0</formula>
    </cfRule>
  </conditionalFormatting>
  <conditionalFormatting sqref="M61">
    <cfRule type="containsBlanks" dxfId="1" priority="1">
      <formula>LEN(TRIM(M61))=0</formula>
    </cfRule>
    <cfRule type="cellIs" dxfId="0" priority="2" operator="notEqual">
      <formula>0</formula>
    </cfRule>
  </conditionalFormatting>
  <printOptions horizontalCentered="1"/>
  <pageMargins left="0.7" right="0.7" top="0.75" bottom="0.75" header="0.5" footer="0.5"/>
  <pageSetup scale="53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  <pageSetUpPr fitToPage="1"/>
  </sheetPr>
  <dimension ref="A1:T69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0" style="1" hidden="1" customWidth="1"/>
    <col min="2" max="2" width="0" style="20" hidden="1" customWidth="1"/>
    <col min="3" max="8" width="11.140625" style="6"/>
    <col min="9" max="9" width="11.140625" style="11"/>
    <col min="10" max="10" width="15.28515625" style="6" customWidth="1"/>
    <col min="11" max="11" width="11.140625" style="11"/>
    <col min="12" max="12" width="13" style="6" customWidth="1"/>
    <col min="13" max="13" width="15" style="6" customWidth="1"/>
    <col min="14" max="14" width="11.140625" style="6"/>
    <col min="15" max="15" width="11.140625" style="10"/>
    <col min="16" max="20" width="11.140625" style="5"/>
    <col min="21" max="16384" width="11.140625" style="6"/>
  </cols>
  <sheetData>
    <row r="1" spans="1:14">
      <c r="B1" s="2"/>
      <c r="C1" s="260" t="str">
        <f>'[6]Contact Information'!$C$5</f>
        <v>BROWARD COLLEGE</v>
      </c>
      <c r="D1" s="260"/>
      <c r="E1" s="260"/>
      <c r="F1" s="260"/>
      <c r="G1" s="260"/>
      <c r="H1" s="260"/>
      <c r="I1" s="260"/>
      <c r="J1" s="260"/>
      <c r="K1" s="260"/>
      <c r="L1" s="260"/>
      <c r="M1" s="247"/>
      <c r="N1" s="3"/>
    </row>
    <row r="2" spans="1:14">
      <c r="B2" s="2"/>
      <c r="C2" s="256" t="s">
        <v>0</v>
      </c>
      <c r="D2" s="256"/>
      <c r="E2" s="256"/>
      <c r="F2" s="256"/>
      <c r="G2" s="256"/>
      <c r="H2" s="256"/>
      <c r="I2" s="256"/>
      <c r="J2" s="256"/>
      <c r="K2" s="256"/>
      <c r="L2" s="256"/>
      <c r="M2" s="245"/>
      <c r="N2" s="7"/>
    </row>
    <row r="3" spans="1:14">
      <c r="B3" s="2"/>
      <c r="C3" s="86" t="s">
        <v>1</v>
      </c>
      <c r="D3" s="86"/>
      <c r="E3" s="86"/>
      <c r="F3" s="86"/>
      <c r="G3" s="86"/>
      <c r="H3" s="86"/>
      <c r="I3" s="86"/>
      <c r="J3" s="86"/>
      <c r="K3" s="86"/>
      <c r="L3" s="86"/>
      <c r="M3" s="248"/>
      <c r="N3" s="9" t="s">
        <v>2</v>
      </c>
    </row>
    <row r="4" spans="1:14">
      <c r="B4" s="2"/>
      <c r="C4" s="261" t="s">
        <v>297</v>
      </c>
      <c r="D4" s="261"/>
      <c r="E4" s="261"/>
      <c r="F4" s="261"/>
      <c r="G4" s="261"/>
      <c r="H4" s="261"/>
      <c r="I4" s="261"/>
      <c r="J4" s="261"/>
      <c r="K4" s="261"/>
      <c r="L4" s="261"/>
      <c r="M4" s="249"/>
      <c r="N4" s="11" t="str">
        <f>'[6]Contact Information'!$C$3</f>
        <v>2015.v02</v>
      </c>
    </row>
    <row r="5" spans="1:14">
      <c r="A5" s="12"/>
      <c r="B5" s="13"/>
      <c r="C5" s="14"/>
      <c r="D5" s="14"/>
      <c r="E5" s="14"/>
      <c r="F5" s="14"/>
      <c r="G5" s="14"/>
      <c r="H5" s="14"/>
      <c r="I5" s="15"/>
      <c r="J5" s="16"/>
      <c r="K5" s="17"/>
      <c r="L5" s="16"/>
      <c r="M5" s="16"/>
      <c r="N5" s="18"/>
    </row>
    <row r="6" spans="1:14">
      <c r="C6" s="14"/>
      <c r="D6" s="14"/>
      <c r="E6" s="14"/>
      <c r="F6" s="14"/>
      <c r="G6" s="14"/>
      <c r="H6" s="14"/>
      <c r="I6" s="15"/>
      <c r="J6" s="249" t="s">
        <v>5</v>
      </c>
      <c r="K6" s="21"/>
      <c r="L6" s="22" t="s">
        <v>6</v>
      </c>
      <c r="M6" s="22" t="s">
        <v>7</v>
      </c>
      <c r="N6" s="23"/>
    </row>
    <row r="7" spans="1:14">
      <c r="C7" s="14"/>
      <c r="D7" s="14"/>
      <c r="E7" s="14"/>
      <c r="F7" s="14"/>
      <c r="G7" s="14"/>
      <c r="H7" s="14"/>
      <c r="I7" s="15"/>
      <c r="J7" s="24"/>
      <c r="K7" s="25"/>
      <c r="L7" s="26" t="str">
        <f>[6]SNP!$M$9</f>
        <v>Unit</v>
      </c>
      <c r="M7" s="26"/>
      <c r="N7" s="27"/>
    </row>
    <row r="8" spans="1:14">
      <c r="C8" s="29" t="s">
        <v>9</v>
      </c>
      <c r="D8" s="14"/>
      <c r="E8" s="14"/>
      <c r="F8" s="14"/>
      <c r="G8" s="14"/>
      <c r="H8" s="14"/>
      <c r="I8" s="15"/>
      <c r="J8" s="25"/>
      <c r="K8" s="25"/>
      <c r="L8" s="25"/>
      <c r="M8" s="25"/>
      <c r="N8" s="30"/>
    </row>
    <row r="9" spans="1:14">
      <c r="A9" s="32" t="s">
        <v>10</v>
      </c>
      <c r="B9" s="33" t="s">
        <v>11</v>
      </c>
      <c r="C9" s="14" t="s">
        <v>12</v>
      </c>
      <c r="D9" s="14"/>
      <c r="E9" s="14"/>
      <c r="F9" s="14"/>
      <c r="G9" s="14"/>
      <c r="H9" s="14"/>
      <c r="I9" s="15"/>
      <c r="J9" s="17"/>
      <c r="K9" s="17"/>
      <c r="L9" s="17"/>
      <c r="M9" s="17"/>
      <c r="N9" s="18"/>
    </row>
    <row r="10" spans="1:14">
      <c r="B10" s="34"/>
      <c r="C10" s="35"/>
      <c r="D10" s="36" t="s">
        <v>14</v>
      </c>
      <c r="E10" s="14"/>
      <c r="F10" s="14"/>
      <c r="G10" s="14"/>
      <c r="H10" s="14"/>
      <c r="I10" s="35"/>
      <c r="J10" s="35"/>
      <c r="K10" s="17"/>
      <c r="L10" s="35"/>
      <c r="M10" s="35"/>
      <c r="N10" s="37"/>
    </row>
    <row r="11" spans="1:14">
      <c r="A11" s="1" t="s">
        <v>17</v>
      </c>
      <c r="B11" s="34" t="s">
        <v>18</v>
      </c>
      <c r="C11" s="35"/>
      <c r="D11" s="44" t="s">
        <v>19</v>
      </c>
      <c r="E11" s="35"/>
      <c r="F11" s="263">
        <v>53278912.740000002</v>
      </c>
      <c r="G11" s="263"/>
      <c r="H11" s="45"/>
      <c r="I11" s="36"/>
      <c r="J11" s="228">
        <v>40258878</v>
      </c>
      <c r="K11" s="229"/>
      <c r="L11" s="228">
        <v>0</v>
      </c>
      <c r="M11" s="228">
        <f>ROUND(L11,0)+ROUND(J11,0)</f>
        <v>40258878</v>
      </c>
      <c r="N11" s="46"/>
    </row>
    <row r="12" spans="1:14">
      <c r="A12" s="1" t="s">
        <v>20</v>
      </c>
      <c r="B12" s="34" t="s">
        <v>21</v>
      </c>
      <c r="C12" s="35"/>
      <c r="D12" s="36" t="s">
        <v>22</v>
      </c>
      <c r="E12" s="14"/>
      <c r="F12" s="48"/>
      <c r="G12" s="49"/>
      <c r="H12" s="15"/>
      <c r="I12" s="35"/>
      <c r="J12" s="50">
        <v>8869445.0099999998</v>
      </c>
      <c r="K12" s="230"/>
      <c r="L12" s="50">
        <v>0</v>
      </c>
      <c r="M12" s="50">
        <f>ROUND(L12,0)+ROUND(J12,0)</f>
        <v>8869445</v>
      </c>
      <c r="N12" s="51"/>
    </row>
    <row r="13" spans="1:14">
      <c r="A13" s="1" t="s">
        <v>23</v>
      </c>
      <c r="B13" s="34" t="s">
        <v>21</v>
      </c>
      <c r="C13" s="35"/>
      <c r="D13" s="36" t="s">
        <v>24</v>
      </c>
      <c r="E13" s="14"/>
      <c r="F13" s="48"/>
      <c r="G13" s="48"/>
      <c r="H13" s="14"/>
      <c r="I13" s="35"/>
      <c r="J13" s="50">
        <v>2267737</v>
      </c>
      <c r="K13" s="230"/>
      <c r="L13" s="50">
        <v>0</v>
      </c>
      <c r="M13" s="50">
        <f>ROUND(L13,0)+ROUND(J13,0)</f>
        <v>2267737</v>
      </c>
      <c r="N13" s="51"/>
    </row>
    <row r="14" spans="1:14">
      <c r="A14" s="1" t="s">
        <v>25</v>
      </c>
      <c r="B14" s="34" t="s">
        <v>21</v>
      </c>
      <c r="C14" s="35"/>
      <c r="D14" s="36" t="s">
        <v>26</v>
      </c>
      <c r="E14" s="14"/>
      <c r="F14" s="48"/>
      <c r="G14" s="48"/>
      <c r="H14" s="14"/>
      <c r="I14" s="35"/>
      <c r="J14" s="50">
        <v>8514150</v>
      </c>
      <c r="K14" s="230"/>
      <c r="L14" s="50">
        <v>0</v>
      </c>
      <c r="M14" s="50">
        <f>ROUND(L14,0)+ROUND(J14,0)</f>
        <v>8514150</v>
      </c>
      <c r="N14" s="51"/>
    </row>
    <row r="15" spans="1:14">
      <c r="A15" s="1" t="s">
        <v>27</v>
      </c>
      <c r="B15" s="34" t="s">
        <v>18</v>
      </c>
      <c r="C15" s="35"/>
      <c r="D15" s="36" t="s">
        <v>28</v>
      </c>
      <c r="E15" s="14"/>
      <c r="F15" s="48"/>
      <c r="G15" s="48"/>
      <c r="H15" s="35"/>
      <c r="I15" s="35"/>
      <c r="J15" s="50">
        <v>0</v>
      </c>
      <c r="K15" s="230"/>
      <c r="L15" s="50">
        <v>0</v>
      </c>
      <c r="M15" s="50">
        <f>ROUND(L15,0)+ROUND(J15,0)</f>
        <v>0</v>
      </c>
      <c r="N15" s="51"/>
    </row>
    <row r="16" spans="1:14">
      <c r="A16" s="52"/>
      <c r="B16" s="53"/>
      <c r="C16" s="35"/>
      <c r="D16" s="36" t="s">
        <v>29</v>
      </c>
      <c r="E16" s="14"/>
      <c r="F16" s="54"/>
      <c r="G16" s="49"/>
      <c r="H16" s="55"/>
      <c r="I16" s="35"/>
      <c r="J16" s="35"/>
      <c r="K16" s="230"/>
      <c r="L16" s="35"/>
      <c r="M16" s="35"/>
      <c r="N16" s="37"/>
    </row>
    <row r="17" spans="1:14">
      <c r="A17" s="52" t="s">
        <v>30</v>
      </c>
      <c r="B17" s="53" t="s">
        <v>18</v>
      </c>
      <c r="C17" s="35"/>
      <c r="D17" s="44" t="s">
        <v>19</v>
      </c>
      <c r="E17" s="35"/>
      <c r="F17" s="263">
        <v>0</v>
      </c>
      <c r="G17" s="263"/>
      <c r="H17" s="55"/>
      <c r="I17" s="35"/>
      <c r="J17" s="50">
        <v>6866555</v>
      </c>
      <c r="K17" s="230"/>
      <c r="L17" s="50">
        <v>0</v>
      </c>
      <c r="M17" s="50">
        <f>ROUND(L17,0)+ROUND(J17,0)</f>
        <v>6866555</v>
      </c>
      <c r="N17" s="51"/>
    </row>
    <row r="18" spans="1:14">
      <c r="A18" s="52" t="s">
        <v>31</v>
      </c>
      <c r="B18" s="56" t="s">
        <v>32</v>
      </c>
      <c r="C18" s="35"/>
      <c r="D18" s="57" t="s">
        <v>33</v>
      </c>
      <c r="E18" s="14"/>
      <c r="F18" s="14"/>
      <c r="G18" s="14"/>
      <c r="H18" s="14"/>
      <c r="I18" s="36"/>
      <c r="J18" s="58">
        <v>2880389</v>
      </c>
      <c r="K18" s="230"/>
      <c r="L18" s="58">
        <v>5465178</v>
      </c>
      <c r="M18" s="58">
        <f>ROUND(L18,0)+ROUND(J18,0)</f>
        <v>8345567</v>
      </c>
      <c r="N18" s="51"/>
    </row>
    <row r="19" spans="1:14">
      <c r="A19" s="52"/>
      <c r="B19" s="56"/>
      <c r="C19" s="36"/>
      <c r="D19" s="36"/>
      <c r="E19" s="36"/>
      <c r="F19" s="36"/>
      <c r="G19" s="36"/>
      <c r="H19" s="59"/>
      <c r="I19" s="59"/>
      <c r="J19" s="59"/>
      <c r="K19" s="60"/>
      <c r="L19" s="60"/>
      <c r="M19" s="60"/>
      <c r="N19" s="61"/>
    </row>
    <row r="20" spans="1:14">
      <c r="A20" s="52" t="s">
        <v>34</v>
      </c>
      <c r="B20" s="56"/>
      <c r="C20" s="35"/>
      <c r="D20" s="65" t="s">
        <v>35</v>
      </c>
      <c r="E20" s="35"/>
      <c r="F20" s="14"/>
      <c r="G20" s="14"/>
      <c r="H20" s="14"/>
      <c r="I20" s="15"/>
      <c r="J20" s="66">
        <f t="array" ref="J20">SUM(ROUND(J11:J18,0))</f>
        <v>69657154</v>
      </c>
      <c r="K20" s="67"/>
      <c r="L20" s="66">
        <f t="array" ref="L20">SUM(ROUND(L11:L18,0))</f>
        <v>5465178</v>
      </c>
      <c r="M20" s="66">
        <f t="array" ref="M20">SUM(ROUND(M11:M18,0))</f>
        <v>75122332</v>
      </c>
      <c r="N20" s="68"/>
    </row>
    <row r="21" spans="1:14">
      <c r="A21" s="52"/>
      <c r="B21" s="56"/>
      <c r="C21" s="14"/>
      <c r="D21" s="14"/>
      <c r="E21" s="14"/>
      <c r="F21" s="14"/>
      <c r="G21" s="14"/>
      <c r="H21" s="14"/>
      <c r="I21" s="15"/>
      <c r="J21" s="17"/>
      <c r="K21" s="17"/>
      <c r="L21" s="17"/>
      <c r="M21" s="17"/>
      <c r="N21" s="18"/>
    </row>
    <row r="22" spans="1:14">
      <c r="A22" s="70"/>
      <c r="B22" s="71"/>
      <c r="C22" s="29" t="s">
        <v>36</v>
      </c>
      <c r="D22" s="14"/>
      <c r="E22" s="14"/>
      <c r="F22" s="14"/>
      <c r="G22" s="14"/>
      <c r="H22" s="14"/>
      <c r="I22" s="15"/>
      <c r="J22" s="16"/>
      <c r="K22" s="17"/>
      <c r="L22" s="16"/>
      <c r="M22" s="16"/>
      <c r="N22" s="18"/>
    </row>
    <row r="23" spans="1:14">
      <c r="A23" s="52"/>
      <c r="B23" s="53"/>
      <c r="C23" s="14" t="s">
        <v>37</v>
      </c>
      <c r="D23" s="14"/>
      <c r="E23" s="14"/>
      <c r="F23" s="14"/>
      <c r="G23" s="35"/>
      <c r="H23" s="14"/>
      <c r="I23" s="15"/>
      <c r="J23" s="16"/>
      <c r="K23" s="17"/>
      <c r="L23" s="16"/>
      <c r="M23" s="16"/>
      <c r="N23" s="18"/>
    </row>
    <row r="24" spans="1:14">
      <c r="A24" s="12" t="s">
        <v>38</v>
      </c>
      <c r="B24" s="72" t="s">
        <v>39</v>
      </c>
      <c r="C24" s="44"/>
      <c r="D24" s="36" t="s">
        <v>40</v>
      </c>
      <c r="E24" s="14"/>
      <c r="F24" s="14"/>
      <c r="G24" s="35"/>
      <c r="H24" s="14"/>
      <c r="I24" s="15"/>
      <c r="J24" s="50">
        <v>147771307</v>
      </c>
      <c r="K24" s="230"/>
      <c r="L24" s="50">
        <v>0</v>
      </c>
      <c r="M24" s="50">
        <f t="shared" ref="M24:M30" si="0">ROUND(L24,0)+ROUND(J24,0)</f>
        <v>147771307</v>
      </c>
      <c r="N24" s="51"/>
    </row>
    <row r="25" spans="1:14">
      <c r="A25" s="1" t="s">
        <v>41</v>
      </c>
      <c r="B25" s="72" t="s">
        <v>39</v>
      </c>
      <c r="C25" s="44"/>
      <c r="D25" s="36" t="s">
        <v>42</v>
      </c>
      <c r="E25" s="14"/>
      <c r="F25" s="14"/>
      <c r="G25" s="35"/>
      <c r="H25" s="14"/>
      <c r="I25" s="15"/>
      <c r="J25" s="50">
        <v>60031524</v>
      </c>
      <c r="K25" s="230"/>
      <c r="L25" s="50">
        <v>0</v>
      </c>
      <c r="M25" s="50">
        <f t="shared" si="0"/>
        <v>60031524</v>
      </c>
      <c r="N25" s="51"/>
    </row>
    <row r="26" spans="1:14">
      <c r="A26" s="12" t="s">
        <v>43</v>
      </c>
      <c r="B26" s="34" t="s">
        <v>39</v>
      </c>
      <c r="C26" s="44"/>
      <c r="D26" s="36" t="s">
        <v>44</v>
      </c>
      <c r="E26" s="14"/>
      <c r="F26" s="14"/>
      <c r="G26" s="35"/>
      <c r="H26" s="14"/>
      <c r="I26" s="15"/>
      <c r="J26" s="50">
        <v>5608693</v>
      </c>
      <c r="K26" s="230"/>
      <c r="L26" s="50">
        <v>0</v>
      </c>
      <c r="M26" s="50">
        <f t="shared" si="0"/>
        <v>5608693</v>
      </c>
      <c r="N26" s="51"/>
    </row>
    <row r="27" spans="1:14">
      <c r="A27" s="1" t="s">
        <v>45</v>
      </c>
      <c r="B27" s="72" t="s">
        <v>39</v>
      </c>
      <c r="C27" s="44"/>
      <c r="D27" s="36" t="s">
        <v>46</v>
      </c>
      <c r="E27" s="14"/>
      <c r="F27" s="14"/>
      <c r="G27" s="35"/>
      <c r="H27" s="14"/>
      <c r="I27" s="15"/>
      <c r="J27" s="50">
        <v>19428322</v>
      </c>
      <c r="K27" s="230"/>
      <c r="L27" s="50">
        <v>0</v>
      </c>
      <c r="M27" s="50">
        <f t="shared" si="0"/>
        <v>19428322</v>
      </c>
      <c r="N27" s="51"/>
    </row>
    <row r="28" spans="1:14">
      <c r="A28" s="12" t="s">
        <v>47</v>
      </c>
      <c r="B28" s="34" t="s">
        <v>39</v>
      </c>
      <c r="C28" s="44"/>
      <c r="D28" s="36" t="s">
        <v>48</v>
      </c>
      <c r="E28" s="14"/>
      <c r="F28" s="14"/>
      <c r="G28" s="35"/>
      <c r="H28" s="14"/>
      <c r="I28" s="15"/>
      <c r="J28" s="50">
        <v>15726770</v>
      </c>
      <c r="K28" s="230"/>
      <c r="L28" s="50">
        <v>7130381</v>
      </c>
      <c r="M28" s="50">
        <f t="shared" si="0"/>
        <v>22857151</v>
      </c>
      <c r="N28" s="51"/>
    </row>
    <row r="29" spans="1:14">
      <c r="A29" s="1" t="s">
        <v>49</v>
      </c>
      <c r="B29" s="34" t="s">
        <v>39</v>
      </c>
      <c r="C29" s="44"/>
      <c r="D29" s="36" t="s">
        <v>50</v>
      </c>
      <c r="E29" s="14"/>
      <c r="F29" s="14"/>
      <c r="G29" s="35"/>
      <c r="H29" s="14"/>
      <c r="I29" s="15"/>
      <c r="J29" s="50">
        <v>26053758</v>
      </c>
      <c r="K29" s="230"/>
      <c r="L29" s="50">
        <v>0</v>
      </c>
      <c r="M29" s="50">
        <f t="shared" si="0"/>
        <v>26053758</v>
      </c>
      <c r="N29" s="51"/>
    </row>
    <row r="30" spans="1:14">
      <c r="A30" s="12" t="s">
        <v>51</v>
      </c>
      <c r="B30" s="72" t="s">
        <v>52</v>
      </c>
      <c r="C30" s="44"/>
      <c r="D30" s="36" t="s">
        <v>53</v>
      </c>
      <c r="E30" s="14"/>
      <c r="F30" s="14"/>
      <c r="G30" s="35"/>
      <c r="H30" s="14"/>
      <c r="I30" s="15"/>
      <c r="J30" s="231">
        <f>'[6]Accounts by GL'!O481</f>
        <v>10089712.75</v>
      </c>
      <c r="K30" s="230"/>
      <c r="L30" s="58">
        <v>0</v>
      </c>
      <c r="M30" s="58">
        <f t="shared" si="0"/>
        <v>10089713</v>
      </c>
      <c r="N30" s="51"/>
    </row>
    <row r="31" spans="1:14">
      <c r="B31" s="72"/>
      <c r="C31" s="44"/>
      <c r="D31" s="36"/>
      <c r="E31" s="14"/>
      <c r="F31" s="14"/>
      <c r="G31" s="35"/>
      <c r="H31" s="14"/>
      <c r="I31" s="15"/>
      <c r="J31" s="73"/>
      <c r="K31" s="73"/>
      <c r="L31" s="73"/>
      <c r="M31" s="73"/>
      <c r="N31" s="74"/>
    </row>
    <row r="32" spans="1:14">
      <c r="A32" s="1" t="s">
        <v>54</v>
      </c>
      <c r="B32" s="72"/>
      <c r="C32" s="14"/>
      <c r="D32" s="65" t="s">
        <v>55</v>
      </c>
      <c r="E32" s="35"/>
      <c r="F32" s="14"/>
      <c r="G32" s="14"/>
      <c r="H32" s="14"/>
      <c r="I32" s="15"/>
      <c r="J32" s="66">
        <f t="array" ref="J32">SUM(ROUND(J24:J30,0))</f>
        <v>284710087</v>
      </c>
      <c r="K32" s="59"/>
      <c r="L32" s="66">
        <f t="array" ref="L32">SUM(ROUND(L24:L30,0))</f>
        <v>7130381</v>
      </c>
      <c r="M32" s="66">
        <f t="array" ref="M32">SUM(ROUND(M24:M30,0))</f>
        <v>291840468</v>
      </c>
      <c r="N32" s="68"/>
    </row>
    <row r="33" spans="1:14">
      <c r="A33" s="12"/>
      <c r="B33" s="72"/>
      <c r="C33" s="44"/>
      <c r="D33" s="76"/>
      <c r="E33" s="14"/>
      <c r="F33" s="14"/>
      <c r="G33" s="35"/>
      <c r="H33" s="14"/>
      <c r="I33" s="15"/>
      <c r="J33" s="59"/>
      <c r="K33" s="59"/>
      <c r="L33" s="59"/>
      <c r="M33" s="59"/>
      <c r="N33" s="77"/>
    </row>
    <row r="34" spans="1:14">
      <c r="B34" s="72"/>
      <c r="C34" s="14"/>
      <c r="D34" s="65" t="str">
        <f>IF(J34&lt;0,IF(L34&gt;0,"Operating Income (Loss)","Operating Loss"),IF(J34&gt;0,IF(L34&gt;=0,"Operating Income","Operating Income (Loss)"),IF(L34&lt;0,"Operating Loss",IF(L34&gt;0,"Operating Income","Operating Income (Loss)"))))</f>
        <v>Operating Loss</v>
      </c>
      <c r="E34" s="35"/>
      <c r="F34" s="14"/>
      <c r="G34" s="14"/>
      <c r="H34" s="14"/>
      <c r="I34" s="15"/>
      <c r="J34" s="66">
        <f>J20-J32</f>
        <v>-215052933</v>
      </c>
      <c r="K34" s="67"/>
      <c r="L34" s="66">
        <f>L20-L32</f>
        <v>-1665203</v>
      </c>
      <c r="M34" s="66">
        <f>M20-M32</f>
        <v>-216718136</v>
      </c>
      <c r="N34" s="68"/>
    </row>
    <row r="35" spans="1:14">
      <c r="A35" s="12"/>
      <c r="B35" s="72"/>
      <c r="C35" s="14"/>
      <c r="D35" s="14"/>
      <c r="E35" s="14"/>
      <c r="F35" s="14"/>
      <c r="G35" s="14"/>
      <c r="H35" s="14"/>
      <c r="I35" s="15"/>
      <c r="J35" s="78"/>
      <c r="K35" s="78"/>
      <c r="L35" s="78"/>
      <c r="M35" s="78"/>
      <c r="N35" s="79"/>
    </row>
    <row r="36" spans="1:14">
      <c r="B36" s="72"/>
      <c r="C36" s="29" t="s">
        <v>56</v>
      </c>
      <c r="D36" s="35"/>
      <c r="E36" s="14"/>
      <c r="F36" s="14"/>
      <c r="G36" s="14"/>
      <c r="H36" s="14"/>
      <c r="I36" s="15"/>
      <c r="J36" s="16"/>
      <c r="K36" s="17"/>
      <c r="L36" s="16"/>
      <c r="M36" s="16"/>
      <c r="N36" s="18"/>
    </row>
    <row r="37" spans="1:14">
      <c r="A37" s="12" t="s">
        <v>57</v>
      </c>
      <c r="B37" s="72" t="s">
        <v>58</v>
      </c>
      <c r="C37" s="36" t="s">
        <v>59</v>
      </c>
      <c r="D37" s="35"/>
      <c r="E37" s="14"/>
      <c r="F37" s="14"/>
      <c r="G37" s="35"/>
      <c r="H37" s="14"/>
      <c r="I37" s="15"/>
      <c r="J37" s="80">
        <v>86831352.799999997</v>
      </c>
      <c r="K37" s="49"/>
      <c r="L37" s="80">
        <v>0</v>
      </c>
      <c r="M37" s="80">
        <f t="shared" ref="M37:M45" si="1">ROUND(L37,0)+ROUND(J37,0)</f>
        <v>86831353</v>
      </c>
      <c r="N37" s="81"/>
    </row>
    <row r="38" spans="1:14">
      <c r="A38" s="1" t="s">
        <v>60</v>
      </c>
      <c r="B38" s="72" t="s">
        <v>21</v>
      </c>
      <c r="C38" s="36" t="s">
        <v>61</v>
      </c>
      <c r="D38" s="35"/>
      <c r="E38" s="14"/>
      <c r="F38" s="14"/>
      <c r="G38" s="35"/>
      <c r="H38" s="14"/>
      <c r="I38" s="15"/>
      <c r="J38" s="80">
        <v>103558199</v>
      </c>
      <c r="K38" s="49"/>
      <c r="L38" s="80">
        <v>0</v>
      </c>
      <c r="M38" s="80">
        <f t="shared" si="1"/>
        <v>103558199</v>
      </c>
      <c r="N38" s="81"/>
    </row>
    <row r="39" spans="1:14">
      <c r="A39" s="12" t="s">
        <v>62</v>
      </c>
      <c r="B39" s="72" t="s">
        <v>21</v>
      </c>
      <c r="C39" s="36" t="s">
        <v>63</v>
      </c>
      <c r="D39" s="35"/>
      <c r="E39" s="14"/>
      <c r="F39" s="14"/>
      <c r="G39" s="35"/>
      <c r="H39" s="14"/>
      <c r="I39" s="15"/>
      <c r="J39" s="80">
        <v>2314625</v>
      </c>
      <c r="K39" s="49"/>
      <c r="L39" s="80">
        <v>0</v>
      </c>
      <c r="M39" s="80">
        <f t="shared" si="1"/>
        <v>2314625</v>
      </c>
      <c r="N39" s="81"/>
    </row>
    <row r="40" spans="1:14">
      <c r="A40" s="1" t="s">
        <v>64</v>
      </c>
      <c r="B40" s="72" t="s">
        <v>65</v>
      </c>
      <c r="C40" s="36" t="s">
        <v>66</v>
      </c>
      <c r="D40" s="35"/>
      <c r="E40" s="14"/>
      <c r="F40" s="14"/>
      <c r="G40" s="35"/>
      <c r="H40" s="14"/>
      <c r="I40" s="15"/>
      <c r="J40" s="80">
        <v>134577</v>
      </c>
      <c r="K40" s="49"/>
      <c r="L40" s="80">
        <v>2730432</v>
      </c>
      <c r="M40" s="80">
        <f t="shared" si="1"/>
        <v>2865009</v>
      </c>
      <c r="N40" s="81"/>
    </row>
    <row r="41" spans="1:14">
      <c r="A41" s="12" t="s">
        <v>67</v>
      </c>
      <c r="B41" s="72" t="s">
        <v>65</v>
      </c>
      <c r="C41" s="36" t="str">
        <f>IF(J41&lt;0,IF(L41&gt;0,"Net Gain (Loss) on Investments","Net Loss on Investments"),IF(J41&gt;0,IF(L41&gt;=0,"Net Gain on Investments","Net Gain (Loss) on Investments"),IF(L41&lt;0,"Net Loss on Investments",IF(L41&gt;0,"Net Gain on Investments","Net Gain (Loss) on Investments"))))</f>
        <v>Net Gain (Loss) on Investments</v>
      </c>
      <c r="D41" s="35"/>
      <c r="E41" s="14"/>
      <c r="F41" s="14"/>
      <c r="G41" s="35"/>
      <c r="H41" s="14"/>
      <c r="I41" s="15"/>
      <c r="J41" s="80">
        <v>0</v>
      </c>
      <c r="K41" s="49"/>
      <c r="L41" s="80">
        <v>0</v>
      </c>
      <c r="M41" s="80">
        <f t="shared" si="1"/>
        <v>0</v>
      </c>
      <c r="N41" s="81"/>
    </row>
    <row r="42" spans="1:14">
      <c r="A42" s="1" t="s">
        <v>68</v>
      </c>
      <c r="B42" s="72" t="s">
        <v>32</v>
      </c>
      <c r="C42" s="36" t="s">
        <v>69</v>
      </c>
      <c r="D42" s="35"/>
      <c r="E42" s="14"/>
      <c r="F42" s="14"/>
      <c r="G42" s="35"/>
      <c r="H42" s="14"/>
      <c r="I42" s="15"/>
      <c r="J42" s="80">
        <v>457378</v>
      </c>
      <c r="K42" s="49"/>
      <c r="L42" s="80">
        <v>0</v>
      </c>
      <c r="M42" s="80">
        <f t="shared" si="1"/>
        <v>457378</v>
      </c>
      <c r="N42" s="81"/>
    </row>
    <row r="43" spans="1:14">
      <c r="A43" s="12" t="s">
        <v>70</v>
      </c>
      <c r="B43" s="72" t="s">
        <v>71</v>
      </c>
      <c r="C43" s="36" t="str">
        <f>IF(J43&lt;0,IF(L43&gt;0,"Gain (Loss) on Disposal of Capital Assets","Loss on Disposal of Capital Assets"),IF(J43&gt;0,IF(L43&gt;=0,"Gain on Disposal of Capital Assets","Gain (Loss) on Disposal of Capital Assets"),IF(L43&lt;0,"Loss on Disposal of Capital Assets",IF(L43&gt;0,"Gain on Disposal of Capital Assets","Gain (Loss) on Disposal of Capital Assets"))))</f>
        <v>Gain on Disposal of Capital Assets</v>
      </c>
      <c r="D43" s="35"/>
      <c r="E43" s="14"/>
      <c r="F43" s="14"/>
      <c r="G43" s="35"/>
      <c r="H43" s="14"/>
      <c r="I43" s="15"/>
      <c r="J43" s="80">
        <v>104711</v>
      </c>
      <c r="K43" s="49"/>
      <c r="L43" s="80">
        <v>0</v>
      </c>
      <c r="M43" s="80">
        <f t="shared" si="1"/>
        <v>104711</v>
      </c>
      <c r="N43" s="81"/>
    </row>
    <row r="44" spans="1:14">
      <c r="A44" s="1" t="s">
        <v>72</v>
      </c>
      <c r="B44" s="72" t="s">
        <v>39</v>
      </c>
      <c r="C44" s="36" t="s">
        <v>73</v>
      </c>
      <c r="D44" s="35"/>
      <c r="E44" s="35"/>
      <c r="F44" s="35"/>
      <c r="G44" s="35"/>
      <c r="H44" s="35"/>
      <c r="I44" s="35"/>
      <c r="J44" s="80">
        <v>-763650</v>
      </c>
      <c r="K44" s="49"/>
      <c r="L44" s="80">
        <v>0</v>
      </c>
      <c r="M44" s="80">
        <f t="shared" si="1"/>
        <v>-763650</v>
      </c>
      <c r="N44" s="81"/>
    </row>
    <row r="45" spans="1:14">
      <c r="A45" s="12" t="s">
        <v>74</v>
      </c>
      <c r="B45" s="72" t="s">
        <v>39</v>
      </c>
      <c r="C45" s="36" t="s">
        <v>75</v>
      </c>
      <c r="D45" s="35"/>
      <c r="E45" s="14"/>
      <c r="F45" s="14"/>
      <c r="G45" s="35"/>
      <c r="H45" s="14"/>
      <c r="I45" s="15"/>
      <c r="J45" s="82">
        <v>-3717078</v>
      </c>
      <c r="K45" s="49"/>
      <c r="L45" s="82">
        <v>0</v>
      </c>
      <c r="M45" s="82">
        <f t="shared" si="1"/>
        <v>-3717078</v>
      </c>
      <c r="N45" s="81"/>
    </row>
    <row r="46" spans="1:14">
      <c r="B46" s="72"/>
      <c r="C46" s="35"/>
      <c r="D46" s="35"/>
      <c r="E46" s="35"/>
      <c r="F46" s="35"/>
      <c r="G46" s="35"/>
      <c r="H46" s="35"/>
      <c r="I46" s="35"/>
      <c r="J46" s="83"/>
      <c r="K46" s="84"/>
      <c r="L46" s="83"/>
      <c r="M46" s="83"/>
      <c r="N46" s="85"/>
    </row>
    <row r="47" spans="1:14">
      <c r="A47" s="52" t="s">
        <v>76</v>
      </c>
      <c r="B47" s="53"/>
      <c r="C47" s="29" t="s">
        <v>77</v>
      </c>
      <c r="D47" s="35"/>
      <c r="E47" s="14"/>
      <c r="F47" s="14"/>
      <c r="G47" s="14"/>
      <c r="H47" s="14"/>
      <c r="I47" s="15"/>
      <c r="J47" s="66">
        <f t="array" ref="J47">SUM(ROUND(J37:J45,0))</f>
        <v>188920115</v>
      </c>
      <c r="K47" s="59"/>
      <c r="L47" s="66">
        <f t="array" ref="L47">SUM(ROUND(L37:L45,0))</f>
        <v>2730432</v>
      </c>
      <c r="M47" s="66">
        <f t="array" ref="M47">SUM(ROUND(M37:M45,0))</f>
        <v>191650547</v>
      </c>
      <c r="N47" s="68"/>
    </row>
    <row r="48" spans="1:14">
      <c r="A48" s="52"/>
      <c r="B48" s="53"/>
      <c r="C48" s="86"/>
      <c r="D48" s="87"/>
      <c r="E48" s="15"/>
      <c r="F48" s="15"/>
      <c r="G48" s="15"/>
      <c r="H48" s="15"/>
      <c r="I48" s="15"/>
      <c r="J48" s="59"/>
      <c r="K48" s="59"/>
      <c r="L48" s="59"/>
      <c r="M48" s="59"/>
      <c r="N48" s="77"/>
    </row>
    <row r="49" spans="1:14">
      <c r="A49" s="52"/>
      <c r="B49" s="53"/>
      <c r="C49" s="65" t="str">
        <f>IF(J50&lt;0,IF(L50&gt;0,"Income (Loss) Before Other Revenues,","Loss Before Other Revenues,"),IF(J50&gt;0,IF(L50&gt;=0,"Income Before Other Revenues,","Income (Loss) Before Other Revenues,"),IF(L59&lt;0,"Loss Before Other Revenues,",IF(L59&gt;0,"Income Before Other Revenues,","Income (Loss) Before Other Revenues,"))))</f>
        <v>Income (Loss) Before Other Revenues,</v>
      </c>
      <c r="D49" s="35"/>
      <c r="E49" s="35"/>
      <c r="F49" s="14"/>
      <c r="G49" s="14"/>
      <c r="H49" s="14"/>
      <c r="I49" s="15"/>
      <c r="J49" s="35"/>
      <c r="K49" s="35"/>
      <c r="L49" s="35"/>
      <c r="M49" s="35"/>
      <c r="N49" s="37"/>
    </row>
    <row r="50" spans="1:14">
      <c r="A50" s="52"/>
      <c r="B50" s="53"/>
      <c r="C50" s="14"/>
      <c r="D50" s="29" t="s">
        <v>78</v>
      </c>
      <c r="E50" s="14"/>
      <c r="F50" s="14"/>
      <c r="G50" s="14"/>
      <c r="H50" s="14"/>
      <c r="I50" s="15"/>
      <c r="J50" s="66">
        <f>J34+J47</f>
        <v>-26132818</v>
      </c>
      <c r="K50" s="59"/>
      <c r="L50" s="66">
        <f>L34+L47</f>
        <v>1065229</v>
      </c>
      <c r="M50" s="66">
        <f>M34+M47</f>
        <v>-25067589</v>
      </c>
      <c r="N50" s="68"/>
    </row>
    <row r="51" spans="1:14">
      <c r="A51" s="52"/>
      <c r="B51" s="53"/>
      <c r="C51" s="14"/>
      <c r="D51" s="29"/>
      <c r="E51" s="14"/>
      <c r="F51" s="14"/>
      <c r="G51" s="14"/>
      <c r="H51" s="14"/>
      <c r="I51" s="15"/>
      <c r="J51" s="17"/>
      <c r="K51" s="17"/>
      <c r="L51" s="17"/>
      <c r="M51" s="17"/>
      <c r="N51" s="18"/>
    </row>
    <row r="52" spans="1:14">
      <c r="A52" s="52" t="s">
        <v>79</v>
      </c>
      <c r="B52" s="53" t="s">
        <v>58</v>
      </c>
      <c r="C52" s="36" t="s">
        <v>80</v>
      </c>
      <c r="D52" s="35"/>
      <c r="E52" s="14"/>
      <c r="F52" s="14"/>
      <c r="G52" s="14"/>
      <c r="H52" s="35"/>
      <c r="I52" s="15"/>
      <c r="J52" s="80">
        <v>5040494.5</v>
      </c>
      <c r="K52" s="49"/>
      <c r="L52" s="80">
        <v>0</v>
      </c>
      <c r="M52" s="80">
        <f>ROUND(L52,0)+ROUND(J52,0)</f>
        <v>5040495</v>
      </c>
      <c r="N52" s="81"/>
    </row>
    <row r="53" spans="1:14">
      <c r="A53" s="52" t="s">
        <v>81</v>
      </c>
      <c r="B53" s="53" t="s">
        <v>82</v>
      </c>
      <c r="C53" s="36" t="s">
        <v>83</v>
      </c>
      <c r="D53" s="35"/>
      <c r="E53" s="14"/>
      <c r="F53" s="14"/>
      <c r="G53" s="14"/>
      <c r="H53" s="35"/>
      <c r="I53" s="15"/>
      <c r="J53" s="50">
        <v>9974499</v>
      </c>
      <c r="K53" s="230"/>
      <c r="L53" s="50">
        <v>0</v>
      </c>
      <c r="M53" s="50">
        <f>ROUND(L53,0)+ROUND(J53,0)</f>
        <v>9974499</v>
      </c>
      <c r="N53" s="51"/>
    </row>
    <row r="54" spans="1:14">
      <c r="A54" s="52" t="s">
        <v>84</v>
      </c>
      <c r="B54" s="53" t="s">
        <v>85</v>
      </c>
      <c r="C54" s="14" t="s">
        <v>86</v>
      </c>
      <c r="D54" s="35"/>
      <c r="E54" s="14"/>
      <c r="F54" s="14"/>
      <c r="G54" s="14"/>
      <c r="H54" s="35"/>
      <c r="I54" s="15"/>
      <c r="J54" s="89">
        <v>24519</v>
      </c>
      <c r="K54" s="230"/>
      <c r="L54" s="89">
        <v>0</v>
      </c>
      <c r="M54" s="89">
        <f>ROUND(L54,0)+ROUND(J54,0)</f>
        <v>24519</v>
      </c>
      <c r="N54" s="51"/>
    </row>
    <row r="55" spans="1:14">
      <c r="A55" s="52" t="s">
        <v>87</v>
      </c>
      <c r="B55" s="53" t="s">
        <v>85</v>
      </c>
      <c r="C55" s="76" t="str">
        <f>IF(J55&lt;0,IF(L55&gt;0,"Other Revenues (Expenses)","Other Expenses"),IF(J55&gt;0,IF(L55&gt;=0,"Other Revenues","Other Revenues (Expenses)"),IF(L55&lt;0,"Other Expenses",IF(L55&gt;0,"Other Revenues","Other Revenues (Expenses)"))))</f>
        <v>Other Revenues (Expenses)</v>
      </c>
      <c r="D55" s="35"/>
      <c r="E55" s="14"/>
      <c r="F55" s="14"/>
      <c r="G55" s="14"/>
      <c r="H55" s="35"/>
      <c r="I55" s="15"/>
      <c r="J55" s="58">
        <v>0</v>
      </c>
      <c r="K55" s="230"/>
      <c r="L55" s="58">
        <v>0</v>
      </c>
      <c r="M55" s="58">
        <f>ROUND(L55,0)+ROUND(J55,0)</f>
        <v>0</v>
      </c>
      <c r="N55" s="51"/>
    </row>
    <row r="56" spans="1:14">
      <c r="A56" s="52"/>
      <c r="B56" s="53"/>
      <c r="C56" s="35"/>
      <c r="D56" s="35"/>
      <c r="E56" s="14"/>
      <c r="F56" s="14"/>
      <c r="G56" s="14"/>
      <c r="H56" s="14"/>
      <c r="I56" s="15"/>
      <c r="J56" s="83"/>
      <c r="K56" s="84"/>
      <c r="L56" s="83"/>
      <c r="M56" s="83"/>
      <c r="N56" s="85"/>
    </row>
    <row r="57" spans="1:14">
      <c r="A57" s="70" t="s">
        <v>88</v>
      </c>
      <c r="B57" s="53"/>
      <c r="C57" s="29" t="s">
        <v>89</v>
      </c>
      <c r="D57" s="35"/>
      <c r="E57" s="35"/>
      <c r="F57" s="14"/>
      <c r="G57" s="14"/>
      <c r="H57" s="14"/>
      <c r="I57" s="15"/>
      <c r="J57" s="90">
        <f t="array" ref="J57">SUM(ROUND(J52:J55,0))</f>
        <v>15039513</v>
      </c>
      <c r="K57" s="59"/>
      <c r="L57" s="90">
        <f t="array" ref="L57">SUM(ROUND(L52:L55,0))</f>
        <v>0</v>
      </c>
      <c r="M57" s="90">
        <f t="array" ref="M57">SUM(ROUND(M52:M55,0))</f>
        <v>15039513</v>
      </c>
      <c r="N57" s="91"/>
    </row>
    <row r="58" spans="1:14">
      <c r="A58" s="52"/>
      <c r="B58" s="53"/>
      <c r="C58" s="29"/>
      <c r="D58" s="35"/>
      <c r="E58" s="35"/>
      <c r="F58" s="14"/>
      <c r="G58" s="14"/>
      <c r="H58" s="14"/>
      <c r="I58" s="15"/>
      <c r="J58" s="59"/>
      <c r="K58" s="59"/>
      <c r="L58" s="59"/>
      <c r="M58" s="59"/>
      <c r="N58" s="77"/>
    </row>
    <row r="59" spans="1:14">
      <c r="A59" s="70"/>
      <c r="B59" s="53"/>
      <c r="C59" s="65" t="str">
        <f>IF(J59&lt;0,IF(L59&gt;0,"Increase (Decrease) in Net Position","Decrease in Net Position"),IF(J59&gt;0,IF(L59&gt;=0,"Increase in Net Position","Increase (Decrease) in Net Position"),IF(L59&lt;0,"Decrease in Net Position",IF(L59&gt;0,"Increase in Net Position","Increase (Decrease) in Net Position"))))</f>
        <v>Increase (Decrease) in Net Position</v>
      </c>
      <c r="D59" s="35"/>
      <c r="E59" s="35"/>
      <c r="F59" s="14"/>
      <c r="G59" s="14"/>
      <c r="H59" s="14"/>
      <c r="I59" s="15"/>
      <c r="J59" s="90">
        <f>J50+J57</f>
        <v>-11093305</v>
      </c>
      <c r="K59" s="92"/>
      <c r="L59" s="90">
        <f>L50+L57</f>
        <v>1065229</v>
      </c>
      <c r="M59" s="90">
        <f>M50+M57</f>
        <v>-10028076</v>
      </c>
      <c r="N59" s="91"/>
    </row>
    <row r="60" spans="1:14">
      <c r="A60" s="52"/>
      <c r="B60" s="53"/>
      <c r="C60" s="93"/>
      <c r="D60" s="35"/>
      <c r="E60" s="35"/>
      <c r="F60" s="14"/>
      <c r="G60" s="14"/>
      <c r="H60" s="14"/>
      <c r="I60" s="15"/>
      <c r="J60" s="94"/>
      <c r="K60" s="94"/>
      <c r="L60" s="94"/>
      <c r="M60" s="94"/>
      <c r="N60" s="95"/>
    </row>
    <row r="61" spans="1:14">
      <c r="A61" s="52" t="s">
        <v>90</v>
      </c>
      <c r="B61" s="53"/>
      <c r="C61" s="14" t="s">
        <v>91</v>
      </c>
      <c r="D61" s="35"/>
      <c r="E61" s="14"/>
      <c r="F61" s="14"/>
      <c r="G61" s="14"/>
      <c r="H61" s="14"/>
      <c r="I61" s="15"/>
      <c r="J61" s="96">
        <f>VLOOKUP($C$1,[6]VLOOKUPS!A44:D71,2,FALSE)</f>
        <v>269782584</v>
      </c>
      <c r="K61" s="49"/>
      <c r="L61" s="96">
        <f>VLOOKUP($C$1,[6]VLOOKUPS!A44:D71,3,FALSE)</f>
        <v>74616540</v>
      </c>
      <c r="M61" s="89">
        <f>ROUND(L61,0)+ROUND(J61,0)</f>
        <v>344399124</v>
      </c>
      <c r="N61" s="97"/>
    </row>
    <row r="62" spans="1:14">
      <c r="A62" s="52" t="s">
        <v>92</v>
      </c>
      <c r="B62" s="53" t="s">
        <v>93</v>
      </c>
      <c r="C62" s="14" t="s">
        <v>94</v>
      </c>
      <c r="D62" s="35"/>
      <c r="E62" s="14"/>
      <c r="F62" s="14"/>
      <c r="G62" s="14"/>
      <c r="H62" s="14"/>
      <c r="I62" s="15"/>
      <c r="J62" s="82">
        <v>-47082858</v>
      </c>
      <c r="K62" s="49"/>
      <c r="L62" s="82">
        <v>0</v>
      </c>
      <c r="M62" s="82">
        <f>ROUND(L62,0)+ROUND(J62,0)</f>
        <v>-47082858</v>
      </c>
      <c r="N62" s="81"/>
    </row>
    <row r="63" spans="1:14">
      <c r="A63" s="52"/>
      <c r="B63" s="53"/>
      <c r="C63" s="36"/>
      <c r="D63" s="36"/>
      <c r="E63" s="36"/>
      <c r="F63" s="36"/>
      <c r="G63" s="36"/>
      <c r="H63" s="98"/>
      <c r="I63" s="36"/>
      <c r="J63" s="92"/>
      <c r="K63" s="99"/>
      <c r="L63" s="99"/>
      <c r="M63" s="99"/>
      <c r="N63" s="100"/>
    </row>
    <row r="64" spans="1:14">
      <c r="A64" s="70"/>
      <c r="B64" s="53"/>
      <c r="C64" s="101" t="s">
        <v>95</v>
      </c>
      <c r="D64" s="36"/>
      <c r="E64" s="36"/>
      <c r="F64" s="36"/>
      <c r="G64" s="36"/>
      <c r="H64" s="60"/>
      <c r="I64" s="60"/>
      <c r="J64" s="90">
        <f t="array" ref="J64">SUM(ROUND(J61:J62,0))</f>
        <v>222699726</v>
      </c>
      <c r="K64" s="92"/>
      <c r="L64" s="90">
        <f t="array" ref="L64">SUM(ROUND(L61:L62,0))</f>
        <v>74616540</v>
      </c>
      <c r="M64" s="90">
        <f t="array" ref="M64">SUM(ROUND(M61:M62,0))</f>
        <v>297316266</v>
      </c>
      <c r="N64" s="91"/>
    </row>
    <row r="65" spans="1:14">
      <c r="A65" s="52"/>
      <c r="B65" s="53"/>
      <c r="C65" s="36"/>
      <c r="D65" s="36"/>
      <c r="E65" s="36"/>
      <c r="F65" s="36"/>
      <c r="G65" s="36"/>
      <c r="H65" s="102"/>
      <c r="I65" s="36"/>
      <c r="J65" s="102"/>
      <c r="K65" s="60"/>
      <c r="L65" s="60"/>
      <c r="M65" s="60"/>
      <c r="N65" s="61"/>
    </row>
    <row r="66" spans="1:14" ht="13.5" thickBot="1">
      <c r="A66" s="52"/>
      <c r="B66" s="53"/>
      <c r="C66" s="29" t="s">
        <v>96</v>
      </c>
      <c r="D66" s="35"/>
      <c r="E66" s="14"/>
      <c r="F66" s="14"/>
      <c r="G66" s="14"/>
      <c r="H66" s="14"/>
      <c r="I66" s="103"/>
      <c r="J66" s="104">
        <f>J59+J64</f>
        <v>211606421</v>
      </c>
      <c r="K66" s="105"/>
      <c r="L66" s="104">
        <f>L59+L64</f>
        <v>75681769</v>
      </c>
      <c r="M66" s="104">
        <f>M59+M64</f>
        <v>287288190</v>
      </c>
      <c r="N66" s="46"/>
    </row>
    <row r="67" spans="1:14" ht="13.5" thickTop="1">
      <c r="A67" s="70"/>
      <c r="B67" s="53"/>
      <c r="C67" s="14"/>
      <c r="D67" s="14"/>
      <c r="E67" s="14"/>
      <c r="F67" s="14"/>
      <c r="G67" s="14"/>
      <c r="H67" s="14"/>
      <c r="I67" s="15"/>
      <c r="J67" s="107"/>
      <c r="K67" s="15"/>
      <c r="L67" s="107"/>
      <c r="M67" s="107"/>
      <c r="N67" s="108"/>
    </row>
    <row r="68" spans="1:14">
      <c r="A68" s="52"/>
      <c r="B68" s="53"/>
      <c r="C68" s="35" t="s">
        <v>97</v>
      </c>
      <c r="D68" s="35"/>
      <c r="E68" s="35"/>
      <c r="F68" s="35"/>
      <c r="G68" s="35"/>
      <c r="H68" s="35"/>
      <c r="I68" s="87"/>
      <c r="J68" s="35"/>
      <c r="K68" s="87"/>
      <c r="L68" s="35"/>
      <c r="M68" s="35"/>
      <c r="N68" s="37"/>
    </row>
    <row r="69" spans="1:14">
      <c r="B69" s="72"/>
      <c r="I69" s="6"/>
      <c r="J69" s="109">
        <f>J66-[6]SNP!K119</f>
        <v>0</v>
      </c>
      <c r="K69" s="110"/>
      <c r="L69" s="111">
        <f>L66-[6]SNP!M119</f>
        <v>0</v>
      </c>
      <c r="M69" s="111">
        <f>M66-[6]SNP!N119</f>
        <v>0</v>
      </c>
      <c r="N69" s="112"/>
    </row>
  </sheetData>
  <sheetProtection formatColumns="0" formatRows="0"/>
  <conditionalFormatting sqref="J69 L69">
    <cfRule type="cellIs" dxfId="393" priority="14" operator="notEqual">
      <formula>0</formula>
    </cfRule>
    <cfRule type="cellIs" dxfId="392" priority="15" operator="equal">
      <formula>0</formula>
    </cfRule>
  </conditionalFormatting>
  <conditionalFormatting sqref="J11:J15 F11:G11 L24:L30 L37:L45 J37:J45 L62 J62 L17:L18 J25:J29 J17:J18 F17:G17 L11:L15 L52:L55 J52:J55">
    <cfRule type="containsBlanks" dxfId="391" priority="12">
      <formula>LEN(TRIM(F11))=0</formula>
    </cfRule>
    <cfRule type="cellIs" dxfId="390" priority="13" operator="notEqual">
      <formula>0</formula>
    </cfRule>
  </conditionalFormatting>
  <conditionalFormatting sqref="J11">
    <cfRule type="cellIs" dxfId="389" priority="11" operator="notEqual">
      <formula>J20</formula>
    </cfRule>
  </conditionalFormatting>
  <conditionalFormatting sqref="L11">
    <cfRule type="cellIs" dxfId="388" priority="10" operator="notEqual">
      <formula>L20</formula>
    </cfRule>
  </conditionalFormatting>
  <conditionalFormatting sqref="M69">
    <cfRule type="cellIs" dxfId="387" priority="8" operator="notEqual">
      <formula>0</formula>
    </cfRule>
    <cfRule type="cellIs" dxfId="386" priority="9" operator="equal">
      <formula>0</formula>
    </cfRule>
  </conditionalFormatting>
  <conditionalFormatting sqref="M24:M30 M37:M45 M62 M17:M18 M11:M15 M52:M55">
    <cfRule type="containsBlanks" dxfId="385" priority="6">
      <formula>LEN(TRIM(M11))=0</formula>
    </cfRule>
    <cfRule type="cellIs" dxfId="384" priority="7" operator="notEqual">
      <formula>0</formula>
    </cfRule>
  </conditionalFormatting>
  <conditionalFormatting sqref="M11">
    <cfRule type="cellIs" dxfId="383" priority="5" operator="notEqual">
      <formula>M20</formula>
    </cfRule>
  </conditionalFormatting>
  <conditionalFormatting sqref="J24">
    <cfRule type="containsBlanks" dxfId="382" priority="3">
      <formula>LEN(TRIM(J24))=0</formula>
    </cfRule>
    <cfRule type="cellIs" dxfId="381" priority="4" operator="notEqual">
      <formula>0</formula>
    </cfRule>
  </conditionalFormatting>
  <conditionalFormatting sqref="M61">
    <cfRule type="containsBlanks" dxfId="380" priority="1">
      <formula>LEN(TRIM(M61))=0</formula>
    </cfRule>
    <cfRule type="cellIs" dxfId="379" priority="2" operator="notEqual">
      <formula>0</formula>
    </cfRule>
  </conditionalFormatting>
  <printOptions horizontalCentered="1"/>
  <pageMargins left="0.7" right="0.7" top="0.75" bottom="0.75" header="0.5" footer="0.5"/>
  <pageSetup scale="63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  <pageSetUpPr fitToPage="1"/>
  </sheetPr>
  <dimension ref="A1:R70"/>
  <sheetViews>
    <sheetView zoomScale="80" zoomScaleNormal="80" zoomScaleSheetLayoutView="70" workbookViewId="0"/>
  </sheetViews>
  <sheetFormatPr defaultColWidth="11.140625" defaultRowHeight="12.75"/>
  <cols>
    <col min="1" max="6" width="11.140625" style="6"/>
    <col min="7" max="7" width="11.140625" style="11"/>
    <col min="8" max="8" width="14.42578125" style="6" customWidth="1"/>
    <col min="9" max="9" width="11.140625" style="11"/>
    <col min="10" max="10" width="14.5703125" style="6" customWidth="1"/>
    <col min="11" max="11" width="14.7109375" style="6" customWidth="1"/>
    <col min="12" max="12" width="11.140625" style="6"/>
    <col min="13" max="13" width="11.140625" style="10"/>
    <col min="14" max="18" width="11.140625" style="5"/>
    <col min="19" max="16384" width="11.140625" style="6"/>
  </cols>
  <sheetData>
    <row r="1" spans="1:12">
      <c r="A1" s="260" t="str">
        <f>'[7]Contact Information'!$C$5</f>
        <v>COLLEGE OF CENTRAL FLORIDA</v>
      </c>
      <c r="B1" s="260"/>
      <c r="C1" s="260"/>
      <c r="D1" s="260"/>
      <c r="E1" s="260"/>
      <c r="F1" s="260"/>
      <c r="G1" s="260"/>
      <c r="H1" s="260"/>
      <c r="I1" s="260"/>
      <c r="J1" s="260"/>
      <c r="K1" s="247"/>
      <c r="L1" s="3"/>
    </row>
    <row r="2" spans="1:12">
      <c r="A2" s="256" t="s">
        <v>0</v>
      </c>
      <c r="B2" s="256"/>
      <c r="C2" s="256"/>
      <c r="D2" s="256"/>
      <c r="E2" s="256"/>
      <c r="F2" s="256"/>
      <c r="G2" s="256"/>
      <c r="H2" s="256"/>
      <c r="I2" s="256"/>
      <c r="J2" s="256"/>
      <c r="K2" s="245"/>
      <c r="L2" s="7"/>
    </row>
    <row r="3" spans="1:12">
      <c r="A3" s="86" t="s">
        <v>1</v>
      </c>
      <c r="B3" s="86"/>
      <c r="C3" s="86"/>
      <c r="D3" s="86"/>
      <c r="E3" s="86"/>
      <c r="F3" s="86"/>
      <c r="G3" s="86"/>
      <c r="H3" s="86"/>
      <c r="I3" s="86"/>
      <c r="J3" s="86"/>
      <c r="K3" s="248"/>
      <c r="L3" s="9" t="s">
        <v>2</v>
      </c>
    </row>
    <row r="4" spans="1:12">
      <c r="A4" s="261" t="s">
        <v>297</v>
      </c>
      <c r="B4" s="261"/>
      <c r="C4" s="261"/>
      <c r="D4" s="261"/>
      <c r="E4" s="261"/>
      <c r="F4" s="261"/>
      <c r="G4" s="261"/>
      <c r="H4" s="261"/>
      <c r="I4" s="261"/>
      <c r="J4" s="261"/>
      <c r="K4" s="249"/>
      <c r="L4" s="11" t="str">
        <f>'[7]Contact Information'!$C$3</f>
        <v>2015.v02</v>
      </c>
    </row>
    <row r="5" spans="1:12">
      <c r="A5" s="14"/>
      <c r="B5" s="14"/>
      <c r="C5" s="14"/>
      <c r="D5" s="14"/>
      <c r="E5" s="14"/>
      <c r="F5" s="14"/>
      <c r="G5" s="15"/>
      <c r="H5" s="16"/>
      <c r="I5" s="17"/>
      <c r="J5" s="16"/>
      <c r="K5" s="16"/>
      <c r="L5" s="18"/>
    </row>
    <row r="6" spans="1:12">
      <c r="A6" s="14"/>
      <c r="B6" s="14"/>
      <c r="C6" s="14"/>
      <c r="D6" s="14"/>
      <c r="E6" s="14"/>
      <c r="F6" s="14"/>
      <c r="G6" s="15"/>
      <c r="H6" s="249" t="s">
        <v>5</v>
      </c>
      <c r="I6" s="21"/>
      <c r="J6" s="22" t="s">
        <v>6</v>
      </c>
      <c r="K6" s="22" t="s">
        <v>7</v>
      </c>
      <c r="L6" s="23"/>
    </row>
    <row r="7" spans="1:12">
      <c r="A7" s="14"/>
      <c r="B7" s="14"/>
      <c r="C7" s="14"/>
      <c r="D7" s="14"/>
      <c r="E7" s="14"/>
      <c r="F7" s="14"/>
      <c r="G7" s="15"/>
      <c r="H7" s="24"/>
      <c r="I7" s="25"/>
      <c r="J7" s="26" t="str">
        <f>[7]SNP!$M$9</f>
        <v>Unit</v>
      </c>
      <c r="K7" s="26"/>
      <c r="L7" s="27"/>
    </row>
    <row r="8" spans="1:12">
      <c r="A8" s="29" t="s">
        <v>9</v>
      </c>
      <c r="B8" s="14"/>
      <c r="C8" s="14"/>
      <c r="D8" s="14"/>
      <c r="E8" s="14"/>
      <c r="F8" s="14"/>
      <c r="G8" s="15"/>
      <c r="H8" s="25"/>
      <c r="I8" s="25"/>
      <c r="J8" s="25"/>
      <c r="K8" s="25"/>
      <c r="L8" s="30"/>
    </row>
    <row r="9" spans="1:12">
      <c r="A9" s="14" t="s">
        <v>12</v>
      </c>
      <c r="B9" s="14"/>
      <c r="C9" s="14"/>
      <c r="D9" s="14"/>
      <c r="E9" s="14"/>
      <c r="F9" s="14"/>
      <c r="G9" s="15"/>
      <c r="H9" s="17"/>
      <c r="I9" s="17"/>
      <c r="J9" s="17"/>
      <c r="K9" s="17"/>
      <c r="L9" s="18"/>
    </row>
    <row r="10" spans="1:12">
      <c r="A10" s="35"/>
      <c r="B10" s="36" t="s">
        <v>14</v>
      </c>
      <c r="C10" s="14"/>
      <c r="D10" s="14"/>
      <c r="E10" s="14"/>
      <c r="F10" s="14"/>
      <c r="G10" s="35"/>
      <c r="H10" s="35"/>
      <c r="I10" s="17"/>
      <c r="J10" s="35"/>
      <c r="K10" s="35"/>
      <c r="L10" s="37"/>
    </row>
    <row r="11" spans="1:12">
      <c r="A11" s="35"/>
      <c r="B11" s="44" t="s">
        <v>19</v>
      </c>
      <c r="C11" s="35"/>
      <c r="D11" s="263">
        <v>10203925.08</v>
      </c>
      <c r="E11" s="263"/>
      <c r="F11" s="45"/>
      <c r="G11" s="36"/>
      <c r="H11" s="228">
        <v>7102408</v>
      </c>
      <c r="I11" s="229"/>
      <c r="J11" s="228">
        <v>0</v>
      </c>
      <c r="K11" s="228">
        <f>ROUND(J11,0)+ROUND(H11,0)</f>
        <v>7102408</v>
      </c>
      <c r="L11" s="46"/>
    </row>
    <row r="12" spans="1:12">
      <c r="A12" s="35"/>
      <c r="B12" s="36" t="s">
        <v>22</v>
      </c>
      <c r="C12" s="14"/>
      <c r="D12" s="48"/>
      <c r="E12" s="49"/>
      <c r="F12" s="15"/>
      <c r="G12" s="35"/>
      <c r="H12" s="50">
        <v>2842005</v>
      </c>
      <c r="I12" s="230"/>
      <c r="J12" s="50">
        <v>0</v>
      </c>
      <c r="K12" s="50">
        <f>ROUND(J12,0)+ROUND(H12,0)</f>
        <v>2842005</v>
      </c>
      <c r="L12" s="51"/>
    </row>
    <row r="13" spans="1:12">
      <c r="A13" s="35"/>
      <c r="B13" s="36" t="s">
        <v>24</v>
      </c>
      <c r="C13" s="14"/>
      <c r="D13" s="48"/>
      <c r="E13" s="48"/>
      <c r="F13" s="14"/>
      <c r="G13" s="35"/>
      <c r="H13" s="50">
        <v>75558</v>
      </c>
      <c r="I13" s="230"/>
      <c r="J13" s="50">
        <v>0</v>
      </c>
      <c r="K13" s="50">
        <f>ROUND(J13,0)+ROUND(H13,0)</f>
        <v>75558</v>
      </c>
      <c r="L13" s="51"/>
    </row>
    <row r="14" spans="1:12">
      <c r="A14" s="35"/>
      <c r="B14" s="36" t="s">
        <v>26</v>
      </c>
      <c r="C14" s="14"/>
      <c r="D14" s="48"/>
      <c r="E14" s="48"/>
      <c r="F14" s="14"/>
      <c r="G14" s="35"/>
      <c r="H14" s="50">
        <v>202926</v>
      </c>
      <c r="I14" s="230"/>
      <c r="J14" s="50">
        <v>344860</v>
      </c>
      <c r="K14" s="50">
        <f>ROUND(J14,0)+ROUND(H14,0)</f>
        <v>547786</v>
      </c>
      <c r="L14" s="51"/>
    </row>
    <row r="15" spans="1:12">
      <c r="A15" s="35"/>
      <c r="B15" s="36" t="s">
        <v>28</v>
      </c>
      <c r="C15" s="14"/>
      <c r="D15" s="48"/>
      <c r="E15" s="48"/>
      <c r="F15" s="35"/>
      <c r="G15" s="35"/>
      <c r="H15" s="50">
        <v>1221618</v>
      </c>
      <c r="I15" s="230"/>
      <c r="J15" s="50">
        <v>0</v>
      </c>
      <c r="K15" s="50">
        <f>ROUND(J15,0)+ROUND(H15,0)</f>
        <v>1221618</v>
      </c>
      <c r="L15" s="51"/>
    </row>
    <row r="16" spans="1:12">
      <c r="A16" s="35"/>
      <c r="B16" s="36" t="s">
        <v>29</v>
      </c>
      <c r="C16" s="14"/>
      <c r="D16" s="54"/>
      <c r="E16" s="49"/>
      <c r="F16" s="55"/>
      <c r="G16" s="35"/>
      <c r="H16" s="35"/>
      <c r="I16" s="230"/>
      <c r="J16" s="35"/>
      <c r="K16" s="35"/>
      <c r="L16" s="37"/>
    </row>
    <row r="17" spans="1:12">
      <c r="A17" s="35"/>
      <c r="B17" s="44" t="s">
        <v>19</v>
      </c>
      <c r="C17" s="35"/>
      <c r="D17" s="263">
        <v>0</v>
      </c>
      <c r="E17" s="263"/>
      <c r="F17" s="55"/>
      <c r="G17" s="35"/>
      <c r="H17" s="50">
        <v>447216</v>
      </c>
      <c r="I17" s="230"/>
      <c r="J17" s="50">
        <v>0</v>
      </c>
      <c r="K17" s="50">
        <f>ROUND(J17,0)+ROUND(H17,0)</f>
        <v>447216</v>
      </c>
      <c r="L17" s="51"/>
    </row>
    <row r="18" spans="1:12">
      <c r="A18" s="35"/>
      <c r="B18" s="57" t="s">
        <v>33</v>
      </c>
      <c r="C18" s="14"/>
      <c r="D18" s="14"/>
      <c r="E18" s="14"/>
      <c r="F18" s="14"/>
      <c r="G18" s="36"/>
      <c r="H18" s="58">
        <v>1322858</v>
      </c>
      <c r="I18" s="230"/>
      <c r="J18" s="58">
        <v>1283687</v>
      </c>
      <c r="K18" s="58">
        <f>ROUND(J18,0)+ROUND(H18,0)</f>
        <v>2606545</v>
      </c>
      <c r="L18" s="51"/>
    </row>
    <row r="19" spans="1:12">
      <c r="A19" s="36"/>
      <c r="B19" s="36"/>
      <c r="C19" s="36"/>
      <c r="D19" s="36"/>
      <c r="E19" s="36"/>
      <c r="F19" s="59"/>
      <c r="G19" s="59"/>
      <c r="H19" s="59"/>
      <c r="I19" s="60"/>
      <c r="J19" s="60"/>
      <c r="K19" s="60"/>
      <c r="L19" s="61"/>
    </row>
    <row r="20" spans="1:12">
      <c r="A20" s="35"/>
      <c r="B20" s="65" t="s">
        <v>35</v>
      </c>
      <c r="C20" s="35"/>
      <c r="D20" s="14"/>
      <c r="E20" s="14"/>
      <c r="F20" s="14"/>
      <c r="G20" s="15"/>
      <c r="H20" s="66">
        <f t="array" ref="H20">SUM(ROUND(H11:H18,0))</f>
        <v>13214589</v>
      </c>
      <c r="I20" s="67"/>
      <c r="J20" s="66">
        <f t="array" ref="J20">SUM(ROUND(J11:J18,0))</f>
        <v>1628547</v>
      </c>
      <c r="K20" s="66">
        <f t="array" ref="K20">SUM(ROUND(K11:K18,0))</f>
        <v>14843136</v>
      </c>
      <c r="L20" s="68"/>
    </row>
    <row r="21" spans="1:12">
      <c r="A21" s="14"/>
      <c r="B21" s="14"/>
      <c r="C21" s="14"/>
      <c r="D21" s="14"/>
      <c r="E21" s="14"/>
      <c r="F21" s="14"/>
      <c r="G21" s="15"/>
      <c r="H21" s="17"/>
      <c r="I21" s="17"/>
      <c r="J21" s="17"/>
      <c r="K21" s="17"/>
      <c r="L21" s="18"/>
    </row>
    <row r="22" spans="1:12">
      <c r="A22" s="29" t="s">
        <v>36</v>
      </c>
      <c r="B22" s="14"/>
      <c r="C22" s="14"/>
      <c r="D22" s="14"/>
      <c r="E22" s="14"/>
      <c r="F22" s="14"/>
      <c r="G22" s="15"/>
      <c r="H22" s="16"/>
      <c r="I22" s="17"/>
      <c r="J22" s="16"/>
      <c r="K22" s="16"/>
      <c r="L22" s="18"/>
    </row>
    <row r="23" spans="1:12">
      <c r="A23" s="14" t="s">
        <v>37</v>
      </c>
      <c r="B23" s="14"/>
      <c r="C23" s="14"/>
      <c r="D23" s="14"/>
      <c r="E23" s="35"/>
      <c r="F23" s="14"/>
      <c r="G23" s="15"/>
      <c r="H23" s="16"/>
      <c r="I23" s="17"/>
      <c r="J23" s="16"/>
      <c r="K23" s="16"/>
      <c r="L23" s="18"/>
    </row>
    <row r="24" spans="1:12">
      <c r="A24" s="44"/>
      <c r="B24" s="36" t="s">
        <v>40</v>
      </c>
      <c r="C24" s="14"/>
      <c r="D24" s="14"/>
      <c r="E24" s="35"/>
      <c r="F24" s="14"/>
      <c r="G24" s="15"/>
      <c r="H24" s="50">
        <v>31286383.18</v>
      </c>
      <c r="I24" s="230"/>
      <c r="J24" s="50">
        <v>0</v>
      </c>
      <c r="K24" s="50">
        <f t="shared" ref="K24:K30" si="0">ROUND(J24,0)+ROUND(H24,0)</f>
        <v>31286383</v>
      </c>
      <c r="L24" s="51"/>
    </row>
    <row r="25" spans="1:12">
      <c r="A25" s="44"/>
      <c r="B25" s="36" t="s">
        <v>42</v>
      </c>
      <c r="C25" s="14"/>
      <c r="D25" s="14"/>
      <c r="E25" s="35"/>
      <c r="F25" s="14"/>
      <c r="G25" s="15"/>
      <c r="H25" s="50">
        <v>12078429</v>
      </c>
      <c r="I25" s="230"/>
      <c r="J25" s="50">
        <v>745315</v>
      </c>
      <c r="K25" s="50">
        <f t="shared" si="0"/>
        <v>12823744</v>
      </c>
      <c r="L25" s="51"/>
    </row>
    <row r="26" spans="1:12">
      <c r="A26" s="44"/>
      <c r="B26" s="36" t="s">
        <v>44</v>
      </c>
      <c r="C26" s="14"/>
      <c r="D26" s="14"/>
      <c r="E26" s="35"/>
      <c r="F26" s="14"/>
      <c r="G26" s="15"/>
      <c r="H26" s="50">
        <v>2314802</v>
      </c>
      <c r="I26" s="230"/>
      <c r="J26" s="50">
        <v>0</v>
      </c>
      <c r="K26" s="50">
        <f t="shared" si="0"/>
        <v>2314802</v>
      </c>
      <c r="L26" s="51"/>
    </row>
    <row r="27" spans="1:12">
      <c r="A27" s="44"/>
      <c r="B27" s="36" t="s">
        <v>46</v>
      </c>
      <c r="C27" s="14"/>
      <c r="D27" s="14"/>
      <c r="E27" s="35"/>
      <c r="F27" s="14"/>
      <c r="G27" s="15"/>
      <c r="H27" s="50">
        <v>2663666</v>
      </c>
      <c r="I27" s="230"/>
      <c r="J27" s="50">
        <v>400956</v>
      </c>
      <c r="K27" s="50">
        <f t="shared" si="0"/>
        <v>3064622</v>
      </c>
      <c r="L27" s="51"/>
    </row>
    <row r="28" spans="1:12">
      <c r="A28" s="44"/>
      <c r="B28" s="36" t="s">
        <v>48</v>
      </c>
      <c r="C28" s="14"/>
      <c r="D28" s="14"/>
      <c r="E28" s="35"/>
      <c r="F28" s="14"/>
      <c r="G28" s="15"/>
      <c r="H28" s="50">
        <v>4139263</v>
      </c>
      <c r="I28" s="230"/>
      <c r="J28" s="50">
        <v>1610556</v>
      </c>
      <c r="K28" s="50">
        <f t="shared" si="0"/>
        <v>5749819</v>
      </c>
      <c r="L28" s="51"/>
    </row>
    <row r="29" spans="1:12">
      <c r="A29" s="44"/>
      <c r="B29" s="36" t="s">
        <v>50</v>
      </c>
      <c r="C29" s="14"/>
      <c r="D29" s="14"/>
      <c r="E29" s="35"/>
      <c r="F29" s="14"/>
      <c r="G29" s="15"/>
      <c r="H29" s="50">
        <v>4163163</v>
      </c>
      <c r="I29" s="230"/>
      <c r="J29" s="50">
        <v>187347</v>
      </c>
      <c r="K29" s="50">
        <f t="shared" si="0"/>
        <v>4350510</v>
      </c>
      <c r="L29" s="51"/>
    </row>
    <row r="30" spans="1:12">
      <c r="A30" s="44"/>
      <c r="B30" s="36" t="s">
        <v>53</v>
      </c>
      <c r="C30" s="14"/>
      <c r="D30" s="14"/>
      <c r="E30" s="35"/>
      <c r="F30" s="14"/>
      <c r="G30" s="15"/>
      <c r="H30" s="231">
        <f>'[7]Accounts by GL'!O481</f>
        <v>3570094.0800000001</v>
      </c>
      <c r="I30" s="230"/>
      <c r="J30" s="58">
        <v>158436</v>
      </c>
      <c r="K30" s="58">
        <f t="shared" si="0"/>
        <v>3728530</v>
      </c>
      <c r="L30" s="51"/>
    </row>
    <row r="31" spans="1:12">
      <c r="A31" s="44"/>
      <c r="B31" s="36"/>
      <c r="C31" s="14"/>
      <c r="D31" s="14"/>
      <c r="E31" s="35"/>
      <c r="F31" s="14"/>
      <c r="G31" s="15"/>
      <c r="H31" s="73"/>
      <c r="I31" s="73"/>
      <c r="J31" s="73"/>
      <c r="K31" s="73"/>
      <c r="L31" s="74"/>
    </row>
    <row r="32" spans="1:12">
      <c r="A32" s="14"/>
      <c r="B32" s="65" t="s">
        <v>55</v>
      </c>
      <c r="C32" s="35"/>
      <c r="D32" s="14"/>
      <c r="E32" s="14"/>
      <c r="F32" s="14"/>
      <c r="G32" s="15"/>
      <c r="H32" s="66">
        <f t="array" ref="H32">SUM(ROUND(H24:H30,0))</f>
        <v>60215800</v>
      </c>
      <c r="I32" s="59"/>
      <c r="J32" s="66">
        <f t="array" ref="J32">SUM(ROUND(J24:J30,0))</f>
        <v>3102610</v>
      </c>
      <c r="K32" s="66">
        <f t="array" ref="K32">SUM(ROUND(K24:K30,0))</f>
        <v>63318410</v>
      </c>
      <c r="L32" s="68"/>
    </row>
    <row r="33" spans="1:12">
      <c r="A33" s="44"/>
      <c r="B33" s="76"/>
      <c r="C33" s="14"/>
      <c r="D33" s="14"/>
      <c r="E33" s="35"/>
      <c r="F33" s="14"/>
      <c r="G33" s="15"/>
      <c r="H33" s="59"/>
      <c r="I33" s="59"/>
      <c r="J33" s="59"/>
      <c r="K33" s="59"/>
      <c r="L33" s="77"/>
    </row>
    <row r="34" spans="1:12">
      <c r="A34" s="14"/>
      <c r="B34" s="65" t="str">
        <f>IF(H34&lt;0,IF(J34&gt;0,"Operating Income (Loss)","Operating Loss"),IF(H34&gt;0,IF(J34&gt;=0,"Operating Income","Operating Income (Loss)"),IF(J34&lt;0,"Operating Loss",IF(J34&gt;0,"Operating Income","Operating Income (Loss)"))))</f>
        <v>Operating Loss</v>
      </c>
      <c r="C34" s="35"/>
      <c r="D34" s="14"/>
      <c r="E34" s="14"/>
      <c r="F34" s="14"/>
      <c r="G34" s="15"/>
      <c r="H34" s="66">
        <f>H20-H32</f>
        <v>-47001211</v>
      </c>
      <c r="I34" s="67"/>
      <c r="J34" s="66">
        <f>J20-J32</f>
        <v>-1474063</v>
      </c>
      <c r="K34" s="66">
        <f>K20-K32</f>
        <v>-48475274</v>
      </c>
      <c r="L34" s="68"/>
    </row>
    <row r="35" spans="1:12">
      <c r="A35" s="14"/>
      <c r="B35" s="14"/>
      <c r="C35" s="14"/>
      <c r="D35" s="14"/>
      <c r="E35" s="14"/>
      <c r="F35" s="14"/>
      <c r="G35" s="15"/>
      <c r="H35" s="78"/>
      <c r="I35" s="78"/>
      <c r="J35" s="78"/>
      <c r="K35" s="78"/>
      <c r="L35" s="79"/>
    </row>
    <row r="36" spans="1:12">
      <c r="A36" s="29" t="s">
        <v>56</v>
      </c>
      <c r="B36" s="35"/>
      <c r="C36" s="14"/>
      <c r="D36" s="14"/>
      <c r="E36" s="14"/>
      <c r="F36" s="14"/>
      <c r="G36" s="15"/>
      <c r="H36" s="16"/>
      <c r="I36" s="17"/>
      <c r="J36" s="16"/>
      <c r="K36" s="16"/>
      <c r="L36" s="18"/>
    </row>
    <row r="37" spans="1:12">
      <c r="A37" s="36" t="s">
        <v>59</v>
      </c>
      <c r="B37" s="35"/>
      <c r="C37" s="14"/>
      <c r="D37" s="14"/>
      <c r="E37" s="35"/>
      <c r="F37" s="14"/>
      <c r="G37" s="15"/>
      <c r="H37" s="80">
        <v>22843865</v>
      </c>
      <c r="I37" s="49"/>
      <c r="J37" s="80">
        <v>0</v>
      </c>
      <c r="K37" s="80">
        <f t="shared" ref="K37:K45" si="1">ROUND(J37,0)+ROUND(H37,0)</f>
        <v>22843865</v>
      </c>
      <c r="L37" s="81"/>
    </row>
    <row r="38" spans="1:12">
      <c r="A38" s="36" t="s">
        <v>61</v>
      </c>
      <c r="B38" s="35"/>
      <c r="C38" s="14"/>
      <c r="D38" s="14"/>
      <c r="E38" s="35"/>
      <c r="F38" s="14"/>
      <c r="G38" s="15"/>
      <c r="H38" s="80">
        <v>20734456</v>
      </c>
      <c r="I38" s="49"/>
      <c r="J38" s="80">
        <v>0</v>
      </c>
      <c r="K38" s="80">
        <f t="shared" si="1"/>
        <v>20734456</v>
      </c>
      <c r="L38" s="81"/>
    </row>
    <row r="39" spans="1:12">
      <c r="A39" s="36" t="s">
        <v>63</v>
      </c>
      <c r="B39" s="35"/>
      <c r="C39" s="14"/>
      <c r="D39" s="14"/>
      <c r="E39" s="35"/>
      <c r="F39" s="14"/>
      <c r="G39" s="15"/>
      <c r="H39" s="80">
        <v>270141</v>
      </c>
      <c r="I39" s="49"/>
      <c r="J39" s="80">
        <v>0</v>
      </c>
      <c r="K39" s="80">
        <f t="shared" si="1"/>
        <v>270141</v>
      </c>
      <c r="L39" s="81"/>
    </row>
    <row r="40" spans="1:12">
      <c r="A40" s="36" t="s">
        <v>66</v>
      </c>
      <c r="B40" s="35"/>
      <c r="C40" s="14"/>
      <c r="D40" s="14"/>
      <c r="E40" s="35"/>
      <c r="F40" s="14"/>
      <c r="G40" s="15"/>
      <c r="H40" s="80">
        <v>100958</v>
      </c>
      <c r="I40" s="49"/>
      <c r="J40" s="80">
        <v>3588127</v>
      </c>
      <c r="K40" s="80">
        <f t="shared" si="1"/>
        <v>3689085</v>
      </c>
      <c r="L40" s="81"/>
    </row>
    <row r="41" spans="1:12">
      <c r="A41" s="36" t="str">
        <f>IF(H41&lt;0,IF(J41&gt;0,"Net Gain (Loss) on Investments","Net Loss on Investments"),IF(H41&gt;0,IF(J41&gt;=0,"Net Gain on Investments","Net Gain (Loss) on Investments"),IF(J41&lt;0,"Net Loss on Investments",IF(J41&gt;0,"Net Gain on Investments","Net Gain (Loss) on Investments"))))</f>
        <v>Net Gain on Investments</v>
      </c>
      <c r="B41" s="35"/>
      <c r="C41" s="14"/>
      <c r="D41" s="14"/>
      <c r="E41" s="35"/>
      <c r="F41" s="14"/>
      <c r="G41" s="15"/>
      <c r="H41" s="80">
        <f>593+26373</f>
        <v>26966</v>
      </c>
      <c r="I41" s="49"/>
      <c r="J41" s="80">
        <v>0</v>
      </c>
      <c r="K41" s="80">
        <f t="shared" si="1"/>
        <v>26966</v>
      </c>
      <c r="L41" s="81"/>
    </row>
    <row r="42" spans="1:12">
      <c r="A42" s="36" t="s">
        <v>69</v>
      </c>
      <c r="B42" s="35"/>
      <c r="C42" s="14"/>
      <c r="D42" s="14"/>
      <c r="E42" s="35"/>
      <c r="F42" s="14"/>
      <c r="G42" s="15"/>
      <c r="H42" s="80">
        <v>180214</v>
      </c>
      <c r="I42" s="49"/>
      <c r="J42" s="80">
        <v>351627</v>
      </c>
      <c r="K42" s="80">
        <f t="shared" si="1"/>
        <v>531841</v>
      </c>
      <c r="L42" s="81"/>
    </row>
    <row r="43" spans="1:12">
      <c r="A43" s="36" t="str">
        <f>IF(H43&lt;0,IF(J43&gt;0,"Gain (Loss) on Disposal of Capital Assets","Loss on Disposal of Capital Assets"),IF(H43&gt;0,IF(J43&gt;=0,"Gain on Disposal of Capital Assets","Gain (Loss) on Disposal of Capital Assets"),IF(J43&lt;0,"Loss on Disposal of Capital Assets",IF(J43&gt;0,"Gain on Disposal of Capital Assets","Gain (Loss) on Disposal of Capital Assets"))))</f>
        <v>Gain (Loss) on Disposal of Capital Assets</v>
      </c>
      <c r="B43" s="35"/>
      <c r="C43" s="14"/>
      <c r="D43" s="14"/>
      <c r="E43" s="35"/>
      <c r="F43" s="14"/>
      <c r="G43" s="15"/>
      <c r="H43" s="80">
        <v>0</v>
      </c>
      <c r="I43" s="49"/>
      <c r="J43" s="80">
        <v>0</v>
      </c>
      <c r="K43" s="80">
        <f t="shared" si="1"/>
        <v>0</v>
      </c>
      <c r="L43" s="81"/>
    </row>
    <row r="44" spans="1:12">
      <c r="A44" s="36" t="s">
        <v>73</v>
      </c>
      <c r="B44" s="35"/>
      <c r="C44" s="35"/>
      <c r="D44" s="35"/>
      <c r="E44" s="35"/>
      <c r="F44" s="35"/>
      <c r="G44" s="35"/>
      <c r="H44" s="80">
        <v>-21792</v>
      </c>
      <c r="I44" s="49"/>
      <c r="J44" s="80">
        <v>0</v>
      </c>
      <c r="K44" s="80">
        <f t="shared" si="1"/>
        <v>-21792</v>
      </c>
      <c r="L44" s="81"/>
    </row>
    <row r="45" spans="1:12">
      <c r="A45" s="36" t="s">
        <v>75</v>
      </c>
      <c r="B45" s="35"/>
      <c r="C45" s="14"/>
      <c r="D45" s="14"/>
      <c r="E45" s="35"/>
      <c r="F45" s="14"/>
      <c r="G45" s="15"/>
      <c r="H45" s="82">
        <v>0</v>
      </c>
      <c r="I45" s="49"/>
      <c r="J45" s="82">
        <v>-94933</v>
      </c>
      <c r="K45" s="82">
        <f t="shared" si="1"/>
        <v>-94933</v>
      </c>
      <c r="L45" s="81"/>
    </row>
    <row r="46" spans="1:12">
      <c r="A46" s="35"/>
      <c r="B46" s="35"/>
      <c r="C46" s="35"/>
      <c r="D46" s="35"/>
      <c r="E46" s="35"/>
      <c r="F46" s="35"/>
      <c r="G46" s="35"/>
      <c r="H46" s="83"/>
      <c r="I46" s="84"/>
      <c r="J46" s="83"/>
      <c r="K46" s="83"/>
      <c r="L46" s="85"/>
    </row>
    <row r="47" spans="1:12">
      <c r="A47" s="29" t="s">
        <v>77</v>
      </c>
      <c r="B47" s="35"/>
      <c r="C47" s="14"/>
      <c r="D47" s="14"/>
      <c r="E47" s="14"/>
      <c r="F47" s="14"/>
      <c r="G47" s="15"/>
      <c r="H47" s="66">
        <f t="array" ref="H47">SUM(ROUND(H37:H45,0))</f>
        <v>44134808</v>
      </c>
      <c r="I47" s="59"/>
      <c r="J47" s="66">
        <f t="array" ref="J47">SUM(ROUND(J37:J45,0))</f>
        <v>3844821</v>
      </c>
      <c r="K47" s="66">
        <f t="array" ref="K47">SUM(ROUND(K37:K45,0))</f>
        <v>47979629</v>
      </c>
      <c r="L47" s="68"/>
    </row>
    <row r="48" spans="1:12">
      <c r="A48" s="86"/>
      <c r="B48" s="87"/>
      <c r="C48" s="15"/>
      <c r="D48" s="15"/>
      <c r="E48" s="15"/>
      <c r="F48" s="15"/>
      <c r="G48" s="15"/>
      <c r="H48" s="59"/>
      <c r="I48" s="59"/>
      <c r="J48" s="59"/>
      <c r="K48" s="59"/>
      <c r="L48" s="77"/>
    </row>
    <row r="49" spans="1:12">
      <c r="A49" s="65" t="str">
        <f>IF(H50&lt;0,IF(J50&gt;0,"Income (Loss) Before Other Revenues,","Loss Before Other Revenues,"),IF(H50&gt;0,IF(J50&gt;=0,"Income Before Other Revenues,","Income (Loss) Before Other Revenues,"),IF(J59&lt;0,"Loss Before Other Revenues,",IF(J59&gt;0,"Income Before Other Revenues,","Income (Loss) Before Other Revenues,"))))</f>
        <v>Income (Loss) Before Other Revenues,</v>
      </c>
      <c r="B49" s="35"/>
      <c r="C49" s="35"/>
      <c r="D49" s="14"/>
      <c r="E49" s="14"/>
      <c r="F49" s="14"/>
      <c r="G49" s="15"/>
      <c r="H49" s="35"/>
      <c r="I49" s="35"/>
      <c r="J49" s="35"/>
      <c r="K49" s="35"/>
      <c r="L49" s="37"/>
    </row>
    <row r="50" spans="1:12">
      <c r="A50" s="14"/>
      <c r="B50" s="29" t="s">
        <v>78</v>
      </c>
      <c r="C50" s="14"/>
      <c r="D50" s="14"/>
      <c r="E50" s="14"/>
      <c r="F50" s="14"/>
      <c r="G50" s="15"/>
      <c r="H50" s="66">
        <f>H34+H47</f>
        <v>-2866403</v>
      </c>
      <c r="I50" s="59"/>
      <c r="J50" s="66">
        <f>J34+J47</f>
        <v>2370758</v>
      </c>
      <c r="K50" s="66">
        <f>K34+K47</f>
        <v>-495645</v>
      </c>
      <c r="L50" s="68"/>
    </row>
    <row r="51" spans="1:12">
      <c r="A51" s="14"/>
      <c r="B51" s="29"/>
      <c r="C51" s="14"/>
      <c r="D51" s="14"/>
      <c r="E51" s="14"/>
      <c r="F51" s="14"/>
      <c r="G51" s="15"/>
      <c r="H51" s="17"/>
      <c r="I51" s="17"/>
      <c r="J51" s="17"/>
      <c r="K51" s="17"/>
      <c r="L51" s="18"/>
    </row>
    <row r="52" spans="1:12">
      <c r="A52" s="36" t="s">
        <v>80</v>
      </c>
      <c r="B52" s="35"/>
      <c r="C52" s="14"/>
      <c r="D52" s="14"/>
      <c r="E52" s="14"/>
      <c r="F52" s="35"/>
      <c r="G52" s="15"/>
      <c r="H52" s="80">
        <v>4918727</v>
      </c>
      <c r="I52" s="49"/>
      <c r="J52" s="80">
        <v>0</v>
      </c>
      <c r="K52" s="80">
        <f>ROUND(J52,0)+ROUND(H52,0)</f>
        <v>4918727</v>
      </c>
      <c r="L52" s="81"/>
    </row>
    <row r="53" spans="1:12">
      <c r="A53" s="36" t="s">
        <v>83</v>
      </c>
      <c r="B53" s="35"/>
      <c r="C53" s="14"/>
      <c r="D53" s="14"/>
      <c r="E53" s="14"/>
      <c r="F53" s="35"/>
      <c r="G53" s="15"/>
      <c r="H53" s="50">
        <v>2015023</v>
      </c>
      <c r="I53" s="230"/>
      <c r="J53" s="50">
        <v>0</v>
      </c>
      <c r="K53" s="50">
        <f>ROUND(J53,0)+ROUND(H53,0)</f>
        <v>2015023</v>
      </c>
      <c r="L53" s="51"/>
    </row>
    <row r="54" spans="1:12">
      <c r="A54" s="14" t="s">
        <v>86</v>
      </c>
      <c r="B54" s="35"/>
      <c r="C54" s="14"/>
      <c r="D54" s="14"/>
      <c r="E54" s="14"/>
      <c r="F54" s="35"/>
      <c r="G54" s="15"/>
      <c r="H54" s="89">
        <v>30700</v>
      </c>
      <c r="I54" s="230"/>
      <c r="J54" s="89">
        <v>619794</v>
      </c>
      <c r="K54" s="89">
        <f>ROUND(J54,0)+ROUND(H54,0)</f>
        <v>650494</v>
      </c>
      <c r="L54" s="51"/>
    </row>
    <row r="55" spans="1:12">
      <c r="A55" s="76" t="str">
        <f>IF(H55&lt;0,IF(J55&gt;0,"Other Revenues (Expenses)","Other Expenses"),IF(H55&gt;0,IF(J55&gt;=0,"Other Revenues","Other Revenues (Expenses)"),IF(J55&lt;0,"Other Expenses",IF(J55&gt;0,"Other Revenues","Other Revenues (Expenses)"))))</f>
        <v>Other Revenues (Expenses)</v>
      </c>
      <c r="B55" s="35"/>
      <c r="C55" s="14"/>
      <c r="D55" s="14"/>
      <c r="E55" s="14"/>
      <c r="F55" s="35"/>
      <c r="G55" s="15"/>
      <c r="H55" s="58">
        <v>0</v>
      </c>
      <c r="I55" s="230"/>
      <c r="J55" s="58">
        <v>0</v>
      </c>
      <c r="K55" s="58">
        <f>ROUND(J55,0)+ROUND(H55,0)</f>
        <v>0</v>
      </c>
      <c r="L55" s="51"/>
    </row>
    <row r="56" spans="1:12">
      <c r="A56" s="35"/>
      <c r="B56" s="35"/>
      <c r="C56" s="14"/>
      <c r="D56" s="14"/>
      <c r="E56" s="14"/>
      <c r="F56" s="14"/>
      <c r="G56" s="15"/>
      <c r="H56" s="83"/>
      <c r="I56" s="84"/>
      <c r="J56" s="83"/>
      <c r="K56" s="83"/>
      <c r="L56" s="85"/>
    </row>
    <row r="57" spans="1:12">
      <c r="A57" s="29" t="s">
        <v>89</v>
      </c>
      <c r="B57" s="35"/>
      <c r="C57" s="35"/>
      <c r="D57" s="14"/>
      <c r="E57" s="14"/>
      <c r="F57" s="14"/>
      <c r="G57" s="15"/>
      <c r="H57" s="90">
        <f t="array" ref="H57">SUM(ROUND(H52:H55,0))</f>
        <v>6964450</v>
      </c>
      <c r="I57" s="59"/>
      <c r="J57" s="90">
        <f t="array" ref="J57">SUM(ROUND(J52:J55,0))</f>
        <v>619794</v>
      </c>
      <c r="K57" s="90">
        <f t="array" ref="K57">SUM(ROUND(K52:K55,0))</f>
        <v>7584244</v>
      </c>
      <c r="L57" s="91"/>
    </row>
    <row r="58" spans="1:12">
      <c r="A58" s="29"/>
      <c r="B58" s="35"/>
      <c r="C58" s="35"/>
      <c r="D58" s="14"/>
      <c r="E58" s="14"/>
      <c r="F58" s="14"/>
      <c r="G58" s="15"/>
      <c r="H58" s="59"/>
      <c r="I58" s="59"/>
      <c r="J58" s="59"/>
      <c r="K58" s="59"/>
      <c r="L58" s="77"/>
    </row>
    <row r="59" spans="1:12">
      <c r="A59" s="65" t="str">
        <f>IF(H59&lt;0,IF(J59&gt;0,"Increase (Decrease) in Net Position","Decrease in Net Position"),IF(H59&gt;0,IF(J59&gt;=0,"Increase in Net Position","Increase (Decrease) in Net Position"),IF(J59&lt;0,"Decrease in Net Position",IF(J59&gt;0,"Increase in Net Position","Increase (Decrease) in Net Position"))))</f>
        <v>Increase in Net Position</v>
      </c>
      <c r="B59" s="35"/>
      <c r="C59" s="35"/>
      <c r="D59" s="14"/>
      <c r="E59" s="14"/>
      <c r="F59" s="14"/>
      <c r="G59" s="15"/>
      <c r="H59" s="90">
        <f>H50+H57</f>
        <v>4098047</v>
      </c>
      <c r="I59" s="92"/>
      <c r="J59" s="90">
        <f>J50+J57</f>
        <v>2990552</v>
      </c>
      <c r="K59" s="90">
        <f>K50+K57</f>
        <v>7088599</v>
      </c>
      <c r="L59" s="91"/>
    </row>
    <row r="60" spans="1:12">
      <c r="A60" s="93"/>
      <c r="B60" s="35"/>
      <c r="C60" s="35"/>
      <c r="D60" s="14"/>
      <c r="E60" s="14"/>
      <c r="F60" s="14"/>
      <c r="G60" s="15"/>
      <c r="H60" s="94"/>
      <c r="I60" s="94"/>
      <c r="J60" s="94"/>
      <c r="K60" s="94"/>
      <c r="L60" s="95"/>
    </row>
    <row r="61" spans="1:12">
      <c r="A61" s="14" t="s">
        <v>91</v>
      </c>
      <c r="B61" s="35"/>
      <c r="C61" s="14"/>
      <c r="D61" s="14"/>
      <c r="E61" s="14"/>
      <c r="F61" s="14"/>
      <c r="G61" s="15"/>
      <c r="H61" s="96">
        <f>VLOOKUP($A$1,[7]VLOOKUPS!A44:D71,2,FALSE)</f>
        <v>85764502</v>
      </c>
      <c r="I61" s="49"/>
      <c r="J61" s="96">
        <f>VLOOKUP($A$1,[7]VLOOKUPS!A44:D71,3,FALSE)</f>
        <v>85913922</v>
      </c>
      <c r="K61" s="89">
        <f>ROUND(J61,0)+ROUND(H61,0)</f>
        <v>171678424</v>
      </c>
      <c r="L61" s="97"/>
    </row>
    <row r="62" spans="1:12">
      <c r="A62" s="14" t="s">
        <v>94</v>
      </c>
      <c r="B62" s="35"/>
      <c r="C62" s="14"/>
      <c r="D62" s="14"/>
      <c r="E62" s="14"/>
      <c r="F62" s="14"/>
      <c r="G62" s="15"/>
      <c r="H62" s="82">
        <v>-13120458</v>
      </c>
      <c r="I62" s="49"/>
      <c r="J62" s="82">
        <v>0</v>
      </c>
      <c r="K62" s="82">
        <f>ROUND(J62,0)+ROUND(H62,0)</f>
        <v>-13120458</v>
      </c>
      <c r="L62" s="81"/>
    </row>
    <row r="63" spans="1:12">
      <c r="A63" s="36"/>
      <c r="B63" s="36"/>
      <c r="C63" s="36"/>
      <c r="D63" s="36"/>
      <c r="E63" s="36"/>
      <c r="F63" s="98"/>
      <c r="G63" s="36"/>
      <c r="H63" s="92"/>
      <c r="I63" s="99"/>
      <c r="J63" s="99"/>
      <c r="K63" s="99"/>
      <c r="L63" s="100"/>
    </row>
    <row r="64" spans="1:12">
      <c r="A64" s="101" t="s">
        <v>95</v>
      </c>
      <c r="B64" s="36"/>
      <c r="C64" s="36"/>
      <c r="D64" s="36"/>
      <c r="E64" s="36"/>
      <c r="F64" s="60"/>
      <c r="G64" s="60"/>
      <c r="H64" s="90">
        <f t="array" ref="H64">SUM(ROUND(H61:H62,0))</f>
        <v>72644044</v>
      </c>
      <c r="I64" s="92"/>
      <c r="J64" s="90">
        <f t="array" ref="J64">SUM(ROUND(J61:J62,0))</f>
        <v>85913922</v>
      </c>
      <c r="K64" s="90">
        <f t="array" ref="K64">SUM(ROUND(K61:K62,0))</f>
        <v>158557966</v>
      </c>
      <c r="L64" s="91"/>
    </row>
    <row r="65" spans="1:12">
      <c r="A65" s="36"/>
      <c r="B65" s="36"/>
      <c r="C65" s="36"/>
      <c r="D65" s="36"/>
      <c r="E65" s="36"/>
      <c r="F65" s="102"/>
      <c r="G65" s="36"/>
      <c r="H65" s="102"/>
      <c r="I65" s="60"/>
      <c r="J65" s="60"/>
      <c r="K65" s="60"/>
      <c r="L65" s="61"/>
    </row>
    <row r="66" spans="1:12" ht="13.5" thickBot="1">
      <c r="A66" s="29" t="s">
        <v>96</v>
      </c>
      <c r="B66" s="35"/>
      <c r="C66" s="14"/>
      <c r="D66" s="14"/>
      <c r="E66" s="14"/>
      <c r="F66" s="14"/>
      <c r="G66" s="103"/>
      <c r="H66" s="104">
        <f>H59+H64</f>
        <v>76742091</v>
      </c>
      <c r="I66" s="105"/>
      <c r="J66" s="104">
        <f>J59+J64</f>
        <v>88904474</v>
      </c>
      <c r="K66" s="104">
        <f>K59+K64</f>
        <v>165646565</v>
      </c>
      <c r="L66" s="46"/>
    </row>
    <row r="67" spans="1:12" ht="13.5" thickTop="1">
      <c r="A67" s="14"/>
      <c r="B67" s="14"/>
      <c r="C67" s="14"/>
      <c r="D67" s="14"/>
      <c r="E67" s="14"/>
      <c r="F67" s="14"/>
      <c r="G67" s="15"/>
      <c r="H67" s="107"/>
      <c r="I67" s="15"/>
      <c r="J67" s="107"/>
      <c r="K67" s="107"/>
      <c r="L67" s="108"/>
    </row>
    <row r="68" spans="1:12">
      <c r="A68" s="35" t="s">
        <v>97</v>
      </c>
      <c r="B68" s="35"/>
      <c r="C68" s="35"/>
      <c r="D68" s="35"/>
      <c r="E68" s="35"/>
      <c r="F68" s="35"/>
      <c r="G68" s="87"/>
      <c r="H68" s="35"/>
      <c r="I68" s="87"/>
      <c r="J68" s="35"/>
      <c r="K68" s="35"/>
      <c r="L68" s="37"/>
    </row>
    <row r="69" spans="1:12">
      <c r="G69" s="6"/>
      <c r="H69" s="109">
        <f>H66-[7]SNP!K119</f>
        <v>-2</v>
      </c>
      <c r="I69" s="110"/>
      <c r="J69" s="111">
        <f>J66-[7]SNP!M119</f>
        <v>0</v>
      </c>
      <c r="K69" s="111">
        <f>K66-[7]SNP!N119</f>
        <v>-2</v>
      </c>
      <c r="L69" s="112"/>
    </row>
    <row r="70" spans="1:12">
      <c r="G70" s="113" t="s">
        <v>98</v>
      </c>
      <c r="H70" s="114"/>
      <c r="I70" s="115"/>
      <c r="J70" s="114"/>
      <c r="K70" s="114"/>
      <c r="L70" s="114"/>
    </row>
  </sheetData>
  <sheetProtection formatColumns="0" formatRows="0"/>
  <conditionalFormatting sqref="H69 J69">
    <cfRule type="cellIs" dxfId="378" priority="14" operator="notEqual">
      <formula>0</formula>
    </cfRule>
    <cfRule type="cellIs" dxfId="377" priority="15" operator="equal">
      <formula>0</formula>
    </cfRule>
  </conditionalFormatting>
  <conditionalFormatting sqref="H11:H15 D11:E11 J24:J30 J37:J45 H37:H45 J62 H62 J17:J18 H25:H29 H17:H18 D17:E17 J11:J15 J52:J55 H52:H55">
    <cfRule type="containsBlanks" dxfId="376" priority="12">
      <formula>LEN(TRIM(D11))=0</formula>
    </cfRule>
    <cfRule type="cellIs" dxfId="375" priority="13" operator="notEqual">
      <formula>0</formula>
    </cfRule>
  </conditionalFormatting>
  <conditionalFormatting sqref="H11">
    <cfRule type="cellIs" dxfId="374" priority="11" operator="notEqual">
      <formula>H20</formula>
    </cfRule>
  </conditionalFormatting>
  <conditionalFormatting sqref="J11">
    <cfRule type="cellIs" dxfId="373" priority="10" operator="notEqual">
      <formula>J20</formula>
    </cfRule>
  </conditionalFormatting>
  <conditionalFormatting sqref="K69">
    <cfRule type="cellIs" dxfId="372" priority="8" operator="notEqual">
      <formula>0</formula>
    </cfRule>
    <cfRule type="cellIs" dxfId="371" priority="9" operator="equal">
      <formula>0</formula>
    </cfRule>
  </conditionalFormatting>
  <conditionalFormatting sqref="K24:K30 K37:K45 K62 K17:K18 K11:K15 K52:K55">
    <cfRule type="containsBlanks" dxfId="370" priority="6">
      <formula>LEN(TRIM(K11))=0</formula>
    </cfRule>
    <cfRule type="cellIs" dxfId="369" priority="7" operator="notEqual">
      <formula>0</formula>
    </cfRule>
  </conditionalFormatting>
  <conditionalFormatting sqref="K11">
    <cfRule type="cellIs" dxfId="368" priority="5" operator="notEqual">
      <formula>K20</formula>
    </cfRule>
  </conditionalFormatting>
  <conditionalFormatting sqref="H24">
    <cfRule type="containsBlanks" dxfId="367" priority="3">
      <formula>LEN(TRIM(H24))=0</formula>
    </cfRule>
    <cfRule type="cellIs" dxfId="366" priority="4" operator="notEqual">
      <formula>0</formula>
    </cfRule>
  </conditionalFormatting>
  <conditionalFormatting sqref="K61">
    <cfRule type="containsBlanks" dxfId="365" priority="1">
      <formula>LEN(TRIM(K61))=0</formula>
    </cfRule>
    <cfRule type="cellIs" dxfId="364" priority="2" operator="notEqual">
      <formula>0</formula>
    </cfRule>
  </conditionalFormatting>
  <printOptions horizontalCentered="1"/>
  <pageMargins left="0.7" right="0.7" top="0.75" bottom="0.75" header="0.5" footer="0.5"/>
  <pageSetup scale="54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  <pageSetUpPr fitToPage="1"/>
  </sheetPr>
  <dimension ref="A1:R70"/>
  <sheetViews>
    <sheetView zoomScale="80" zoomScaleNormal="80" zoomScaleSheetLayoutView="70" workbookViewId="0"/>
  </sheetViews>
  <sheetFormatPr defaultColWidth="11.140625" defaultRowHeight="12.75"/>
  <cols>
    <col min="1" max="6" width="11.140625" style="6"/>
    <col min="7" max="7" width="11.140625" style="11"/>
    <col min="8" max="8" width="14.140625" style="6" customWidth="1"/>
    <col min="9" max="9" width="11.140625" style="11"/>
    <col min="10" max="11" width="14.7109375" style="6" customWidth="1"/>
    <col min="12" max="12" width="11.140625" style="6"/>
    <col min="13" max="13" width="11.140625" style="10"/>
    <col min="14" max="18" width="11.140625" style="5"/>
    <col min="19" max="16384" width="11.140625" style="6"/>
  </cols>
  <sheetData>
    <row r="1" spans="1:12">
      <c r="A1" s="260" t="str">
        <f>'[8]Contact Information'!$C$5</f>
        <v>CHIPOLA COLLEGE</v>
      </c>
      <c r="B1" s="260"/>
      <c r="C1" s="260"/>
      <c r="D1" s="260"/>
      <c r="E1" s="260"/>
      <c r="F1" s="260"/>
      <c r="G1" s="260"/>
      <c r="H1" s="260"/>
      <c r="I1" s="260"/>
      <c r="J1" s="260"/>
      <c r="K1" s="247"/>
      <c r="L1" s="3"/>
    </row>
    <row r="2" spans="1:12">
      <c r="A2" s="256" t="s">
        <v>0</v>
      </c>
      <c r="B2" s="256"/>
      <c r="C2" s="256"/>
      <c r="D2" s="256"/>
      <c r="E2" s="256"/>
      <c r="F2" s="256"/>
      <c r="G2" s="256"/>
      <c r="H2" s="256"/>
      <c r="I2" s="256"/>
      <c r="J2" s="256"/>
      <c r="K2" s="245"/>
      <c r="L2" s="7"/>
    </row>
    <row r="3" spans="1:12">
      <c r="A3" s="86" t="s">
        <v>1</v>
      </c>
      <c r="B3" s="86"/>
      <c r="C3" s="86"/>
      <c r="D3" s="86"/>
      <c r="E3" s="86"/>
      <c r="F3" s="86"/>
      <c r="G3" s="86"/>
      <c r="H3" s="86"/>
      <c r="I3" s="86"/>
      <c r="J3" s="86"/>
      <c r="K3" s="248"/>
      <c r="L3" s="9" t="s">
        <v>2</v>
      </c>
    </row>
    <row r="4" spans="1:12">
      <c r="A4" s="261" t="s">
        <v>297</v>
      </c>
      <c r="B4" s="261"/>
      <c r="C4" s="261"/>
      <c r="D4" s="261"/>
      <c r="E4" s="261"/>
      <c r="F4" s="261"/>
      <c r="G4" s="261"/>
      <c r="H4" s="261"/>
      <c r="I4" s="261"/>
      <c r="J4" s="261"/>
      <c r="K4" s="249"/>
      <c r="L4" s="11" t="str">
        <f>'[8]Contact Information'!$C$3</f>
        <v>2015.v02</v>
      </c>
    </row>
    <row r="5" spans="1:12">
      <c r="A5" s="14"/>
      <c r="B5" s="14"/>
      <c r="C5" s="14"/>
      <c r="D5" s="14"/>
      <c r="E5" s="14"/>
      <c r="F5" s="14"/>
      <c r="G5" s="15"/>
      <c r="H5" s="16"/>
      <c r="I5" s="17"/>
      <c r="J5" s="16"/>
      <c r="K5" s="16"/>
      <c r="L5" s="18"/>
    </row>
    <row r="6" spans="1:12">
      <c r="A6" s="14"/>
      <c r="B6" s="14"/>
      <c r="C6" s="14"/>
      <c r="D6" s="14"/>
      <c r="E6" s="14"/>
      <c r="F6" s="14"/>
      <c r="G6" s="15"/>
      <c r="H6" s="249" t="s">
        <v>5</v>
      </c>
      <c r="I6" s="21"/>
      <c r="J6" s="22" t="s">
        <v>6</v>
      </c>
      <c r="K6" s="22" t="s">
        <v>7</v>
      </c>
      <c r="L6" s="23"/>
    </row>
    <row r="7" spans="1:12">
      <c r="A7" s="14"/>
      <c r="B7" s="14"/>
      <c r="C7" s="14"/>
      <c r="D7" s="14"/>
      <c r="E7" s="14"/>
      <c r="F7" s="14"/>
      <c r="G7" s="15"/>
      <c r="H7" s="24"/>
      <c r="I7" s="25"/>
      <c r="J7" s="26" t="str">
        <f>[8]SNP!$M$9</f>
        <v>Unit</v>
      </c>
      <c r="K7" s="26"/>
      <c r="L7" s="27"/>
    </row>
    <row r="8" spans="1:12">
      <c r="A8" s="29" t="s">
        <v>9</v>
      </c>
      <c r="B8" s="14"/>
      <c r="C8" s="14"/>
      <c r="D8" s="14"/>
      <c r="E8" s="14"/>
      <c r="F8" s="14"/>
      <c r="G8" s="15"/>
      <c r="H8" s="25"/>
      <c r="I8" s="25"/>
      <c r="J8" s="25"/>
      <c r="K8" s="25"/>
      <c r="L8" s="30"/>
    </row>
    <row r="9" spans="1:12">
      <c r="A9" s="14" t="s">
        <v>12</v>
      </c>
      <c r="B9" s="14"/>
      <c r="C9" s="14"/>
      <c r="D9" s="14"/>
      <c r="E9" s="14"/>
      <c r="F9" s="14"/>
      <c r="G9" s="15"/>
      <c r="H9" s="17"/>
      <c r="I9" s="17"/>
      <c r="J9" s="17"/>
      <c r="K9" s="17"/>
      <c r="L9" s="18"/>
    </row>
    <row r="10" spans="1:12">
      <c r="A10" s="35"/>
      <c r="B10" s="36" t="s">
        <v>14</v>
      </c>
      <c r="C10" s="14"/>
      <c r="D10" s="14"/>
      <c r="E10" s="14"/>
      <c r="F10" s="14"/>
      <c r="G10" s="35"/>
      <c r="H10" s="35"/>
      <c r="I10" s="17"/>
      <c r="J10" s="35"/>
      <c r="K10" s="35"/>
      <c r="L10" s="37"/>
    </row>
    <row r="11" spans="1:12">
      <c r="A11" s="35"/>
      <c r="B11" s="44" t="s">
        <v>19</v>
      </c>
      <c r="C11" s="35"/>
      <c r="D11" s="263">
        <v>1666321</v>
      </c>
      <c r="E11" s="263"/>
      <c r="F11" s="45"/>
      <c r="G11" s="36"/>
      <c r="H11" s="228">
        <v>2080702</v>
      </c>
      <c r="I11" s="229"/>
      <c r="J11" s="228">
        <v>0</v>
      </c>
      <c r="K11" s="228">
        <f>ROUND(J11,0)+ROUND(H11,0)</f>
        <v>2080702</v>
      </c>
      <c r="L11" s="46"/>
    </row>
    <row r="12" spans="1:12">
      <c r="A12" s="35"/>
      <c r="B12" s="36" t="s">
        <v>22</v>
      </c>
      <c r="C12" s="14"/>
      <c r="D12" s="48"/>
      <c r="E12" s="49"/>
      <c r="F12" s="15"/>
      <c r="G12" s="35"/>
      <c r="H12" s="50">
        <v>1995719</v>
      </c>
      <c r="I12" s="230"/>
      <c r="J12" s="50">
        <v>0</v>
      </c>
      <c r="K12" s="50">
        <f>ROUND(J12,0)+ROUND(H12,0)</f>
        <v>1995719</v>
      </c>
      <c r="L12" s="51"/>
    </row>
    <row r="13" spans="1:12">
      <c r="A13" s="35"/>
      <c r="B13" s="36" t="s">
        <v>24</v>
      </c>
      <c r="C13" s="14"/>
      <c r="D13" s="48"/>
      <c r="E13" s="48"/>
      <c r="F13" s="14"/>
      <c r="G13" s="35"/>
      <c r="H13" s="50">
        <v>151645</v>
      </c>
      <c r="I13" s="230"/>
      <c r="J13" s="50">
        <v>0</v>
      </c>
      <c r="K13" s="50">
        <f>ROUND(J13,0)+ROUND(H13,0)</f>
        <v>151645</v>
      </c>
      <c r="L13" s="51"/>
    </row>
    <row r="14" spans="1:12">
      <c r="A14" s="35"/>
      <c r="B14" s="36" t="s">
        <v>26</v>
      </c>
      <c r="C14" s="14"/>
      <c r="D14" s="48"/>
      <c r="E14" s="48"/>
      <c r="F14" s="14"/>
      <c r="G14" s="35"/>
      <c r="H14" s="50">
        <v>319631</v>
      </c>
      <c r="I14" s="230"/>
      <c r="J14" s="50">
        <f>504643+330866</f>
        <v>835509</v>
      </c>
      <c r="K14" s="50">
        <f>ROUND(J14,0)+ROUND(H14,0)</f>
        <v>1155140</v>
      </c>
      <c r="L14" s="51"/>
    </row>
    <row r="15" spans="1:12">
      <c r="A15" s="35"/>
      <c r="B15" s="36" t="s">
        <v>28</v>
      </c>
      <c r="C15" s="14"/>
      <c r="D15" s="48"/>
      <c r="E15" s="48"/>
      <c r="F15" s="35"/>
      <c r="G15" s="35"/>
      <c r="H15" s="50">
        <v>63809</v>
      </c>
      <c r="I15" s="230"/>
      <c r="J15" s="50">
        <v>0</v>
      </c>
      <c r="K15" s="50">
        <f>ROUND(J15,0)+ROUND(H15,0)</f>
        <v>63809</v>
      </c>
      <c r="L15" s="51"/>
    </row>
    <row r="16" spans="1:12">
      <c r="A16" s="35"/>
      <c r="B16" s="36" t="s">
        <v>29</v>
      </c>
      <c r="C16" s="14"/>
      <c r="D16" s="54"/>
      <c r="E16" s="49"/>
      <c r="F16" s="55"/>
      <c r="G16" s="35"/>
      <c r="H16" s="35"/>
      <c r="I16" s="230"/>
      <c r="J16" s="35"/>
      <c r="K16" s="35"/>
      <c r="L16" s="37"/>
    </row>
    <row r="17" spans="1:12">
      <c r="A17" s="35"/>
      <c r="B17" s="44" t="s">
        <v>19</v>
      </c>
      <c r="C17" s="35"/>
      <c r="D17" s="263">
        <v>6600</v>
      </c>
      <c r="E17" s="263"/>
      <c r="F17" s="55"/>
      <c r="G17" s="35"/>
      <c r="H17" s="50">
        <v>213246</v>
      </c>
      <c r="I17" s="230"/>
      <c r="J17" s="50">
        <v>0</v>
      </c>
      <c r="K17" s="50">
        <f>ROUND(J17,0)+ROUND(H17,0)</f>
        <v>213246</v>
      </c>
      <c r="L17" s="51"/>
    </row>
    <row r="18" spans="1:12">
      <c r="A18" s="35"/>
      <c r="B18" s="57" t="s">
        <v>33</v>
      </c>
      <c r="C18" s="14"/>
      <c r="D18" s="14"/>
      <c r="E18" s="14"/>
      <c r="F18" s="14"/>
      <c r="G18" s="36"/>
      <c r="H18" s="58">
        <v>76506</v>
      </c>
      <c r="I18" s="230"/>
      <c r="J18" s="58">
        <v>1893</v>
      </c>
      <c r="K18" s="58">
        <f>ROUND(J18,0)+ROUND(H18,0)</f>
        <v>78399</v>
      </c>
      <c r="L18" s="51"/>
    </row>
    <row r="19" spans="1:12">
      <c r="A19" s="36"/>
      <c r="B19" s="36"/>
      <c r="C19" s="36"/>
      <c r="D19" s="36"/>
      <c r="E19" s="36"/>
      <c r="F19" s="59"/>
      <c r="G19" s="59"/>
      <c r="H19" s="59"/>
      <c r="I19" s="60"/>
      <c r="J19" s="60"/>
      <c r="K19" s="60"/>
      <c r="L19" s="61"/>
    </row>
    <row r="20" spans="1:12">
      <c r="A20" s="35"/>
      <c r="B20" s="65" t="s">
        <v>35</v>
      </c>
      <c r="C20" s="35"/>
      <c r="D20" s="14"/>
      <c r="E20" s="14"/>
      <c r="F20" s="14"/>
      <c r="G20" s="15"/>
      <c r="H20" s="66">
        <f t="array" ref="H20">SUM(ROUND(H11:H18,0))</f>
        <v>4901258</v>
      </c>
      <c r="I20" s="67"/>
      <c r="J20" s="66">
        <f t="array" ref="J20">SUM(ROUND(J11:J18,0))</f>
        <v>837402</v>
      </c>
      <c r="K20" s="66">
        <f t="array" ref="K20">SUM(ROUND(K11:K18,0))</f>
        <v>5738660</v>
      </c>
      <c r="L20" s="68"/>
    </row>
    <row r="21" spans="1:12">
      <c r="A21" s="14"/>
      <c r="B21" s="14"/>
      <c r="C21" s="14"/>
      <c r="D21" s="14"/>
      <c r="E21" s="14"/>
      <c r="F21" s="14"/>
      <c r="G21" s="15"/>
      <c r="H21" s="17"/>
      <c r="I21" s="17"/>
      <c r="J21" s="17"/>
      <c r="K21" s="17"/>
      <c r="L21" s="18"/>
    </row>
    <row r="22" spans="1:12">
      <c r="A22" s="29" t="s">
        <v>36</v>
      </c>
      <c r="B22" s="14"/>
      <c r="C22" s="14"/>
      <c r="D22" s="14"/>
      <c r="E22" s="14"/>
      <c r="F22" s="14"/>
      <c r="G22" s="15"/>
      <c r="H22" s="16"/>
      <c r="I22" s="17"/>
      <c r="J22" s="16"/>
      <c r="K22" s="16"/>
      <c r="L22" s="18"/>
    </row>
    <row r="23" spans="1:12">
      <c r="A23" s="14" t="s">
        <v>37</v>
      </c>
      <c r="B23" s="14"/>
      <c r="C23" s="14"/>
      <c r="D23" s="14"/>
      <c r="E23" s="35"/>
      <c r="F23" s="14"/>
      <c r="G23" s="15"/>
      <c r="H23" s="16"/>
      <c r="I23" s="17"/>
      <c r="J23" s="16"/>
      <c r="K23" s="16"/>
      <c r="L23" s="18"/>
    </row>
    <row r="24" spans="1:12">
      <c r="A24" s="44"/>
      <c r="B24" s="36" t="s">
        <v>40</v>
      </c>
      <c r="C24" s="14"/>
      <c r="D24" s="14"/>
      <c r="E24" s="35"/>
      <c r="F24" s="14"/>
      <c r="G24" s="15"/>
      <c r="H24" s="50">
        <f>12025854+229067-574081+178587-106679</f>
        <v>11752748</v>
      </c>
      <c r="I24" s="230"/>
      <c r="J24" s="50">
        <v>0</v>
      </c>
      <c r="K24" s="50">
        <f t="shared" ref="K24:K30" si="0">ROUND(J24,0)+ROUND(H24,0)</f>
        <v>11752748</v>
      </c>
      <c r="L24" s="51"/>
    </row>
    <row r="25" spans="1:12">
      <c r="A25" s="44"/>
      <c r="B25" s="36" t="s">
        <v>42</v>
      </c>
      <c r="C25" s="14"/>
      <c r="D25" s="14"/>
      <c r="E25" s="35"/>
      <c r="F25" s="14"/>
      <c r="G25" s="15"/>
      <c r="H25" s="50">
        <v>3224170</v>
      </c>
      <c r="I25" s="230"/>
      <c r="J25" s="50">
        <v>688091</v>
      </c>
      <c r="K25" s="50">
        <f t="shared" si="0"/>
        <v>3912261</v>
      </c>
      <c r="L25" s="51"/>
    </row>
    <row r="26" spans="1:12">
      <c r="A26" s="44"/>
      <c r="B26" s="36" t="s">
        <v>44</v>
      </c>
      <c r="C26" s="14"/>
      <c r="D26" s="14"/>
      <c r="E26" s="35"/>
      <c r="F26" s="14"/>
      <c r="G26" s="15"/>
      <c r="H26" s="50">
        <v>1258288</v>
      </c>
      <c r="I26" s="230"/>
      <c r="J26" s="50">
        <v>0</v>
      </c>
      <c r="K26" s="50">
        <f t="shared" si="0"/>
        <v>1258288</v>
      </c>
      <c r="L26" s="51"/>
    </row>
    <row r="27" spans="1:12">
      <c r="A27" s="44"/>
      <c r="B27" s="36" t="s">
        <v>46</v>
      </c>
      <c r="C27" s="14"/>
      <c r="D27" s="14"/>
      <c r="E27" s="35"/>
      <c r="F27" s="14"/>
      <c r="G27" s="15"/>
      <c r="H27" s="50">
        <v>1653036</v>
      </c>
      <c r="I27" s="230"/>
      <c r="J27" s="50">
        <v>0</v>
      </c>
      <c r="K27" s="50">
        <f t="shared" si="0"/>
        <v>1653036</v>
      </c>
      <c r="L27" s="51"/>
    </row>
    <row r="28" spans="1:12">
      <c r="A28" s="44"/>
      <c r="B28" s="36" t="s">
        <v>48</v>
      </c>
      <c r="C28" s="14"/>
      <c r="D28" s="14"/>
      <c r="E28" s="35"/>
      <c r="F28" s="14"/>
      <c r="G28" s="15"/>
      <c r="H28" s="50">
        <v>1129307</v>
      </c>
      <c r="I28" s="230"/>
      <c r="J28" s="50">
        <f>200865+165912+118695+206899+5450+3572</f>
        <v>701393</v>
      </c>
      <c r="K28" s="50">
        <f t="shared" si="0"/>
        <v>1830700</v>
      </c>
      <c r="L28" s="51"/>
    </row>
    <row r="29" spans="1:12">
      <c r="A29" s="44"/>
      <c r="B29" s="36" t="s">
        <v>50</v>
      </c>
      <c r="C29" s="14"/>
      <c r="D29" s="14"/>
      <c r="E29" s="35"/>
      <c r="F29" s="14"/>
      <c r="G29" s="15"/>
      <c r="H29" s="50">
        <v>2737211</v>
      </c>
      <c r="I29" s="230"/>
      <c r="J29" s="50">
        <v>0</v>
      </c>
      <c r="K29" s="50">
        <f t="shared" si="0"/>
        <v>2737211</v>
      </c>
      <c r="L29" s="51"/>
    </row>
    <row r="30" spans="1:12">
      <c r="A30" s="44"/>
      <c r="B30" s="36" t="s">
        <v>53</v>
      </c>
      <c r="C30" s="14"/>
      <c r="D30" s="14"/>
      <c r="E30" s="35"/>
      <c r="F30" s="14"/>
      <c r="G30" s="15"/>
      <c r="H30" s="231">
        <f>'[8]Accounts by GL'!O481</f>
        <v>2255512.36</v>
      </c>
      <c r="I30" s="230"/>
      <c r="J30" s="58">
        <v>0</v>
      </c>
      <c r="K30" s="58">
        <f t="shared" si="0"/>
        <v>2255512</v>
      </c>
      <c r="L30" s="51"/>
    </row>
    <row r="31" spans="1:12">
      <c r="A31" s="44"/>
      <c r="B31" s="36"/>
      <c r="C31" s="14"/>
      <c r="D31" s="14"/>
      <c r="E31" s="35"/>
      <c r="F31" s="14"/>
      <c r="G31" s="15"/>
      <c r="H31" s="73"/>
      <c r="I31" s="73"/>
      <c r="J31" s="73"/>
      <c r="K31" s="73"/>
      <c r="L31" s="74"/>
    </row>
    <row r="32" spans="1:12">
      <c r="A32" s="14"/>
      <c r="B32" s="65" t="s">
        <v>55</v>
      </c>
      <c r="C32" s="35"/>
      <c r="D32" s="14"/>
      <c r="E32" s="14"/>
      <c r="F32" s="14"/>
      <c r="G32" s="15"/>
      <c r="H32" s="66">
        <f t="array" ref="H32">SUM(ROUND(H24:H30,0))</f>
        <v>24010272</v>
      </c>
      <c r="I32" s="59"/>
      <c r="J32" s="66">
        <f t="array" ref="J32">SUM(ROUND(J24:J30,0))</f>
        <v>1389484</v>
      </c>
      <c r="K32" s="66">
        <f t="array" ref="K32">SUM(ROUND(K24:K30,0))</f>
        <v>25399756</v>
      </c>
      <c r="L32" s="68"/>
    </row>
    <row r="33" spans="1:12">
      <c r="A33" s="44"/>
      <c r="B33" s="76"/>
      <c r="C33" s="14"/>
      <c r="D33" s="14"/>
      <c r="E33" s="35"/>
      <c r="F33" s="14"/>
      <c r="G33" s="15"/>
      <c r="H33" s="59"/>
      <c r="I33" s="59"/>
      <c r="J33" s="59"/>
      <c r="K33" s="59"/>
      <c r="L33" s="77"/>
    </row>
    <row r="34" spans="1:12">
      <c r="A34" s="14"/>
      <c r="B34" s="65" t="str">
        <f>IF(H34&lt;0,IF(J34&gt;0,"Operating Income (Loss)","Operating Loss"),IF(H34&gt;0,IF(J34&gt;=0,"Operating Income","Operating Income (Loss)"),IF(J34&lt;0,"Operating Loss",IF(J34&gt;0,"Operating Income","Operating Income (Loss)"))))</f>
        <v>Operating Loss</v>
      </c>
      <c r="C34" s="35"/>
      <c r="D34" s="14"/>
      <c r="E34" s="14"/>
      <c r="F34" s="14"/>
      <c r="G34" s="15"/>
      <c r="H34" s="66">
        <f>H20-H32</f>
        <v>-19109014</v>
      </c>
      <c r="I34" s="67"/>
      <c r="J34" s="66">
        <f>J20-J32</f>
        <v>-552082</v>
      </c>
      <c r="K34" s="66">
        <f>K20-K32</f>
        <v>-19661096</v>
      </c>
      <c r="L34" s="68"/>
    </row>
    <row r="35" spans="1:12">
      <c r="A35" s="14"/>
      <c r="B35" s="14"/>
      <c r="C35" s="14"/>
      <c r="D35" s="14"/>
      <c r="E35" s="14"/>
      <c r="F35" s="14"/>
      <c r="G35" s="15"/>
      <c r="H35" s="78"/>
      <c r="I35" s="78"/>
      <c r="J35" s="78"/>
      <c r="K35" s="78"/>
      <c r="L35" s="79"/>
    </row>
    <row r="36" spans="1:12">
      <c r="A36" s="29" t="s">
        <v>56</v>
      </c>
      <c r="B36" s="35"/>
      <c r="C36" s="14"/>
      <c r="D36" s="14"/>
      <c r="E36" s="14"/>
      <c r="F36" s="14"/>
      <c r="G36" s="15"/>
      <c r="H36" s="16"/>
      <c r="I36" s="17"/>
      <c r="J36" s="16"/>
      <c r="K36" s="16"/>
      <c r="L36" s="18"/>
    </row>
    <row r="37" spans="1:12">
      <c r="A37" s="36" t="s">
        <v>59</v>
      </c>
      <c r="B37" s="35"/>
      <c r="C37" s="14"/>
      <c r="D37" s="14"/>
      <c r="E37" s="35"/>
      <c r="F37" s="14"/>
      <c r="G37" s="15"/>
      <c r="H37" s="80">
        <v>13187794</v>
      </c>
      <c r="I37" s="49"/>
      <c r="J37" s="80">
        <v>0</v>
      </c>
      <c r="K37" s="80">
        <f t="shared" ref="K37:K45" si="1">ROUND(J37,0)+ROUND(H37,0)</f>
        <v>13187794</v>
      </c>
      <c r="L37" s="81"/>
    </row>
    <row r="38" spans="1:12">
      <c r="A38" s="36" t="s">
        <v>61</v>
      </c>
      <c r="B38" s="35"/>
      <c r="C38" s="14"/>
      <c r="D38" s="14"/>
      <c r="E38" s="35"/>
      <c r="F38" s="14"/>
      <c r="G38" s="15"/>
      <c r="H38" s="80">
        <v>4357385.22</v>
      </c>
      <c r="I38" s="49"/>
      <c r="J38" s="80">
        <v>0</v>
      </c>
      <c r="K38" s="80">
        <f t="shared" si="1"/>
        <v>4357385</v>
      </c>
      <c r="L38" s="81"/>
    </row>
    <row r="39" spans="1:12">
      <c r="A39" s="36" t="s">
        <v>63</v>
      </c>
      <c r="B39" s="35"/>
      <c r="C39" s="14"/>
      <c r="D39" s="14"/>
      <c r="E39" s="35"/>
      <c r="F39" s="14"/>
      <c r="G39" s="15"/>
      <c r="H39" s="80">
        <v>212845</v>
      </c>
      <c r="I39" s="49"/>
      <c r="J39" s="80">
        <v>0</v>
      </c>
      <c r="K39" s="80">
        <f t="shared" si="1"/>
        <v>212845</v>
      </c>
      <c r="L39" s="81"/>
    </row>
    <row r="40" spans="1:12">
      <c r="A40" s="36" t="s">
        <v>66</v>
      </c>
      <c r="B40" s="35"/>
      <c r="C40" s="14"/>
      <c r="D40" s="14"/>
      <c r="E40" s="35"/>
      <c r="F40" s="14"/>
      <c r="G40" s="15"/>
      <c r="H40" s="80">
        <v>6489</v>
      </c>
      <c r="I40" s="49"/>
      <c r="J40" s="80">
        <v>526346</v>
      </c>
      <c r="K40" s="80">
        <f t="shared" si="1"/>
        <v>532835</v>
      </c>
      <c r="L40" s="81"/>
    </row>
    <row r="41" spans="1:12">
      <c r="A41" s="36" t="str">
        <f>IF(H41&lt;0,IF(J41&gt;0,"Net Gain (Loss) on Investments","Net Loss on Investments"),IF(H41&gt;0,IF(J41&gt;=0,"Net Gain on Investments","Net Gain (Loss) on Investments"),IF(J41&lt;0,"Net Loss on Investments",IF(J41&gt;0,"Net Gain on Investments","Net Gain (Loss) on Investments"))))</f>
        <v>Net Loss on Investments</v>
      </c>
      <c r="B41" s="35"/>
      <c r="C41" s="14"/>
      <c r="D41" s="14"/>
      <c r="E41" s="35"/>
      <c r="F41" s="14"/>
      <c r="G41" s="15"/>
      <c r="H41" s="80">
        <v>0</v>
      </c>
      <c r="I41" s="49"/>
      <c r="J41" s="80">
        <v>-12797</v>
      </c>
      <c r="K41" s="80">
        <f t="shared" si="1"/>
        <v>-12797</v>
      </c>
      <c r="L41" s="81"/>
    </row>
    <row r="42" spans="1:12">
      <c r="A42" s="36" t="s">
        <v>69</v>
      </c>
      <c r="B42" s="35"/>
      <c r="C42" s="14"/>
      <c r="D42" s="14"/>
      <c r="E42" s="35"/>
      <c r="F42" s="14"/>
      <c r="G42" s="15"/>
      <c r="H42" s="80">
        <v>0</v>
      </c>
      <c r="I42" s="49"/>
      <c r="J42" s="80">
        <v>0</v>
      </c>
      <c r="K42" s="80">
        <f t="shared" si="1"/>
        <v>0</v>
      </c>
      <c r="L42" s="81"/>
    </row>
    <row r="43" spans="1:12">
      <c r="A43" s="36" t="str">
        <f>IF(H43&lt;0,IF(J43&gt;0,"Gain (Loss) on Disposal of Capital Assets","Loss on Disposal of Capital Assets"),IF(H43&gt;0,IF(J43&gt;=0,"Gain on Disposal of Capital Assets","Gain (Loss) on Disposal of Capital Assets"),IF(J43&lt;0,"Loss on Disposal of Capital Assets",IF(J43&gt;0,"Gain on Disposal of Capital Assets","Gain (Loss) on Disposal of Capital Assets"))))</f>
        <v>Loss on Disposal of Capital Assets</v>
      </c>
      <c r="B43" s="35"/>
      <c r="C43" s="14"/>
      <c r="D43" s="14"/>
      <c r="E43" s="35"/>
      <c r="F43" s="14"/>
      <c r="G43" s="15"/>
      <c r="H43" s="80">
        <v>-50780</v>
      </c>
      <c r="I43" s="49"/>
      <c r="J43" s="80">
        <v>0</v>
      </c>
      <c r="K43" s="80">
        <f t="shared" si="1"/>
        <v>-50780</v>
      </c>
      <c r="L43" s="81"/>
    </row>
    <row r="44" spans="1:12">
      <c r="A44" s="36" t="s">
        <v>73</v>
      </c>
      <c r="B44" s="35"/>
      <c r="C44" s="35"/>
      <c r="D44" s="35"/>
      <c r="E44" s="35"/>
      <c r="F44" s="35"/>
      <c r="G44" s="35"/>
      <c r="H44" s="80">
        <v>-6329</v>
      </c>
      <c r="I44" s="49"/>
      <c r="J44" s="80">
        <v>0</v>
      </c>
      <c r="K44" s="80">
        <f t="shared" si="1"/>
        <v>-6329</v>
      </c>
      <c r="L44" s="81"/>
    </row>
    <row r="45" spans="1:12">
      <c r="A45" s="36" t="s">
        <v>75</v>
      </c>
      <c r="B45" s="35"/>
      <c r="C45" s="14"/>
      <c r="D45" s="14"/>
      <c r="E45" s="35"/>
      <c r="F45" s="14"/>
      <c r="G45" s="15"/>
      <c r="H45" s="82">
        <v>0</v>
      </c>
      <c r="I45" s="49"/>
      <c r="J45" s="82">
        <v>0</v>
      </c>
      <c r="K45" s="82">
        <f t="shared" si="1"/>
        <v>0</v>
      </c>
      <c r="L45" s="81"/>
    </row>
    <row r="46" spans="1:12">
      <c r="A46" s="35"/>
      <c r="B46" s="35"/>
      <c r="C46" s="35"/>
      <c r="D46" s="35"/>
      <c r="E46" s="35"/>
      <c r="F46" s="35"/>
      <c r="G46" s="35"/>
      <c r="H46" s="83"/>
      <c r="I46" s="84"/>
      <c r="J46" s="83"/>
      <c r="K46" s="83"/>
      <c r="L46" s="85"/>
    </row>
    <row r="47" spans="1:12">
      <c r="A47" s="29" t="s">
        <v>77</v>
      </c>
      <c r="B47" s="35"/>
      <c r="C47" s="14"/>
      <c r="D47" s="14"/>
      <c r="E47" s="14"/>
      <c r="F47" s="14"/>
      <c r="G47" s="15"/>
      <c r="H47" s="66">
        <f t="array" ref="H47">SUM(ROUND(H37:H45,0))</f>
        <v>17707404</v>
      </c>
      <c r="I47" s="59"/>
      <c r="J47" s="66">
        <f t="array" ref="J47">SUM(ROUND(J37:J45,0))</f>
        <v>513549</v>
      </c>
      <c r="K47" s="66">
        <f t="array" ref="K47">SUM(ROUND(K37:K45,0))</f>
        <v>18220953</v>
      </c>
      <c r="L47" s="68"/>
    </row>
    <row r="48" spans="1:12">
      <c r="A48" s="86"/>
      <c r="B48" s="87"/>
      <c r="C48" s="15"/>
      <c r="D48" s="15"/>
      <c r="E48" s="15"/>
      <c r="F48" s="15"/>
      <c r="G48" s="15"/>
      <c r="H48" s="59"/>
      <c r="I48" s="59"/>
      <c r="J48" s="59"/>
      <c r="K48" s="59"/>
      <c r="L48" s="77"/>
    </row>
    <row r="49" spans="1:12">
      <c r="A49" s="65" t="str">
        <f>IF(H50&lt;0,IF(J50&gt;0,"Income (Loss) Before Other Revenues,","Loss Before Other Revenues,"),IF(H50&gt;0,IF(J50&gt;=0,"Income Before Other Revenues,","Income (Loss) Before Other Revenues,"),IF(J59&lt;0,"Loss Before Other Revenues,",IF(J59&gt;0,"Income Before Other Revenues,","Income (Loss) Before Other Revenues,"))))</f>
        <v>Loss Before Other Revenues,</v>
      </c>
      <c r="B49" s="35"/>
      <c r="C49" s="35"/>
      <c r="D49" s="14"/>
      <c r="E49" s="14"/>
      <c r="F49" s="14"/>
      <c r="G49" s="15"/>
      <c r="H49" s="35"/>
      <c r="I49" s="35"/>
      <c r="J49" s="35"/>
      <c r="K49" s="35"/>
      <c r="L49" s="37"/>
    </row>
    <row r="50" spans="1:12">
      <c r="A50" s="14"/>
      <c r="B50" s="29" t="s">
        <v>78</v>
      </c>
      <c r="C50" s="14"/>
      <c r="D50" s="14"/>
      <c r="E50" s="14"/>
      <c r="F50" s="14"/>
      <c r="G50" s="15"/>
      <c r="H50" s="66">
        <f>H34+H47</f>
        <v>-1401610</v>
      </c>
      <c r="I50" s="59"/>
      <c r="J50" s="66">
        <f>J34+J47</f>
        <v>-38533</v>
      </c>
      <c r="K50" s="66">
        <f>K34+K47</f>
        <v>-1440143</v>
      </c>
      <c r="L50" s="68"/>
    </row>
    <row r="51" spans="1:12">
      <c r="A51" s="14"/>
      <c r="B51" s="29"/>
      <c r="C51" s="14"/>
      <c r="D51" s="14"/>
      <c r="E51" s="14"/>
      <c r="F51" s="14"/>
      <c r="G51" s="15"/>
      <c r="H51" s="17"/>
      <c r="I51" s="17"/>
      <c r="J51" s="17"/>
      <c r="K51" s="17"/>
      <c r="L51" s="18"/>
    </row>
    <row r="52" spans="1:12">
      <c r="A52" s="36" t="s">
        <v>80</v>
      </c>
      <c r="B52" s="35"/>
      <c r="C52" s="14"/>
      <c r="D52" s="14"/>
      <c r="E52" s="14"/>
      <c r="F52" s="35"/>
      <c r="G52" s="15"/>
      <c r="H52" s="80">
        <v>2988424</v>
      </c>
      <c r="I52" s="49"/>
      <c r="J52" s="80">
        <v>0</v>
      </c>
      <c r="K52" s="80">
        <f>ROUND(J52,0)+ROUND(H52,0)</f>
        <v>2988424</v>
      </c>
      <c r="L52" s="81"/>
    </row>
    <row r="53" spans="1:12">
      <c r="A53" s="36" t="s">
        <v>83</v>
      </c>
      <c r="B53" s="35"/>
      <c r="C53" s="14"/>
      <c r="D53" s="14"/>
      <c r="E53" s="14"/>
      <c r="F53" s="35"/>
      <c r="G53" s="15"/>
      <c r="H53" s="50">
        <v>390151</v>
      </c>
      <c r="I53" s="230"/>
      <c r="J53" s="50">
        <v>0</v>
      </c>
      <c r="K53" s="50">
        <f>ROUND(J53,0)+ROUND(H53,0)</f>
        <v>390151</v>
      </c>
      <c r="L53" s="51"/>
    </row>
    <row r="54" spans="1:12">
      <c r="A54" s="14" t="s">
        <v>86</v>
      </c>
      <c r="B54" s="35"/>
      <c r="C54" s="14"/>
      <c r="D54" s="14"/>
      <c r="E54" s="14"/>
      <c r="F54" s="35"/>
      <c r="G54" s="15"/>
      <c r="H54" s="89">
        <v>0</v>
      </c>
      <c r="I54" s="230"/>
      <c r="J54" s="89">
        <v>578025</v>
      </c>
      <c r="K54" s="89">
        <f>ROUND(J54,0)+ROUND(H54,0)</f>
        <v>578025</v>
      </c>
      <c r="L54" s="51"/>
    </row>
    <row r="55" spans="1:12">
      <c r="A55" s="76" t="str">
        <f>IF(H55&lt;0,IF(J55&gt;0,"Other Revenues (Expenses)","Other Expenses"),IF(H55&gt;0,IF(J55&gt;=0,"Other Revenues","Other Revenues (Expenses)"),IF(J55&lt;0,"Other Expenses",IF(J55&gt;0,"Other Revenues","Other Revenues (Expenses)"))))</f>
        <v>Other Revenues (Expenses)</v>
      </c>
      <c r="B55" s="35"/>
      <c r="C55" s="14"/>
      <c r="D55" s="14"/>
      <c r="E55" s="14"/>
      <c r="F55" s="35"/>
      <c r="G55" s="15"/>
      <c r="H55" s="58">
        <v>0</v>
      </c>
      <c r="I55" s="230"/>
      <c r="J55" s="58">
        <v>0</v>
      </c>
      <c r="K55" s="58">
        <f>ROUND(J55,0)+ROUND(H55,0)</f>
        <v>0</v>
      </c>
      <c r="L55" s="51"/>
    </row>
    <row r="56" spans="1:12">
      <c r="A56" s="35"/>
      <c r="B56" s="35"/>
      <c r="C56" s="14"/>
      <c r="D56" s="14"/>
      <c r="E56" s="14"/>
      <c r="F56" s="14"/>
      <c r="G56" s="15"/>
      <c r="H56" s="83"/>
      <c r="I56" s="84"/>
      <c r="J56" s="83"/>
      <c r="K56" s="83"/>
      <c r="L56" s="85"/>
    </row>
    <row r="57" spans="1:12">
      <c r="A57" s="29" t="s">
        <v>89</v>
      </c>
      <c r="B57" s="35"/>
      <c r="C57" s="35"/>
      <c r="D57" s="14"/>
      <c r="E57" s="14"/>
      <c r="F57" s="14"/>
      <c r="G57" s="15"/>
      <c r="H57" s="90">
        <f t="array" ref="H57">SUM(ROUND(H52:H55,0))</f>
        <v>3378575</v>
      </c>
      <c r="I57" s="59"/>
      <c r="J57" s="90">
        <f t="array" ref="J57">SUM(ROUND(J52:J55,0))</f>
        <v>578025</v>
      </c>
      <c r="K57" s="90">
        <f t="array" ref="K57">SUM(ROUND(K52:K55,0))</f>
        <v>3956600</v>
      </c>
      <c r="L57" s="91"/>
    </row>
    <row r="58" spans="1:12">
      <c r="A58" s="29"/>
      <c r="B58" s="35"/>
      <c r="C58" s="35"/>
      <c r="D58" s="14"/>
      <c r="E58" s="14"/>
      <c r="F58" s="14"/>
      <c r="G58" s="15"/>
      <c r="H58" s="59"/>
      <c r="I58" s="59"/>
      <c r="J58" s="59"/>
      <c r="K58" s="59"/>
      <c r="L58" s="77"/>
    </row>
    <row r="59" spans="1:12">
      <c r="A59" s="65" t="str">
        <f>IF(H59&lt;0,IF(J59&gt;0,"Increase (Decrease) in Net Position","Decrease in Net Position"),IF(H59&gt;0,IF(J59&gt;=0,"Increase in Net Position","Increase (Decrease) in Net Position"),IF(J59&lt;0,"Decrease in Net Position",IF(J59&gt;0,"Increase in Net Position","Increase (Decrease) in Net Position"))))</f>
        <v>Increase in Net Position</v>
      </c>
      <c r="B59" s="35"/>
      <c r="C59" s="35"/>
      <c r="D59" s="14"/>
      <c r="E59" s="14"/>
      <c r="F59" s="14"/>
      <c r="G59" s="15"/>
      <c r="H59" s="90">
        <f>H50+H57</f>
        <v>1976965</v>
      </c>
      <c r="I59" s="92"/>
      <c r="J59" s="90">
        <f>J50+J57</f>
        <v>539492</v>
      </c>
      <c r="K59" s="90">
        <f>K50+K57</f>
        <v>2516457</v>
      </c>
      <c r="L59" s="91"/>
    </row>
    <row r="60" spans="1:12">
      <c r="A60" s="93"/>
      <c r="B60" s="35"/>
      <c r="C60" s="35"/>
      <c r="D60" s="14"/>
      <c r="E60" s="14"/>
      <c r="F60" s="14"/>
      <c r="G60" s="15"/>
      <c r="H60" s="94"/>
      <c r="I60" s="94"/>
      <c r="J60" s="94"/>
      <c r="K60" s="94"/>
      <c r="L60" s="95"/>
    </row>
    <row r="61" spans="1:12">
      <c r="A61" s="14" t="s">
        <v>91</v>
      </c>
      <c r="B61" s="35"/>
      <c r="C61" s="14"/>
      <c r="D61" s="14"/>
      <c r="E61" s="14"/>
      <c r="F61" s="14"/>
      <c r="G61" s="15"/>
      <c r="H61" s="96">
        <f>VLOOKUP($A$1,[8]VLOOKUPS!A44:D71,2,FALSE)</f>
        <v>61327492</v>
      </c>
      <c r="I61" s="49"/>
      <c r="J61" s="96">
        <f>VLOOKUP($A$1,[8]VLOOKUPS!A44:D71,3,FALSE)</f>
        <v>17916736</v>
      </c>
      <c r="K61" s="89">
        <f>ROUND(J61,0)+ROUND(H61,0)</f>
        <v>79244228</v>
      </c>
      <c r="L61" s="97"/>
    </row>
    <row r="62" spans="1:12">
      <c r="A62" s="14" t="s">
        <v>94</v>
      </c>
      <c r="B62" s="35"/>
      <c r="C62" s="14"/>
      <c r="D62" s="14"/>
      <c r="E62" s="14"/>
      <c r="F62" s="14"/>
      <c r="G62" s="15"/>
      <c r="H62" s="82">
        <v>-5360878</v>
      </c>
      <c r="I62" s="49"/>
      <c r="J62" s="82">
        <v>0</v>
      </c>
      <c r="K62" s="82">
        <f>ROUND(J62,0)+ROUND(H62,0)</f>
        <v>-5360878</v>
      </c>
      <c r="L62" s="81"/>
    </row>
    <row r="63" spans="1:12">
      <c r="A63" s="36"/>
      <c r="B63" s="36"/>
      <c r="C63" s="36"/>
      <c r="D63" s="36"/>
      <c r="E63" s="36"/>
      <c r="F63" s="98"/>
      <c r="G63" s="36"/>
      <c r="H63" s="92"/>
      <c r="I63" s="99"/>
      <c r="J63" s="99"/>
      <c r="K63" s="99"/>
      <c r="L63" s="100"/>
    </row>
    <row r="64" spans="1:12">
      <c r="A64" s="101" t="s">
        <v>95</v>
      </c>
      <c r="B64" s="36"/>
      <c r="C64" s="36"/>
      <c r="D64" s="36"/>
      <c r="E64" s="36"/>
      <c r="F64" s="60"/>
      <c r="G64" s="60"/>
      <c r="H64" s="90">
        <f t="array" ref="H64">SUM(ROUND(H61:H62,0))</f>
        <v>55966614</v>
      </c>
      <c r="I64" s="92"/>
      <c r="J64" s="90">
        <f t="array" ref="J64">SUM(ROUND(J61:J62,0))</f>
        <v>17916736</v>
      </c>
      <c r="K64" s="90">
        <f t="array" ref="K64">SUM(ROUND(K61:K62,0))</f>
        <v>73883350</v>
      </c>
      <c r="L64" s="91"/>
    </row>
    <row r="65" spans="1:12">
      <c r="A65" s="36"/>
      <c r="B65" s="36"/>
      <c r="C65" s="36"/>
      <c r="D65" s="36"/>
      <c r="E65" s="36"/>
      <c r="F65" s="102"/>
      <c r="G65" s="36"/>
      <c r="H65" s="102"/>
      <c r="I65" s="60"/>
      <c r="J65" s="60"/>
      <c r="K65" s="60"/>
      <c r="L65" s="61"/>
    </row>
    <row r="66" spans="1:12" ht="13.5" thickBot="1">
      <c r="A66" s="29" t="s">
        <v>96</v>
      </c>
      <c r="B66" s="35"/>
      <c r="C66" s="14"/>
      <c r="D66" s="14"/>
      <c r="E66" s="14"/>
      <c r="F66" s="14"/>
      <c r="G66" s="103"/>
      <c r="H66" s="104">
        <f>H59+H64</f>
        <v>57943579</v>
      </c>
      <c r="I66" s="105"/>
      <c r="J66" s="104">
        <f>J59+J64</f>
        <v>18456228</v>
      </c>
      <c r="K66" s="104">
        <f>K59+K64</f>
        <v>76399807</v>
      </c>
      <c r="L66" s="46"/>
    </row>
    <row r="67" spans="1:12" ht="13.5" thickTop="1">
      <c r="A67" s="14"/>
      <c r="B67" s="14"/>
      <c r="C67" s="14"/>
      <c r="D67" s="14"/>
      <c r="E67" s="14"/>
      <c r="F67" s="14"/>
      <c r="G67" s="15"/>
      <c r="H67" s="107"/>
      <c r="I67" s="15"/>
      <c r="J67" s="107"/>
      <c r="K67" s="107"/>
      <c r="L67" s="108"/>
    </row>
    <row r="68" spans="1:12">
      <c r="A68" s="35" t="s">
        <v>97</v>
      </c>
      <c r="B68" s="35"/>
      <c r="C68" s="35"/>
      <c r="D68" s="35"/>
      <c r="E68" s="35"/>
      <c r="F68" s="35"/>
      <c r="G68" s="87"/>
      <c r="H68" s="35"/>
      <c r="I68" s="87"/>
      <c r="J68" s="35"/>
      <c r="K68" s="35"/>
      <c r="L68" s="37"/>
    </row>
    <row r="69" spans="1:12">
      <c r="G69" s="6"/>
      <c r="H69" s="109">
        <f>H66-[8]SNP!K119</f>
        <v>0</v>
      </c>
      <c r="I69" s="110"/>
      <c r="J69" s="111">
        <f>J66-[8]SNP!M119</f>
        <v>0</v>
      </c>
      <c r="K69" s="111">
        <f>K66-[8]SNP!N119</f>
        <v>0</v>
      </c>
      <c r="L69" s="112"/>
    </row>
    <row r="70" spans="1:12">
      <c r="G70" s="113" t="s">
        <v>98</v>
      </c>
      <c r="H70" s="114"/>
      <c r="I70" s="115"/>
      <c r="J70" s="114"/>
      <c r="K70" s="114"/>
      <c r="L70" s="114"/>
    </row>
  </sheetData>
  <sheetProtection formatColumns="0" formatRows="0"/>
  <conditionalFormatting sqref="H69 J69">
    <cfRule type="cellIs" dxfId="363" priority="14" operator="notEqual">
      <formula>0</formula>
    </cfRule>
    <cfRule type="cellIs" dxfId="362" priority="15" operator="equal">
      <formula>0</formula>
    </cfRule>
  </conditionalFormatting>
  <conditionalFormatting sqref="H11:H15 D11:E11 J24:J30 J37:J45 H37:H45 J62 H62 J17:J18 H25:H29 H17:H18 D17:E17 J11:J15 J52:J55 H52:H55">
    <cfRule type="containsBlanks" dxfId="361" priority="12">
      <formula>LEN(TRIM(D11))=0</formula>
    </cfRule>
    <cfRule type="cellIs" dxfId="360" priority="13" operator="notEqual">
      <formula>0</formula>
    </cfRule>
  </conditionalFormatting>
  <conditionalFormatting sqref="H11">
    <cfRule type="cellIs" dxfId="359" priority="11" operator="notEqual">
      <formula>H20</formula>
    </cfRule>
  </conditionalFormatting>
  <conditionalFormatting sqref="J11">
    <cfRule type="cellIs" dxfId="358" priority="10" operator="notEqual">
      <formula>J20</formula>
    </cfRule>
  </conditionalFormatting>
  <conditionalFormatting sqref="K69">
    <cfRule type="cellIs" dxfId="357" priority="8" operator="notEqual">
      <formula>0</formula>
    </cfRule>
    <cfRule type="cellIs" dxfId="356" priority="9" operator="equal">
      <formula>0</formula>
    </cfRule>
  </conditionalFormatting>
  <conditionalFormatting sqref="K24:K30 K37:K45 K62 K17:K18 K11:K15 K52:K55">
    <cfRule type="containsBlanks" dxfId="355" priority="6">
      <formula>LEN(TRIM(K11))=0</formula>
    </cfRule>
    <cfRule type="cellIs" dxfId="354" priority="7" operator="notEqual">
      <formula>0</formula>
    </cfRule>
  </conditionalFormatting>
  <conditionalFormatting sqref="K11">
    <cfRule type="cellIs" dxfId="353" priority="5" operator="notEqual">
      <formula>K20</formula>
    </cfRule>
  </conditionalFormatting>
  <conditionalFormatting sqref="H24">
    <cfRule type="containsBlanks" dxfId="352" priority="3">
      <formula>LEN(TRIM(H24))=0</formula>
    </cfRule>
    <cfRule type="cellIs" dxfId="351" priority="4" operator="notEqual">
      <formula>0</formula>
    </cfRule>
  </conditionalFormatting>
  <conditionalFormatting sqref="K61">
    <cfRule type="containsBlanks" dxfId="350" priority="1">
      <formula>LEN(TRIM(K61))=0</formula>
    </cfRule>
    <cfRule type="cellIs" dxfId="349" priority="2" operator="notEqual">
      <formula>0</formula>
    </cfRule>
  </conditionalFormatting>
  <printOptions horizontalCentered="1"/>
  <pageMargins left="0.7" right="0.7" top="0.75" bottom="0.75" header="0.5" footer="0.5"/>
  <pageSetup scale="54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  <pageSetUpPr fitToPage="1"/>
  </sheetPr>
  <dimension ref="A1:T70"/>
  <sheetViews>
    <sheetView topLeftCell="C1" zoomScale="80" zoomScaleNormal="80" zoomScaleSheetLayoutView="70" workbookViewId="0">
      <selection activeCell="C1" sqref="C1"/>
    </sheetView>
  </sheetViews>
  <sheetFormatPr defaultColWidth="11.140625" defaultRowHeight="12.75"/>
  <cols>
    <col min="1" max="1" width="0" style="1" hidden="1" customWidth="1"/>
    <col min="2" max="2" width="0" style="20" hidden="1" customWidth="1"/>
    <col min="3" max="8" width="11.140625" style="6"/>
    <col min="9" max="9" width="11.140625" style="11"/>
    <col min="10" max="10" width="14.5703125" style="6" customWidth="1"/>
    <col min="11" max="11" width="11.140625" style="11"/>
    <col min="12" max="12" width="13.85546875" style="6" customWidth="1"/>
    <col min="13" max="13" width="14.42578125" style="6" customWidth="1"/>
    <col min="14" max="14" width="11.140625" style="6"/>
    <col min="15" max="15" width="11.140625" style="10"/>
    <col min="16" max="20" width="11.140625" style="5"/>
    <col min="21" max="16384" width="11.140625" style="6"/>
  </cols>
  <sheetData>
    <row r="1" spans="1:14">
      <c r="B1" s="2"/>
      <c r="C1" s="260" t="str">
        <f>'[9]Contact Information'!$C$5</f>
        <v>DAYTONA STATE COLLEGE</v>
      </c>
      <c r="D1" s="260"/>
      <c r="E1" s="260"/>
      <c r="F1" s="260"/>
      <c r="G1" s="260"/>
      <c r="H1" s="260"/>
      <c r="I1" s="260"/>
      <c r="J1" s="260"/>
      <c r="K1" s="260"/>
      <c r="L1" s="260"/>
      <c r="M1" s="247"/>
      <c r="N1" s="3"/>
    </row>
    <row r="2" spans="1:14">
      <c r="B2" s="2"/>
      <c r="C2" s="256" t="s">
        <v>0</v>
      </c>
      <c r="D2" s="256"/>
      <c r="E2" s="256"/>
      <c r="F2" s="256"/>
      <c r="G2" s="256"/>
      <c r="H2" s="256"/>
      <c r="I2" s="256"/>
      <c r="J2" s="256"/>
      <c r="K2" s="256"/>
      <c r="L2" s="256"/>
      <c r="M2" s="245"/>
      <c r="N2" s="7"/>
    </row>
    <row r="3" spans="1:14">
      <c r="B3" s="2"/>
      <c r="C3" s="86" t="s">
        <v>1</v>
      </c>
      <c r="D3" s="86"/>
      <c r="E3" s="86"/>
      <c r="F3" s="86"/>
      <c r="G3" s="86"/>
      <c r="H3" s="86"/>
      <c r="I3" s="86"/>
      <c r="J3" s="86"/>
      <c r="K3" s="86"/>
      <c r="L3" s="86"/>
      <c r="M3" s="248"/>
      <c r="N3" s="9" t="s">
        <v>2</v>
      </c>
    </row>
    <row r="4" spans="1:14">
      <c r="B4" s="2"/>
      <c r="C4" s="261" t="s">
        <v>297</v>
      </c>
      <c r="D4" s="261"/>
      <c r="E4" s="261"/>
      <c r="F4" s="261"/>
      <c r="G4" s="261"/>
      <c r="H4" s="261"/>
      <c r="I4" s="261"/>
      <c r="J4" s="261"/>
      <c r="K4" s="261"/>
      <c r="L4" s="261"/>
      <c r="M4" s="249"/>
      <c r="N4" s="11" t="str">
        <f>'[9]Contact Information'!$C$3</f>
        <v>2015.v02</v>
      </c>
    </row>
    <row r="5" spans="1:14">
      <c r="A5" s="12"/>
      <c r="B5" s="13"/>
      <c r="C5" s="14"/>
      <c r="D5" s="14"/>
      <c r="E5" s="14"/>
      <c r="F5" s="14"/>
      <c r="G5" s="14"/>
      <c r="H5" s="14"/>
      <c r="I5" s="15"/>
      <c r="J5" s="16"/>
      <c r="K5" s="17"/>
      <c r="L5" s="16"/>
      <c r="M5" s="16"/>
      <c r="N5" s="18"/>
    </row>
    <row r="6" spans="1:14">
      <c r="C6" s="14"/>
      <c r="D6" s="14"/>
      <c r="E6" s="14"/>
      <c r="F6" s="14"/>
      <c r="G6" s="14"/>
      <c r="H6" s="14"/>
      <c r="I6" s="15"/>
      <c r="J6" s="249" t="s">
        <v>5</v>
      </c>
      <c r="K6" s="21"/>
      <c r="L6" s="22" t="s">
        <v>6</v>
      </c>
      <c r="M6" s="22" t="s">
        <v>7</v>
      </c>
      <c r="N6" s="23"/>
    </row>
    <row r="7" spans="1:14">
      <c r="C7" s="14"/>
      <c r="D7" s="14"/>
      <c r="E7" s="14"/>
      <c r="F7" s="14"/>
      <c r="G7" s="14"/>
      <c r="H7" s="14"/>
      <c r="I7" s="15"/>
      <c r="J7" s="24"/>
      <c r="K7" s="25"/>
      <c r="L7" s="26" t="str">
        <f>[9]SNP!$M$9</f>
        <v>Unit</v>
      </c>
      <c r="M7" s="26"/>
      <c r="N7" s="27"/>
    </row>
    <row r="8" spans="1:14">
      <c r="C8" s="29" t="s">
        <v>9</v>
      </c>
      <c r="D8" s="14"/>
      <c r="E8" s="14"/>
      <c r="F8" s="14"/>
      <c r="G8" s="14"/>
      <c r="H8" s="14"/>
      <c r="I8" s="15"/>
      <c r="J8" s="25"/>
      <c r="K8" s="25"/>
      <c r="L8" s="25"/>
      <c r="M8" s="25"/>
      <c r="N8" s="30"/>
    </row>
    <row r="9" spans="1:14">
      <c r="A9" s="32" t="s">
        <v>10</v>
      </c>
      <c r="B9" s="33" t="s">
        <v>11</v>
      </c>
      <c r="C9" s="14" t="s">
        <v>12</v>
      </c>
      <c r="D9" s="14"/>
      <c r="E9" s="14"/>
      <c r="F9" s="14"/>
      <c r="G9" s="14"/>
      <c r="H9" s="14"/>
      <c r="I9" s="15"/>
      <c r="J9" s="17"/>
      <c r="K9" s="17"/>
      <c r="L9" s="17"/>
      <c r="M9" s="17"/>
      <c r="N9" s="18"/>
    </row>
    <row r="10" spans="1:14">
      <c r="B10" s="34"/>
      <c r="C10" s="35"/>
      <c r="D10" s="36" t="s">
        <v>14</v>
      </c>
      <c r="E10" s="14"/>
      <c r="F10" s="14"/>
      <c r="G10" s="14"/>
      <c r="H10" s="14"/>
      <c r="I10" s="35"/>
      <c r="J10" s="35"/>
      <c r="K10" s="17"/>
      <c r="L10" s="35"/>
      <c r="M10" s="35"/>
      <c r="N10" s="37"/>
    </row>
    <row r="11" spans="1:14">
      <c r="A11" s="1" t="s">
        <v>17</v>
      </c>
      <c r="B11" s="34" t="s">
        <v>18</v>
      </c>
      <c r="C11" s="35"/>
      <c r="D11" s="44" t="s">
        <v>19</v>
      </c>
      <c r="E11" s="35"/>
      <c r="F11" s="263">
        <v>18538423</v>
      </c>
      <c r="G11" s="263"/>
      <c r="H11" s="45"/>
      <c r="I11" s="36"/>
      <c r="J11" s="228">
        <v>16973774</v>
      </c>
      <c r="K11" s="229"/>
      <c r="L11" s="228">
        <v>0</v>
      </c>
      <c r="M11" s="228">
        <f>ROUND(L11,0)+ROUND(J11,0)</f>
        <v>16973774</v>
      </c>
      <c r="N11" s="46"/>
    </row>
    <row r="12" spans="1:14">
      <c r="A12" s="1" t="s">
        <v>20</v>
      </c>
      <c r="B12" s="34" t="s">
        <v>21</v>
      </c>
      <c r="C12" s="35"/>
      <c r="D12" s="36" t="s">
        <v>22</v>
      </c>
      <c r="E12" s="14"/>
      <c r="F12" s="48"/>
      <c r="G12" s="49"/>
      <c r="H12" s="15"/>
      <c r="I12" s="35"/>
      <c r="J12" s="50">
        <v>4187452</v>
      </c>
      <c r="K12" s="230"/>
      <c r="L12" s="50">
        <v>0</v>
      </c>
      <c r="M12" s="50">
        <f>ROUND(L12,0)+ROUND(J12,0)</f>
        <v>4187452</v>
      </c>
      <c r="N12" s="51"/>
    </row>
    <row r="13" spans="1:14">
      <c r="A13" s="1" t="s">
        <v>23</v>
      </c>
      <c r="B13" s="34" t="s">
        <v>21</v>
      </c>
      <c r="C13" s="35"/>
      <c r="D13" s="36" t="s">
        <v>24</v>
      </c>
      <c r="E13" s="14"/>
      <c r="F13" s="48"/>
      <c r="G13" s="48"/>
      <c r="H13" s="14"/>
      <c r="I13" s="35"/>
      <c r="J13" s="50">
        <v>608492</v>
      </c>
      <c r="K13" s="230"/>
      <c r="L13" s="50">
        <v>357357</v>
      </c>
      <c r="M13" s="50">
        <f>ROUND(L13,0)+ROUND(J13,0)</f>
        <v>965849</v>
      </c>
      <c r="N13" s="51"/>
    </row>
    <row r="14" spans="1:14">
      <c r="A14" s="1" t="s">
        <v>25</v>
      </c>
      <c r="B14" s="34" t="s">
        <v>21</v>
      </c>
      <c r="C14" s="35"/>
      <c r="D14" s="36" t="s">
        <v>26</v>
      </c>
      <c r="E14" s="14"/>
      <c r="F14" s="48"/>
      <c r="G14" s="48"/>
      <c r="H14" s="14"/>
      <c r="I14" s="35"/>
      <c r="J14" s="50">
        <v>434756</v>
      </c>
      <c r="K14" s="230"/>
      <c r="L14" s="50">
        <v>0</v>
      </c>
      <c r="M14" s="50">
        <f>ROUND(L14,0)+ROUND(J14,0)</f>
        <v>434756</v>
      </c>
      <c r="N14" s="51"/>
    </row>
    <row r="15" spans="1:14">
      <c r="A15" s="1" t="s">
        <v>27</v>
      </c>
      <c r="B15" s="34" t="s">
        <v>18</v>
      </c>
      <c r="C15" s="35"/>
      <c r="D15" s="36" t="s">
        <v>28</v>
      </c>
      <c r="E15" s="14"/>
      <c r="F15" s="48"/>
      <c r="G15" s="48"/>
      <c r="H15" s="35"/>
      <c r="I15" s="35"/>
      <c r="J15" s="50">
        <v>61353</v>
      </c>
      <c r="K15" s="230"/>
      <c r="L15" s="50">
        <v>0</v>
      </c>
      <c r="M15" s="50">
        <f>ROUND(L15,0)+ROUND(J15,0)</f>
        <v>61353</v>
      </c>
      <c r="N15" s="51"/>
    </row>
    <row r="16" spans="1:14">
      <c r="A16" s="52"/>
      <c r="B16" s="53"/>
      <c r="C16" s="35"/>
      <c r="D16" s="36" t="s">
        <v>29</v>
      </c>
      <c r="E16" s="14"/>
      <c r="F16" s="54"/>
      <c r="G16" s="49"/>
      <c r="H16" s="55"/>
      <c r="I16" s="35"/>
      <c r="J16" s="35"/>
      <c r="K16" s="230"/>
      <c r="L16" s="35"/>
      <c r="M16" s="35"/>
      <c r="N16" s="37"/>
    </row>
    <row r="17" spans="1:14">
      <c r="A17" s="52" t="s">
        <v>30</v>
      </c>
      <c r="B17" s="53" t="s">
        <v>18</v>
      </c>
      <c r="C17" s="35"/>
      <c r="D17" s="44" t="s">
        <v>19</v>
      </c>
      <c r="E17" s="35"/>
      <c r="F17" s="263">
        <v>0</v>
      </c>
      <c r="G17" s="263"/>
      <c r="H17" s="55"/>
      <c r="I17" s="35"/>
      <c r="J17" s="50">
        <v>2607908</v>
      </c>
      <c r="K17" s="230"/>
      <c r="L17" s="50">
        <v>0</v>
      </c>
      <c r="M17" s="50">
        <f>ROUND(L17,0)+ROUND(J17,0)</f>
        <v>2607908</v>
      </c>
      <c r="N17" s="51"/>
    </row>
    <row r="18" spans="1:14">
      <c r="A18" s="52" t="s">
        <v>31</v>
      </c>
      <c r="B18" s="56" t="s">
        <v>32</v>
      </c>
      <c r="C18" s="35"/>
      <c r="D18" s="57" t="s">
        <v>33</v>
      </c>
      <c r="E18" s="14"/>
      <c r="F18" s="14"/>
      <c r="G18" s="14"/>
      <c r="H18" s="14"/>
      <c r="I18" s="36"/>
      <c r="J18" s="58">
        <v>2435239</v>
      </c>
      <c r="K18" s="230"/>
      <c r="L18" s="58">
        <v>664829</v>
      </c>
      <c r="M18" s="58">
        <f>ROUND(L18,0)+ROUND(J18,0)</f>
        <v>3100068</v>
      </c>
      <c r="N18" s="51"/>
    </row>
    <row r="19" spans="1:14">
      <c r="A19" s="52"/>
      <c r="B19" s="56"/>
      <c r="C19" s="36"/>
      <c r="D19" s="36"/>
      <c r="E19" s="36"/>
      <c r="F19" s="36"/>
      <c r="G19" s="36"/>
      <c r="H19" s="59"/>
      <c r="I19" s="59"/>
      <c r="J19" s="59"/>
      <c r="K19" s="60"/>
      <c r="L19" s="60"/>
      <c r="M19" s="60"/>
      <c r="N19" s="61"/>
    </row>
    <row r="20" spans="1:14">
      <c r="A20" s="52" t="s">
        <v>34</v>
      </c>
      <c r="B20" s="56"/>
      <c r="C20" s="35"/>
      <c r="D20" s="65" t="s">
        <v>35</v>
      </c>
      <c r="E20" s="35"/>
      <c r="F20" s="14"/>
      <c r="G20" s="14"/>
      <c r="H20" s="14"/>
      <c r="I20" s="15"/>
      <c r="J20" s="66">
        <f t="array" ref="J20">SUM(ROUND(J11:J18,0))</f>
        <v>27308974</v>
      </c>
      <c r="K20" s="67"/>
      <c r="L20" s="66">
        <f t="array" ref="L20">SUM(ROUND(L11:L18,0))</f>
        <v>1022186</v>
      </c>
      <c r="M20" s="66">
        <f t="array" ref="M20">SUM(ROUND(M11:M18,0))</f>
        <v>28331160</v>
      </c>
      <c r="N20" s="68"/>
    </row>
    <row r="21" spans="1:14">
      <c r="A21" s="52"/>
      <c r="B21" s="56"/>
      <c r="C21" s="14"/>
      <c r="D21" s="14"/>
      <c r="E21" s="14"/>
      <c r="F21" s="14"/>
      <c r="G21" s="14"/>
      <c r="H21" s="14"/>
      <c r="I21" s="15"/>
      <c r="J21" s="17"/>
      <c r="K21" s="17"/>
      <c r="L21" s="17"/>
      <c r="M21" s="17"/>
      <c r="N21" s="18"/>
    </row>
    <row r="22" spans="1:14">
      <c r="A22" s="70"/>
      <c r="B22" s="71"/>
      <c r="C22" s="29" t="s">
        <v>36</v>
      </c>
      <c r="D22" s="14"/>
      <c r="E22" s="14"/>
      <c r="F22" s="14"/>
      <c r="G22" s="14"/>
      <c r="H22" s="14"/>
      <c r="I22" s="15"/>
      <c r="J22" s="16"/>
      <c r="K22" s="17"/>
      <c r="L22" s="16"/>
      <c r="M22" s="16"/>
      <c r="N22" s="18"/>
    </row>
    <row r="23" spans="1:14">
      <c r="A23" s="52"/>
      <c r="B23" s="53"/>
      <c r="C23" s="14" t="s">
        <v>37</v>
      </c>
      <c r="D23" s="14"/>
      <c r="E23" s="14"/>
      <c r="F23" s="14"/>
      <c r="G23" s="35"/>
      <c r="H23" s="14"/>
      <c r="I23" s="15"/>
      <c r="J23" s="16"/>
      <c r="K23" s="17"/>
      <c r="L23" s="16"/>
      <c r="M23" s="16"/>
      <c r="N23" s="18"/>
    </row>
    <row r="24" spans="1:14">
      <c r="A24" s="12" t="s">
        <v>38</v>
      </c>
      <c r="B24" s="72" t="s">
        <v>39</v>
      </c>
      <c r="C24" s="44"/>
      <c r="D24" s="36" t="s">
        <v>40</v>
      </c>
      <c r="E24" s="14"/>
      <c r="F24" s="14"/>
      <c r="G24" s="35"/>
      <c r="H24" s="14"/>
      <c r="I24" s="15"/>
      <c r="J24" s="50">
        <v>70029742</v>
      </c>
      <c r="K24" s="230"/>
      <c r="L24" s="50">
        <v>327651</v>
      </c>
      <c r="M24" s="50">
        <f t="shared" ref="M24:M30" si="0">ROUND(L24,0)+ROUND(J24,0)</f>
        <v>70357393</v>
      </c>
      <c r="N24" s="51"/>
    </row>
    <row r="25" spans="1:14">
      <c r="A25" s="1" t="s">
        <v>41</v>
      </c>
      <c r="B25" s="72" t="s">
        <v>39</v>
      </c>
      <c r="C25" s="44"/>
      <c r="D25" s="36" t="s">
        <v>42</v>
      </c>
      <c r="E25" s="14"/>
      <c r="F25" s="14"/>
      <c r="G25" s="35"/>
      <c r="H25" s="14"/>
      <c r="I25" s="15"/>
      <c r="J25" s="50">
        <v>15750306</v>
      </c>
      <c r="K25" s="230"/>
      <c r="L25" s="50">
        <v>831977</v>
      </c>
      <c r="M25" s="50">
        <f t="shared" si="0"/>
        <v>16582283</v>
      </c>
      <c r="N25" s="51"/>
    </row>
    <row r="26" spans="1:14">
      <c r="A26" s="12" t="s">
        <v>43</v>
      </c>
      <c r="B26" s="34" t="s">
        <v>39</v>
      </c>
      <c r="C26" s="44"/>
      <c r="D26" s="36" t="s">
        <v>44</v>
      </c>
      <c r="E26" s="14"/>
      <c r="F26" s="14"/>
      <c r="G26" s="35"/>
      <c r="H26" s="14"/>
      <c r="I26" s="15"/>
      <c r="J26" s="50">
        <v>4272063</v>
      </c>
      <c r="K26" s="230"/>
      <c r="L26" s="50">
        <v>0</v>
      </c>
      <c r="M26" s="50">
        <f t="shared" si="0"/>
        <v>4272063</v>
      </c>
      <c r="N26" s="51"/>
    </row>
    <row r="27" spans="1:14">
      <c r="A27" s="1" t="s">
        <v>45</v>
      </c>
      <c r="B27" s="72" t="s">
        <v>39</v>
      </c>
      <c r="C27" s="44"/>
      <c r="D27" s="36" t="s">
        <v>46</v>
      </c>
      <c r="E27" s="14"/>
      <c r="F27" s="14"/>
      <c r="G27" s="35"/>
      <c r="H27" s="14"/>
      <c r="I27" s="15"/>
      <c r="J27" s="50">
        <v>4778561</v>
      </c>
      <c r="K27" s="230"/>
      <c r="L27" s="50">
        <v>25495</v>
      </c>
      <c r="M27" s="50">
        <f t="shared" si="0"/>
        <v>4804056</v>
      </c>
      <c r="N27" s="51"/>
    </row>
    <row r="28" spans="1:14">
      <c r="A28" s="12" t="s">
        <v>47</v>
      </c>
      <c r="B28" s="34" t="s">
        <v>39</v>
      </c>
      <c r="C28" s="44"/>
      <c r="D28" s="36" t="s">
        <v>48</v>
      </c>
      <c r="E28" s="14"/>
      <c r="F28" s="14"/>
      <c r="G28" s="35"/>
      <c r="H28" s="14"/>
      <c r="I28" s="15"/>
      <c r="J28" s="50">
        <v>5091846</v>
      </c>
      <c r="K28" s="230"/>
      <c r="L28" s="50">
        <v>152984</v>
      </c>
      <c r="M28" s="50">
        <f t="shared" si="0"/>
        <v>5244830</v>
      </c>
      <c r="N28" s="51"/>
    </row>
    <row r="29" spans="1:14">
      <c r="A29" s="1" t="s">
        <v>49</v>
      </c>
      <c r="B29" s="34" t="s">
        <v>39</v>
      </c>
      <c r="C29" s="44"/>
      <c r="D29" s="36" t="s">
        <v>50</v>
      </c>
      <c r="E29" s="14"/>
      <c r="F29" s="14"/>
      <c r="G29" s="35"/>
      <c r="H29" s="14"/>
      <c r="I29" s="15"/>
      <c r="J29" s="50">
        <v>8679372</v>
      </c>
      <c r="K29" s="230"/>
      <c r="L29" s="50">
        <v>456</v>
      </c>
      <c r="M29" s="50">
        <f t="shared" si="0"/>
        <v>8679828</v>
      </c>
      <c r="N29" s="51"/>
    </row>
    <row r="30" spans="1:14">
      <c r="A30" s="12" t="s">
        <v>51</v>
      </c>
      <c r="B30" s="72" t="s">
        <v>52</v>
      </c>
      <c r="C30" s="44"/>
      <c r="D30" s="36" t="s">
        <v>53</v>
      </c>
      <c r="E30" s="14"/>
      <c r="F30" s="14"/>
      <c r="G30" s="35"/>
      <c r="H30" s="14"/>
      <c r="I30" s="15"/>
      <c r="J30" s="231">
        <f>'[9]Accounts by GL'!O481</f>
        <v>7653231.3499999996</v>
      </c>
      <c r="K30" s="230"/>
      <c r="L30" s="58">
        <v>0</v>
      </c>
      <c r="M30" s="58">
        <f t="shared" si="0"/>
        <v>7653231</v>
      </c>
      <c r="N30" s="51"/>
    </row>
    <row r="31" spans="1:14">
      <c r="B31" s="72"/>
      <c r="C31" s="44"/>
      <c r="D31" s="36"/>
      <c r="E31" s="14"/>
      <c r="F31" s="14"/>
      <c r="G31" s="35"/>
      <c r="H31" s="14"/>
      <c r="I31" s="15"/>
      <c r="J31" s="73"/>
      <c r="K31" s="73"/>
      <c r="L31" s="73"/>
      <c r="M31" s="73"/>
      <c r="N31" s="74"/>
    </row>
    <row r="32" spans="1:14">
      <c r="A32" s="1" t="s">
        <v>54</v>
      </c>
      <c r="B32" s="72"/>
      <c r="C32" s="14"/>
      <c r="D32" s="65" t="s">
        <v>55</v>
      </c>
      <c r="E32" s="35"/>
      <c r="F32" s="14"/>
      <c r="G32" s="14"/>
      <c r="H32" s="14"/>
      <c r="I32" s="15"/>
      <c r="J32" s="66">
        <f t="array" ref="J32">SUM(ROUND(J24:J30,0))</f>
        <v>116255121</v>
      </c>
      <c r="K32" s="59"/>
      <c r="L32" s="66">
        <f t="array" ref="L32">SUM(ROUND(L24:L30,0))</f>
        <v>1338563</v>
      </c>
      <c r="M32" s="66">
        <f t="array" ref="M32">SUM(ROUND(M24:M30,0))</f>
        <v>117593684</v>
      </c>
      <c r="N32" s="68"/>
    </row>
    <row r="33" spans="1:14">
      <c r="A33" s="12"/>
      <c r="B33" s="72"/>
      <c r="C33" s="44"/>
      <c r="D33" s="76"/>
      <c r="E33" s="14"/>
      <c r="F33" s="14"/>
      <c r="G33" s="35"/>
      <c r="H33" s="14"/>
      <c r="I33" s="15"/>
      <c r="J33" s="59"/>
      <c r="K33" s="59"/>
      <c r="L33" s="59"/>
      <c r="M33" s="59"/>
      <c r="N33" s="77"/>
    </row>
    <row r="34" spans="1:14">
      <c r="B34" s="72"/>
      <c r="C34" s="14"/>
      <c r="D34" s="65" t="str">
        <f>IF(J34&lt;0,IF(L34&gt;0,"Operating Income (Loss)","Operating Loss"),IF(J34&gt;0,IF(L34&gt;=0,"Operating Income","Operating Income (Loss)"),IF(L34&lt;0,"Operating Loss",IF(L34&gt;0,"Operating Income","Operating Income (Loss)"))))</f>
        <v>Operating Loss</v>
      </c>
      <c r="E34" s="35"/>
      <c r="F34" s="14"/>
      <c r="G34" s="14"/>
      <c r="H34" s="14"/>
      <c r="I34" s="15"/>
      <c r="J34" s="66">
        <f>J20-J32</f>
        <v>-88946147</v>
      </c>
      <c r="K34" s="67"/>
      <c r="L34" s="66">
        <f>L20-L32</f>
        <v>-316377</v>
      </c>
      <c r="M34" s="66">
        <f>M20-M32</f>
        <v>-89262524</v>
      </c>
      <c r="N34" s="68"/>
    </row>
    <row r="35" spans="1:14">
      <c r="A35" s="12"/>
      <c r="B35" s="72"/>
      <c r="C35" s="14"/>
      <c r="D35" s="14"/>
      <c r="E35" s="14"/>
      <c r="F35" s="14"/>
      <c r="G35" s="14"/>
      <c r="H35" s="14"/>
      <c r="I35" s="15"/>
      <c r="J35" s="78"/>
      <c r="K35" s="78"/>
      <c r="L35" s="78"/>
      <c r="M35" s="78"/>
      <c r="N35" s="79"/>
    </row>
    <row r="36" spans="1:14">
      <c r="B36" s="72"/>
      <c r="C36" s="29" t="s">
        <v>56</v>
      </c>
      <c r="D36" s="35"/>
      <c r="E36" s="14"/>
      <c r="F36" s="14"/>
      <c r="G36" s="14"/>
      <c r="H36" s="14"/>
      <c r="I36" s="15"/>
      <c r="J36" s="16"/>
      <c r="K36" s="17"/>
      <c r="L36" s="16"/>
      <c r="M36" s="16"/>
      <c r="N36" s="18"/>
    </row>
    <row r="37" spans="1:14">
      <c r="A37" s="12" t="s">
        <v>57</v>
      </c>
      <c r="B37" s="72" t="s">
        <v>58</v>
      </c>
      <c r="C37" s="36" t="s">
        <v>59</v>
      </c>
      <c r="D37" s="35"/>
      <c r="E37" s="14"/>
      <c r="F37" s="14"/>
      <c r="G37" s="35"/>
      <c r="H37" s="14"/>
      <c r="I37" s="15"/>
      <c r="J37" s="80">
        <v>51845714</v>
      </c>
      <c r="K37" s="49"/>
      <c r="L37" s="80">
        <v>0</v>
      </c>
      <c r="M37" s="80">
        <f t="shared" ref="M37:M45" si="1">ROUND(L37,0)+ROUND(J37,0)</f>
        <v>51845714</v>
      </c>
      <c r="N37" s="81"/>
    </row>
    <row r="38" spans="1:14">
      <c r="A38" s="1" t="s">
        <v>60</v>
      </c>
      <c r="B38" s="72" t="s">
        <v>21</v>
      </c>
      <c r="C38" s="36" t="s">
        <v>61</v>
      </c>
      <c r="D38" s="35"/>
      <c r="E38" s="14"/>
      <c r="F38" s="14"/>
      <c r="G38" s="35"/>
      <c r="H38" s="14"/>
      <c r="I38" s="15"/>
      <c r="J38" s="80">
        <v>32117795</v>
      </c>
      <c r="K38" s="49"/>
      <c r="L38" s="80">
        <v>0</v>
      </c>
      <c r="M38" s="80">
        <f t="shared" si="1"/>
        <v>32117795</v>
      </c>
      <c r="N38" s="81"/>
    </row>
    <row r="39" spans="1:14">
      <c r="A39" s="12" t="s">
        <v>62</v>
      </c>
      <c r="B39" s="72" t="s">
        <v>21</v>
      </c>
      <c r="C39" s="36" t="s">
        <v>63</v>
      </c>
      <c r="D39" s="35"/>
      <c r="E39" s="14"/>
      <c r="F39" s="14"/>
      <c r="G39" s="35"/>
      <c r="H39" s="14"/>
      <c r="I39" s="15"/>
      <c r="J39" s="80">
        <v>1657756</v>
      </c>
      <c r="K39" s="49"/>
      <c r="L39" s="80">
        <v>4337193</v>
      </c>
      <c r="M39" s="80">
        <f t="shared" si="1"/>
        <v>5994949</v>
      </c>
      <c r="N39" s="81"/>
    </row>
    <row r="40" spans="1:14">
      <c r="A40" s="1" t="s">
        <v>64</v>
      </c>
      <c r="B40" s="72" t="s">
        <v>65</v>
      </c>
      <c r="C40" s="36" t="s">
        <v>66</v>
      </c>
      <c r="D40" s="35"/>
      <c r="E40" s="14"/>
      <c r="F40" s="14"/>
      <c r="G40" s="35"/>
      <c r="H40" s="14"/>
      <c r="I40" s="15"/>
      <c r="J40" s="80">
        <v>357943</v>
      </c>
      <c r="K40" s="49"/>
      <c r="L40" s="80">
        <v>457754</v>
      </c>
      <c r="M40" s="80">
        <f t="shared" si="1"/>
        <v>815697</v>
      </c>
      <c r="N40" s="81"/>
    </row>
    <row r="41" spans="1:14">
      <c r="A41" s="12" t="s">
        <v>67</v>
      </c>
      <c r="B41" s="72" t="s">
        <v>65</v>
      </c>
      <c r="C41" s="36" t="str">
        <f>IF(J41&lt;0,IF(L41&gt;0,"Net Gain (Loss) on Investments","Net Loss on Investments"),IF(J41&gt;0,IF(L41&gt;=0,"Net Gain on Investments","Net Gain (Loss) on Investments"),IF(L41&lt;0,"Net Loss on Investments",IF(L41&gt;0,"Net Gain on Investments","Net Gain (Loss) on Investments"))))</f>
        <v>Net Gain (Loss) on Investments</v>
      </c>
      <c r="D41" s="35"/>
      <c r="E41" s="14"/>
      <c r="F41" s="14"/>
      <c r="G41" s="35"/>
      <c r="H41" s="14"/>
      <c r="I41" s="15"/>
      <c r="J41" s="80">
        <v>-9231</v>
      </c>
      <c r="K41" s="49"/>
      <c r="L41" s="80">
        <v>611635</v>
      </c>
      <c r="M41" s="80">
        <f t="shared" si="1"/>
        <v>602404</v>
      </c>
      <c r="N41" s="81"/>
    </row>
    <row r="42" spans="1:14">
      <c r="A42" s="1" t="s">
        <v>68</v>
      </c>
      <c r="B42" s="72" t="s">
        <v>32</v>
      </c>
      <c r="C42" s="36" t="s">
        <v>69</v>
      </c>
      <c r="D42" s="35"/>
      <c r="E42" s="14"/>
      <c r="F42" s="14"/>
      <c r="G42" s="35"/>
      <c r="H42" s="14"/>
      <c r="I42" s="15"/>
      <c r="J42" s="80">
        <v>9210</v>
      </c>
      <c r="K42" s="49"/>
      <c r="L42" s="80">
        <v>0</v>
      </c>
      <c r="M42" s="80">
        <f t="shared" si="1"/>
        <v>9210</v>
      </c>
      <c r="N42" s="81"/>
    </row>
    <row r="43" spans="1:14">
      <c r="A43" s="12" t="s">
        <v>70</v>
      </c>
      <c r="B43" s="72" t="s">
        <v>71</v>
      </c>
      <c r="C43" s="36" t="str">
        <f>IF(J43&lt;0,IF(L43&gt;0,"Gain (Loss) on Disposal of Capital Assets","Loss on Disposal of Capital Assets"),IF(J43&gt;0,IF(L43&gt;=0,"Gain on Disposal of Capital Assets","Gain (Loss) on Disposal of Capital Assets"),IF(L43&lt;0,"Loss on Disposal of Capital Assets",IF(L43&gt;0,"Gain on Disposal of Capital Assets","Gain (Loss) on Disposal of Capital Assets"))))</f>
        <v>Gain (Loss) on Disposal of Capital Assets</v>
      </c>
      <c r="D43" s="35"/>
      <c r="E43" s="14"/>
      <c r="F43" s="14"/>
      <c r="G43" s="35"/>
      <c r="H43" s="14"/>
      <c r="I43" s="15"/>
      <c r="J43" s="80">
        <v>0</v>
      </c>
      <c r="K43" s="49"/>
      <c r="L43" s="80">
        <v>0</v>
      </c>
      <c r="M43" s="80">
        <f t="shared" si="1"/>
        <v>0</v>
      </c>
      <c r="N43" s="81"/>
    </row>
    <row r="44" spans="1:14">
      <c r="A44" s="1" t="s">
        <v>72</v>
      </c>
      <c r="B44" s="72" t="s">
        <v>39</v>
      </c>
      <c r="C44" s="36" t="s">
        <v>73</v>
      </c>
      <c r="D44" s="35"/>
      <c r="E44" s="35"/>
      <c r="F44" s="35"/>
      <c r="G44" s="35"/>
      <c r="H44" s="35"/>
      <c r="I44" s="35"/>
      <c r="J44" s="80">
        <v>-628317</v>
      </c>
      <c r="K44" s="49"/>
      <c r="L44" s="80">
        <v>0</v>
      </c>
      <c r="M44" s="80">
        <f t="shared" si="1"/>
        <v>-628317</v>
      </c>
      <c r="N44" s="81"/>
    </row>
    <row r="45" spans="1:14">
      <c r="A45" s="12" t="s">
        <v>74</v>
      </c>
      <c r="B45" s="72" t="s">
        <v>39</v>
      </c>
      <c r="C45" s="36" t="s">
        <v>75</v>
      </c>
      <c r="D45" s="35"/>
      <c r="E45" s="14"/>
      <c r="F45" s="14"/>
      <c r="G45" s="35"/>
      <c r="H45" s="14"/>
      <c r="I45" s="15"/>
      <c r="J45" s="82">
        <v>0</v>
      </c>
      <c r="K45" s="49"/>
      <c r="L45" s="82">
        <v>0</v>
      </c>
      <c r="M45" s="82">
        <f t="shared" si="1"/>
        <v>0</v>
      </c>
      <c r="N45" s="81"/>
    </row>
    <row r="46" spans="1:14">
      <c r="B46" s="72"/>
      <c r="C46" s="35"/>
      <c r="D46" s="35"/>
      <c r="E46" s="35"/>
      <c r="F46" s="35"/>
      <c r="G46" s="35"/>
      <c r="H46" s="35"/>
      <c r="I46" s="35"/>
      <c r="J46" s="83"/>
      <c r="K46" s="84"/>
      <c r="L46" s="83"/>
      <c r="M46" s="83"/>
      <c r="N46" s="85"/>
    </row>
    <row r="47" spans="1:14">
      <c r="A47" s="52" t="s">
        <v>76</v>
      </c>
      <c r="B47" s="53"/>
      <c r="C47" s="29" t="s">
        <v>77</v>
      </c>
      <c r="D47" s="35"/>
      <c r="E47" s="14"/>
      <c r="F47" s="14"/>
      <c r="G47" s="14"/>
      <c r="H47" s="14"/>
      <c r="I47" s="15"/>
      <c r="J47" s="66">
        <f t="array" ref="J47">SUM(ROUND(J37:J45,0))</f>
        <v>85350870</v>
      </c>
      <c r="K47" s="59"/>
      <c r="L47" s="66">
        <f t="array" ref="L47">SUM(ROUND(L37:L45,0))</f>
        <v>5406582</v>
      </c>
      <c r="M47" s="66">
        <f t="array" ref="M47">SUM(ROUND(M37:M45,0))</f>
        <v>90757452</v>
      </c>
      <c r="N47" s="68"/>
    </row>
    <row r="48" spans="1:14">
      <c r="A48" s="52"/>
      <c r="B48" s="53"/>
      <c r="C48" s="86"/>
      <c r="D48" s="87"/>
      <c r="E48" s="15"/>
      <c r="F48" s="15"/>
      <c r="G48" s="15"/>
      <c r="H48" s="15"/>
      <c r="I48" s="15"/>
      <c r="J48" s="59"/>
      <c r="K48" s="59"/>
      <c r="L48" s="59"/>
      <c r="M48" s="59"/>
      <c r="N48" s="77"/>
    </row>
    <row r="49" spans="1:14">
      <c r="A49" s="52"/>
      <c r="B49" s="53"/>
      <c r="C49" s="65" t="str">
        <f>IF(J50&lt;0,IF(L50&gt;0,"Income (Loss) Before Other Revenues,","Loss Before Other Revenues,"),IF(J50&gt;0,IF(L50&gt;=0,"Income Before Other Revenues,","Income (Loss) Before Other Revenues,"),IF(L59&lt;0,"Loss Before Other Revenues,",IF(L59&gt;0,"Income Before Other Revenues,","Income (Loss) Before Other Revenues,"))))</f>
        <v>Income (Loss) Before Other Revenues,</v>
      </c>
      <c r="D49" s="35"/>
      <c r="E49" s="35"/>
      <c r="F49" s="14"/>
      <c r="G49" s="14"/>
      <c r="H49" s="14"/>
      <c r="I49" s="15"/>
      <c r="J49" s="35"/>
      <c r="K49" s="35"/>
      <c r="L49" s="35"/>
      <c r="M49" s="35"/>
      <c r="N49" s="37"/>
    </row>
    <row r="50" spans="1:14">
      <c r="A50" s="52"/>
      <c r="B50" s="53"/>
      <c r="C50" s="14"/>
      <c r="D50" s="29" t="s">
        <v>78</v>
      </c>
      <c r="E50" s="14"/>
      <c r="F50" s="14"/>
      <c r="G50" s="14"/>
      <c r="H50" s="14"/>
      <c r="I50" s="15"/>
      <c r="J50" s="66">
        <f>J34+J47</f>
        <v>-3595277</v>
      </c>
      <c r="K50" s="59"/>
      <c r="L50" s="66">
        <f>L34+L47</f>
        <v>5090205</v>
      </c>
      <c r="M50" s="66">
        <f>M34+M47</f>
        <v>1494928</v>
      </c>
      <c r="N50" s="68"/>
    </row>
    <row r="51" spans="1:14">
      <c r="A51" s="52"/>
      <c r="B51" s="53"/>
      <c r="C51" s="14"/>
      <c r="D51" s="29"/>
      <c r="E51" s="14"/>
      <c r="F51" s="14"/>
      <c r="G51" s="14"/>
      <c r="H51" s="14"/>
      <c r="I51" s="15"/>
      <c r="J51" s="17"/>
      <c r="K51" s="17"/>
      <c r="L51" s="17"/>
      <c r="M51" s="17"/>
      <c r="N51" s="18"/>
    </row>
    <row r="52" spans="1:14">
      <c r="A52" s="52" t="s">
        <v>79</v>
      </c>
      <c r="B52" s="53" t="s">
        <v>58</v>
      </c>
      <c r="C52" s="36" t="s">
        <v>80</v>
      </c>
      <c r="D52" s="35"/>
      <c r="E52" s="14"/>
      <c r="F52" s="14"/>
      <c r="G52" s="14"/>
      <c r="H52" s="35"/>
      <c r="I52" s="15"/>
      <c r="J52" s="80">
        <v>13060418</v>
      </c>
      <c r="K52" s="49"/>
      <c r="L52" s="80">
        <v>0</v>
      </c>
      <c r="M52" s="80">
        <f>ROUND(L52,0)+ROUND(J52,0)</f>
        <v>13060418</v>
      </c>
      <c r="N52" s="81"/>
    </row>
    <row r="53" spans="1:14">
      <c r="A53" s="52" t="s">
        <v>81</v>
      </c>
      <c r="B53" s="53" t="s">
        <v>82</v>
      </c>
      <c r="C53" s="36" t="s">
        <v>83</v>
      </c>
      <c r="D53" s="35"/>
      <c r="E53" s="14"/>
      <c r="F53" s="14"/>
      <c r="G53" s="14"/>
      <c r="H53" s="35"/>
      <c r="I53" s="15"/>
      <c r="J53" s="50">
        <v>4051771</v>
      </c>
      <c r="K53" s="230"/>
      <c r="L53" s="50">
        <v>0</v>
      </c>
      <c r="M53" s="50">
        <f>ROUND(L53,0)+ROUND(J53,0)</f>
        <v>4051771</v>
      </c>
      <c r="N53" s="51"/>
    </row>
    <row r="54" spans="1:14">
      <c r="A54" s="52" t="s">
        <v>84</v>
      </c>
      <c r="B54" s="53" t="s">
        <v>85</v>
      </c>
      <c r="C54" s="14" t="s">
        <v>86</v>
      </c>
      <c r="D54" s="35"/>
      <c r="E54" s="14"/>
      <c r="F54" s="14"/>
      <c r="G54" s="14"/>
      <c r="H54" s="35"/>
      <c r="I54" s="15"/>
      <c r="J54" s="89">
        <v>0</v>
      </c>
      <c r="K54" s="230"/>
      <c r="L54" s="89">
        <v>0</v>
      </c>
      <c r="M54" s="89">
        <f>ROUND(L54,0)+ROUND(J54,0)</f>
        <v>0</v>
      </c>
      <c r="N54" s="51"/>
    </row>
    <row r="55" spans="1:14">
      <c r="A55" s="52" t="s">
        <v>87</v>
      </c>
      <c r="B55" s="53" t="s">
        <v>85</v>
      </c>
      <c r="C55" s="76" t="str">
        <f>IF(J55&lt;0,IF(L55&gt;0,"Other Revenues (Expenses)","Other Expenses"),IF(J55&gt;0,IF(L55&gt;=0,"Other Revenues","Other Revenues (Expenses)"),IF(L55&lt;0,"Other Expenses",IF(L55&gt;0,"Other Revenues","Other Revenues (Expenses)"))))</f>
        <v>Other Revenues (Expenses)</v>
      </c>
      <c r="D55" s="35"/>
      <c r="E55" s="14"/>
      <c r="F55" s="14"/>
      <c r="G55" s="14"/>
      <c r="H55" s="35"/>
      <c r="I55" s="15"/>
      <c r="J55" s="58">
        <v>0</v>
      </c>
      <c r="K55" s="230"/>
      <c r="L55" s="58">
        <v>0</v>
      </c>
      <c r="M55" s="58">
        <f>ROUND(L55,0)+ROUND(J55,0)</f>
        <v>0</v>
      </c>
      <c r="N55" s="51"/>
    </row>
    <row r="56" spans="1:14">
      <c r="A56" s="52"/>
      <c r="B56" s="53"/>
      <c r="C56" s="35"/>
      <c r="D56" s="35"/>
      <c r="E56" s="14"/>
      <c r="F56" s="14"/>
      <c r="G56" s="14"/>
      <c r="H56" s="14"/>
      <c r="I56" s="15"/>
      <c r="J56" s="83"/>
      <c r="K56" s="84"/>
      <c r="L56" s="83"/>
      <c r="M56" s="83"/>
      <c r="N56" s="85"/>
    </row>
    <row r="57" spans="1:14">
      <c r="A57" s="70" t="s">
        <v>88</v>
      </c>
      <c r="B57" s="53"/>
      <c r="C57" s="29" t="s">
        <v>89</v>
      </c>
      <c r="D57" s="35"/>
      <c r="E57" s="35"/>
      <c r="F57" s="14"/>
      <c r="G57" s="14"/>
      <c r="H57" s="14"/>
      <c r="I57" s="15"/>
      <c r="J57" s="90">
        <f t="array" ref="J57">SUM(ROUND(J52:J55,0))</f>
        <v>17112189</v>
      </c>
      <c r="K57" s="59"/>
      <c r="L57" s="90">
        <f t="array" ref="L57">SUM(ROUND(L52:L55,0))</f>
        <v>0</v>
      </c>
      <c r="M57" s="90">
        <f t="array" ref="M57">SUM(ROUND(M52:M55,0))</f>
        <v>17112189</v>
      </c>
      <c r="N57" s="91"/>
    </row>
    <row r="58" spans="1:14">
      <c r="A58" s="52"/>
      <c r="B58" s="53"/>
      <c r="C58" s="29"/>
      <c r="D58" s="35"/>
      <c r="E58" s="35"/>
      <c r="F58" s="14"/>
      <c r="G58" s="14"/>
      <c r="H58" s="14"/>
      <c r="I58" s="15"/>
      <c r="J58" s="59"/>
      <c r="K58" s="59"/>
      <c r="L58" s="59"/>
      <c r="M58" s="59"/>
      <c r="N58" s="77"/>
    </row>
    <row r="59" spans="1:14">
      <c r="A59" s="70"/>
      <c r="B59" s="53"/>
      <c r="C59" s="65" t="str">
        <f>IF(J59&lt;0,IF(L59&gt;0,"Increase (Decrease) in Net Position","Decrease in Net Position"),IF(J59&gt;0,IF(L59&gt;=0,"Increase in Net Position","Increase (Decrease) in Net Position"),IF(L59&lt;0,"Decrease in Net Position",IF(L59&gt;0,"Increase in Net Position","Increase (Decrease) in Net Position"))))</f>
        <v>Increase in Net Position</v>
      </c>
      <c r="D59" s="35"/>
      <c r="E59" s="35"/>
      <c r="F59" s="14"/>
      <c r="G59" s="14"/>
      <c r="H59" s="14"/>
      <c r="I59" s="15"/>
      <c r="J59" s="90">
        <f>J50+J57</f>
        <v>13516912</v>
      </c>
      <c r="K59" s="92"/>
      <c r="L59" s="90">
        <f>L50+L57</f>
        <v>5090205</v>
      </c>
      <c r="M59" s="90">
        <f>M50+M57</f>
        <v>18607117</v>
      </c>
      <c r="N59" s="91"/>
    </row>
    <row r="60" spans="1:14">
      <c r="A60" s="52"/>
      <c r="B60" s="53"/>
      <c r="C60" s="93"/>
      <c r="D60" s="35"/>
      <c r="E60" s="35"/>
      <c r="F60" s="14"/>
      <c r="G60" s="14"/>
      <c r="H60" s="14"/>
      <c r="I60" s="15"/>
      <c r="J60" s="94"/>
      <c r="K60" s="94"/>
      <c r="L60" s="94"/>
      <c r="M60" s="94"/>
      <c r="N60" s="95"/>
    </row>
    <row r="61" spans="1:14">
      <c r="A61" s="52" t="s">
        <v>90</v>
      </c>
      <c r="B61" s="53"/>
      <c r="C61" s="14" t="s">
        <v>91</v>
      </c>
      <c r="D61" s="35"/>
      <c r="E61" s="14"/>
      <c r="F61" s="14"/>
      <c r="G61" s="14"/>
      <c r="H61" s="14"/>
      <c r="I61" s="15"/>
      <c r="J61" s="96">
        <f>VLOOKUP($C$1,[9]VLOOKUPS!A44:D71,2,FALSE)</f>
        <v>185737997</v>
      </c>
      <c r="K61" s="49"/>
      <c r="L61" s="96">
        <f>VLOOKUP($C$1,[9]VLOOKUPS!A44:D71,3,FALSE)</f>
        <v>19861695</v>
      </c>
      <c r="M61" s="89">
        <f>ROUND(L61,0)+ROUND(J61,0)</f>
        <v>205599692</v>
      </c>
      <c r="N61" s="97"/>
    </row>
    <row r="62" spans="1:14">
      <c r="A62" s="52" t="s">
        <v>92</v>
      </c>
      <c r="B62" s="53" t="s">
        <v>93</v>
      </c>
      <c r="C62" s="14" t="s">
        <v>94</v>
      </c>
      <c r="D62" s="35"/>
      <c r="E62" s="14"/>
      <c r="F62" s="14"/>
      <c r="G62" s="14"/>
      <c r="H62" s="14"/>
      <c r="I62" s="15"/>
      <c r="J62" s="82">
        <f>+-16792418-13033594</f>
        <v>-29826012</v>
      </c>
      <c r="K62" s="49"/>
      <c r="L62" s="82">
        <v>0</v>
      </c>
      <c r="M62" s="82">
        <f>ROUND(L62,0)+ROUND(J62,0)</f>
        <v>-29826012</v>
      </c>
      <c r="N62" s="81"/>
    </row>
    <row r="63" spans="1:14">
      <c r="A63" s="52"/>
      <c r="B63" s="53"/>
      <c r="C63" s="36"/>
      <c r="D63" s="36"/>
      <c r="E63" s="36"/>
      <c r="F63" s="36"/>
      <c r="G63" s="36"/>
      <c r="H63" s="98"/>
      <c r="I63" s="36"/>
      <c r="J63" s="92"/>
      <c r="K63" s="99"/>
      <c r="L63" s="99"/>
      <c r="M63" s="99"/>
      <c r="N63" s="100"/>
    </row>
    <row r="64" spans="1:14">
      <c r="A64" s="70"/>
      <c r="B64" s="53"/>
      <c r="C64" s="101" t="s">
        <v>95</v>
      </c>
      <c r="D64" s="36"/>
      <c r="E64" s="36"/>
      <c r="F64" s="36"/>
      <c r="G64" s="36"/>
      <c r="H64" s="60"/>
      <c r="I64" s="60"/>
      <c r="J64" s="90">
        <f t="array" ref="J64">SUM(ROUND(J61:J62,0))</f>
        <v>155911985</v>
      </c>
      <c r="K64" s="92"/>
      <c r="L64" s="90">
        <f t="array" ref="L64">SUM(ROUND(L61:L62,0))</f>
        <v>19861695</v>
      </c>
      <c r="M64" s="90">
        <f t="array" ref="M64">SUM(ROUND(M61:M62,0))</f>
        <v>175773680</v>
      </c>
      <c r="N64" s="91"/>
    </row>
    <row r="65" spans="1:14">
      <c r="A65" s="52"/>
      <c r="B65" s="53"/>
      <c r="C65" s="36"/>
      <c r="D65" s="36"/>
      <c r="E65" s="36"/>
      <c r="F65" s="36"/>
      <c r="G65" s="36"/>
      <c r="H65" s="102"/>
      <c r="I65" s="36"/>
      <c r="J65" s="102"/>
      <c r="K65" s="60"/>
      <c r="L65" s="60"/>
      <c r="M65" s="60"/>
      <c r="N65" s="61"/>
    </row>
    <row r="66" spans="1:14" ht="13.5" thickBot="1">
      <c r="A66" s="52"/>
      <c r="B66" s="53"/>
      <c r="C66" s="29" t="s">
        <v>96</v>
      </c>
      <c r="D66" s="35"/>
      <c r="E66" s="14"/>
      <c r="F66" s="14"/>
      <c r="G66" s="14"/>
      <c r="H66" s="14"/>
      <c r="I66" s="103"/>
      <c r="J66" s="104">
        <f>J59+J64</f>
        <v>169428897</v>
      </c>
      <c r="K66" s="105"/>
      <c r="L66" s="104">
        <f>L59+L64</f>
        <v>24951900</v>
      </c>
      <c r="M66" s="104">
        <f>M59+M64</f>
        <v>194380797</v>
      </c>
      <c r="N66" s="46"/>
    </row>
    <row r="67" spans="1:14" ht="13.5" thickTop="1">
      <c r="A67" s="70"/>
      <c r="B67" s="53"/>
      <c r="C67" s="14"/>
      <c r="D67" s="14"/>
      <c r="E67" s="14"/>
      <c r="F67" s="14"/>
      <c r="G67" s="14"/>
      <c r="H67" s="14"/>
      <c r="I67" s="15"/>
      <c r="J67" s="107"/>
      <c r="K67" s="15"/>
      <c r="L67" s="107"/>
      <c r="M67" s="107"/>
      <c r="N67" s="108"/>
    </row>
    <row r="68" spans="1:14">
      <c r="A68" s="52"/>
      <c r="B68" s="53"/>
      <c r="C68" s="35" t="s">
        <v>97</v>
      </c>
      <c r="D68" s="35"/>
      <c r="E68" s="35"/>
      <c r="F68" s="35"/>
      <c r="G68" s="35"/>
      <c r="H68" s="35"/>
      <c r="I68" s="87"/>
      <c r="J68" s="35"/>
      <c r="K68" s="87"/>
      <c r="L68" s="35"/>
      <c r="M68" s="35"/>
      <c r="N68" s="37"/>
    </row>
    <row r="69" spans="1:14">
      <c r="B69" s="72"/>
      <c r="I69" s="6"/>
      <c r="J69" s="109">
        <f>J66-[9]SNP!K119</f>
        <v>0</v>
      </c>
      <c r="K69" s="110"/>
      <c r="L69" s="111">
        <f>L66-[9]SNP!M119</f>
        <v>0</v>
      </c>
      <c r="M69" s="111">
        <f>M66-[9]SNP!N119</f>
        <v>0</v>
      </c>
      <c r="N69" s="112"/>
    </row>
    <row r="70" spans="1:14">
      <c r="B70" s="72"/>
      <c r="I70" s="113" t="s">
        <v>98</v>
      </c>
      <c r="J70" s="114"/>
      <c r="K70" s="115"/>
      <c r="L70" s="114"/>
      <c r="M70" s="114"/>
      <c r="N70" s="114"/>
    </row>
  </sheetData>
  <sheetProtection formatColumns="0" formatRows="0"/>
  <conditionalFormatting sqref="J69 L69">
    <cfRule type="cellIs" dxfId="348" priority="14" operator="notEqual">
      <formula>0</formula>
    </cfRule>
    <cfRule type="cellIs" dxfId="347" priority="15" operator="equal">
      <formula>0</formula>
    </cfRule>
  </conditionalFormatting>
  <conditionalFormatting sqref="J11:J15 F11:G11 L24:L30 L37:L45 J37:J45 L62 J62 L17:L18 J25:J29 J17:J18 F17:G17 L11:L15 L52:L55 J52:J55">
    <cfRule type="containsBlanks" dxfId="346" priority="12">
      <formula>LEN(TRIM(F11))=0</formula>
    </cfRule>
    <cfRule type="cellIs" dxfId="345" priority="13" operator="notEqual">
      <formula>0</formula>
    </cfRule>
  </conditionalFormatting>
  <conditionalFormatting sqref="J11">
    <cfRule type="cellIs" dxfId="344" priority="11" operator="notEqual">
      <formula>J20</formula>
    </cfRule>
  </conditionalFormatting>
  <conditionalFormatting sqref="L11">
    <cfRule type="cellIs" dxfId="343" priority="10" operator="notEqual">
      <formula>L20</formula>
    </cfRule>
  </conditionalFormatting>
  <conditionalFormatting sqref="M69">
    <cfRule type="cellIs" dxfId="342" priority="8" operator="notEqual">
      <formula>0</formula>
    </cfRule>
    <cfRule type="cellIs" dxfId="341" priority="9" operator="equal">
      <formula>0</formula>
    </cfRule>
  </conditionalFormatting>
  <conditionalFormatting sqref="M24:M30 M37:M45 M62 M17:M18 M11:M15 M52:M55">
    <cfRule type="containsBlanks" dxfId="340" priority="6">
      <formula>LEN(TRIM(M11))=0</formula>
    </cfRule>
    <cfRule type="cellIs" dxfId="339" priority="7" operator="notEqual">
      <formula>0</formula>
    </cfRule>
  </conditionalFormatting>
  <conditionalFormatting sqref="M11">
    <cfRule type="cellIs" dxfId="338" priority="5" operator="notEqual">
      <formula>M20</formula>
    </cfRule>
  </conditionalFormatting>
  <conditionalFormatting sqref="J24">
    <cfRule type="containsBlanks" dxfId="337" priority="3">
      <formula>LEN(TRIM(J24))=0</formula>
    </cfRule>
    <cfRule type="cellIs" dxfId="336" priority="4" operator="notEqual">
      <formula>0</formula>
    </cfRule>
  </conditionalFormatting>
  <conditionalFormatting sqref="M61">
    <cfRule type="containsBlanks" dxfId="335" priority="1">
      <formula>LEN(TRIM(M61))=0</formula>
    </cfRule>
    <cfRule type="cellIs" dxfId="334" priority="2" operator="notEqual">
      <formula>0</formula>
    </cfRule>
  </conditionalFormatting>
  <printOptions horizontalCentered="1"/>
  <pageMargins left="0.7" right="0.7" top="0.75" bottom="0.75" header="0.5" footer="0.5"/>
  <pageSetup scale="54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  <pageSetUpPr fitToPage="1"/>
  </sheetPr>
  <dimension ref="A1:T70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0" style="1" hidden="1" customWidth="1"/>
    <col min="2" max="2" width="0" style="20" hidden="1" customWidth="1"/>
    <col min="3" max="8" width="11.140625" style="6"/>
    <col min="9" max="9" width="11.140625" style="11"/>
    <col min="10" max="10" width="15" style="6" customWidth="1"/>
    <col min="11" max="11" width="11.140625" style="11"/>
    <col min="12" max="12" width="13.5703125" style="6" customWidth="1"/>
    <col min="13" max="13" width="14.140625" style="6" customWidth="1"/>
    <col min="14" max="14" width="11.140625" style="6"/>
    <col min="15" max="15" width="11.140625" style="10"/>
    <col min="16" max="20" width="11.140625" style="5"/>
    <col min="21" max="16384" width="11.140625" style="6"/>
  </cols>
  <sheetData>
    <row r="1" spans="1:14">
      <c r="B1" s="2"/>
      <c r="C1" s="260" t="str">
        <f>'[10]Contact Information'!$C$5</f>
        <v>FLORIDA SOUTHWESTERN STATE COLLEGE</v>
      </c>
      <c r="D1" s="260"/>
      <c r="E1" s="260"/>
      <c r="F1" s="260"/>
      <c r="G1" s="260"/>
      <c r="H1" s="260"/>
      <c r="I1" s="260"/>
      <c r="J1" s="260"/>
      <c r="K1" s="260"/>
      <c r="L1" s="260"/>
      <c r="M1" s="247"/>
      <c r="N1" s="3"/>
    </row>
    <row r="2" spans="1:14">
      <c r="B2" s="2"/>
      <c r="C2" s="256" t="s">
        <v>0</v>
      </c>
      <c r="D2" s="256"/>
      <c r="E2" s="256"/>
      <c r="F2" s="256"/>
      <c r="G2" s="256"/>
      <c r="H2" s="256"/>
      <c r="I2" s="256"/>
      <c r="J2" s="256"/>
      <c r="K2" s="256"/>
      <c r="L2" s="256"/>
      <c r="M2" s="245"/>
      <c r="N2" s="7"/>
    </row>
    <row r="3" spans="1:14">
      <c r="B3" s="2"/>
      <c r="C3" s="86" t="s">
        <v>1</v>
      </c>
      <c r="D3" s="86"/>
      <c r="E3" s="86"/>
      <c r="F3" s="86"/>
      <c r="G3" s="86"/>
      <c r="H3" s="86"/>
      <c r="I3" s="86"/>
      <c r="J3" s="86"/>
      <c r="K3" s="86"/>
      <c r="L3" s="86"/>
      <c r="M3" s="248"/>
      <c r="N3" s="9" t="s">
        <v>2</v>
      </c>
    </row>
    <row r="4" spans="1:14">
      <c r="B4" s="2"/>
      <c r="C4" s="261" t="s">
        <v>297</v>
      </c>
      <c r="D4" s="261"/>
      <c r="E4" s="261"/>
      <c r="F4" s="261"/>
      <c r="G4" s="261"/>
      <c r="H4" s="261"/>
      <c r="I4" s="261"/>
      <c r="J4" s="261"/>
      <c r="K4" s="261"/>
      <c r="L4" s="261"/>
      <c r="M4" s="249"/>
      <c r="N4" s="11" t="str">
        <f>'[10]Contact Information'!$C$3</f>
        <v>2015.v02</v>
      </c>
    </row>
    <row r="5" spans="1:14">
      <c r="A5" s="12"/>
      <c r="B5" s="13"/>
      <c r="C5" s="14"/>
      <c r="D5" s="14"/>
      <c r="E5" s="14"/>
      <c r="F5" s="14"/>
      <c r="G5" s="14"/>
      <c r="H5" s="14"/>
      <c r="I5" s="15"/>
      <c r="J5" s="16"/>
      <c r="K5" s="17"/>
      <c r="L5" s="16"/>
      <c r="M5" s="16"/>
      <c r="N5" s="18"/>
    </row>
    <row r="6" spans="1:14">
      <c r="C6" s="14"/>
      <c r="D6" s="14"/>
      <c r="E6" s="14"/>
      <c r="F6" s="14"/>
      <c r="G6" s="14"/>
      <c r="H6" s="14"/>
      <c r="I6" s="15"/>
      <c r="J6" s="249" t="s">
        <v>5</v>
      </c>
      <c r="K6" s="21"/>
      <c r="L6" s="22" t="s">
        <v>6</v>
      </c>
      <c r="M6" s="22" t="s">
        <v>7</v>
      </c>
      <c r="N6" s="23"/>
    </row>
    <row r="7" spans="1:14">
      <c r="C7" s="14"/>
      <c r="D7" s="14"/>
      <c r="E7" s="14"/>
      <c r="F7" s="14"/>
      <c r="G7" s="14"/>
      <c r="H7" s="14"/>
      <c r="I7" s="15"/>
      <c r="J7" s="24"/>
      <c r="K7" s="25"/>
      <c r="L7" s="26" t="str">
        <f>[10]SNP!$M$9</f>
        <v>Unit</v>
      </c>
      <c r="M7" s="26"/>
      <c r="N7" s="27"/>
    </row>
    <row r="8" spans="1:14">
      <c r="C8" s="29" t="s">
        <v>9</v>
      </c>
      <c r="D8" s="14"/>
      <c r="E8" s="14"/>
      <c r="F8" s="14"/>
      <c r="G8" s="14"/>
      <c r="H8" s="14"/>
      <c r="I8" s="15"/>
      <c r="J8" s="25"/>
      <c r="K8" s="25"/>
      <c r="L8" s="25"/>
      <c r="M8" s="25"/>
      <c r="N8" s="30"/>
    </row>
    <row r="9" spans="1:14">
      <c r="A9" s="32" t="s">
        <v>10</v>
      </c>
      <c r="B9" s="33" t="s">
        <v>11</v>
      </c>
      <c r="C9" s="14" t="s">
        <v>12</v>
      </c>
      <c r="D9" s="14"/>
      <c r="E9" s="14"/>
      <c r="F9" s="14"/>
      <c r="G9" s="14"/>
      <c r="H9" s="14"/>
      <c r="I9" s="15"/>
      <c r="J9" s="17"/>
      <c r="K9" s="17"/>
      <c r="L9" s="17"/>
      <c r="M9" s="17"/>
      <c r="N9" s="18"/>
    </row>
    <row r="10" spans="1:14">
      <c r="B10" s="34"/>
      <c r="C10" s="35"/>
      <c r="D10" s="36" t="s">
        <v>14</v>
      </c>
      <c r="E10" s="14"/>
      <c r="F10" s="14"/>
      <c r="G10" s="14"/>
      <c r="H10" s="14"/>
      <c r="I10" s="35"/>
      <c r="J10" s="35"/>
      <c r="K10" s="17"/>
      <c r="L10" s="35"/>
      <c r="M10" s="35"/>
      <c r="N10" s="37"/>
    </row>
    <row r="11" spans="1:14">
      <c r="A11" s="1" t="s">
        <v>17</v>
      </c>
      <c r="B11" s="34" t="s">
        <v>18</v>
      </c>
      <c r="C11" s="35"/>
      <c r="D11" s="44" t="s">
        <v>19</v>
      </c>
      <c r="E11" s="35"/>
      <c r="F11" s="263">
        <v>15844105</v>
      </c>
      <c r="G11" s="263"/>
      <c r="H11" s="45"/>
      <c r="I11" s="36"/>
      <c r="J11" s="228">
        <v>18551715</v>
      </c>
      <c r="K11" s="229"/>
      <c r="L11" s="228">
        <v>0</v>
      </c>
      <c r="M11" s="228">
        <f>ROUND(L11,0)+ROUND(J11,0)</f>
        <v>18551715</v>
      </c>
      <c r="N11" s="46"/>
    </row>
    <row r="12" spans="1:14">
      <c r="A12" s="1" t="s">
        <v>20</v>
      </c>
      <c r="B12" s="34" t="s">
        <v>21</v>
      </c>
      <c r="C12" s="35"/>
      <c r="D12" s="36" t="s">
        <v>22</v>
      </c>
      <c r="E12" s="14"/>
      <c r="F12" s="48"/>
      <c r="G12" s="49"/>
      <c r="H12" s="15"/>
      <c r="I12" s="35"/>
      <c r="J12" s="50">
        <v>1379952</v>
      </c>
      <c r="K12" s="230"/>
      <c r="L12" s="50">
        <v>0</v>
      </c>
      <c r="M12" s="50">
        <f>ROUND(L12,0)+ROUND(J12,0)</f>
        <v>1379952</v>
      </c>
      <c r="N12" s="51"/>
    </row>
    <row r="13" spans="1:14">
      <c r="A13" s="1" t="s">
        <v>23</v>
      </c>
      <c r="B13" s="34" t="s">
        <v>21</v>
      </c>
      <c r="C13" s="35"/>
      <c r="D13" s="36" t="s">
        <v>24</v>
      </c>
      <c r="E13" s="14"/>
      <c r="F13" s="48"/>
      <c r="G13" s="48"/>
      <c r="H13" s="14"/>
      <c r="I13" s="35"/>
      <c r="J13" s="50">
        <v>0</v>
      </c>
      <c r="K13" s="230"/>
      <c r="L13" s="50">
        <v>0</v>
      </c>
      <c r="M13" s="50">
        <f>ROUND(L13,0)+ROUND(J13,0)</f>
        <v>0</v>
      </c>
      <c r="N13" s="51"/>
    </row>
    <row r="14" spans="1:14">
      <c r="A14" s="1" t="s">
        <v>25</v>
      </c>
      <c r="B14" s="34" t="s">
        <v>21</v>
      </c>
      <c r="C14" s="35"/>
      <c r="D14" s="36" t="s">
        <v>26</v>
      </c>
      <c r="E14" s="14"/>
      <c r="F14" s="48"/>
      <c r="G14" s="48"/>
      <c r="H14" s="14"/>
      <c r="I14" s="35"/>
      <c r="J14" s="50">
        <v>1017992</v>
      </c>
      <c r="K14" s="230"/>
      <c r="L14" s="50">
        <v>5760506</v>
      </c>
      <c r="M14" s="50">
        <f>ROUND(L14,0)+ROUND(J14,0)</f>
        <v>6778498</v>
      </c>
      <c r="N14" s="51"/>
    </row>
    <row r="15" spans="1:14">
      <c r="A15" s="1" t="s">
        <v>27</v>
      </c>
      <c r="B15" s="34" t="s">
        <v>18</v>
      </c>
      <c r="C15" s="35"/>
      <c r="D15" s="36" t="s">
        <v>28</v>
      </c>
      <c r="E15" s="14"/>
      <c r="F15" s="48"/>
      <c r="G15" s="48"/>
      <c r="H15" s="35"/>
      <c r="I15" s="35"/>
      <c r="J15" s="50">
        <v>586341</v>
      </c>
      <c r="K15" s="230"/>
      <c r="L15" s="50">
        <v>0</v>
      </c>
      <c r="M15" s="50">
        <f>ROUND(L15,0)+ROUND(J15,0)</f>
        <v>586341</v>
      </c>
      <c r="N15" s="51"/>
    </row>
    <row r="16" spans="1:14">
      <c r="A16" s="52"/>
      <c r="B16" s="53"/>
      <c r="C16" s="35"/>
      <c r="D16" s="36" t="s">
        <v>29</v>
      </c>
      <c r="E16" s="14"/>
      <c r="F16" s="54"/>
      <c r="G16" s="49"/>
      <c r="H16" s="55"/>
      <c r="I16" s="35"/>
      <c r="J16" s="35"/>
      <c r="K16" s="230"/>
      <c r="L16" s="35"/>
      <c r="M16" s="35"/>
      <c r="N16" s="37"/>
    </row>
    <row r="17" spans="1:14">
      <c r="A17" s="52" t="s">
        <v>30</v>
      </c>
      <c r="B17" s="53" t="s">
        <v>18</v>
      </c>
      <c r="C17" s="35"/>
      <c r="D17" s="44" t="s">
        <v>19</v>
      </c>
      <c r="E17" s="35"/>
      <c r="F17" s="263">
        <v>0</v>
      </c>
      <c r="G17" s="263"/>
      <c r="H17" s="55"/>
      <c r="I17" s="35"/>
      <c r="J17" s="50">
        <v>4085159</v>
      </c>
      <c r="K17" s="230"/>
      <c r="L17" s="50">
        <v>0</v>
      </c>
      <c r="M17" s="50">
        <f>ROUND(L17,0)+ROUND(J17,0)</f>
        <v>4085159</v>
      </c>
      <c r="N17" s="51"/>
    </row>
    <row r="18" spans="1:14">
      <c r="A18" s="52" t="s">
        <v>31</v>
      </c>
      <c r="B18" s="56" t="s">
        <v>32</v>
      </c>
      <c r="C18" s="35"/>
      <c r="D18" s="57" t="s">
        <v>33</v>
      </c>
      <c r="E18" s="14"/>
      <c r="F18" s="14"/>
      <c r="G18" s="14"/>
      <c r="H18" s="14"/>
      <c r="I18" s="36"/>
      <c r="J18" s="58">
        <v>-133541</v>
      </c>
      <c r="K18" s="230"/>
      <c r="L18" s="58">
        <v>26000</v>
      </c>
      <c r="M18" s="58">
        <f>ROUND(L18,0)+ROUND(J18,0)</f>
        <v>-107541</v>
      </c>
      <c r="N18" s="51"/>
    </row>
    <row r="19" spans="1:14">
      <c r="A19" s="52"/>
      <c r="B19" s="56"/>
      <c r="C19" s="36"/>
      <c r="D19" s="36"/>
      <c r="E19" s="36"/>
      <c r="F19" s="36"/>
      <c r="G19" s="36"/>
      <c r="H19" s="59"/>
      <c r="I19" s="59"/>
      <c r="J19" s="59"/>
      <c r="K19" s="60"/>
      <c r="L19" s="60"/>
      <c r="M19" s="60"/>
      <c r="N19" s="61"/>
    </row>
    <row r="20" spans="1:14">
      <c r="A20" s="52" t="s">
        <v>34</v>
      </c>
      <c r="B20" s="56"/>
      <c r="C20" s="35"/>
      <c r="D20" s="65" t="s">
        <v>35</v>
      </c>
      <c r="E20" s="35"/>
      <c r="F20" s="14"/>
      <c r="G20" s="14"/>
      <c r="H20" s="14"/>
      <c r="I20" s="15"/>
      <c r="J20" s="66">
        <f t="array" ref="J20">SUM(ROUND(J11:J18,0))</f>
        <v>25487618</v>
      </c>
      <c r="K20" s="67"/>
      <c r="L20" s="66">
        <f t="array" ref="L20">SUM(ROUND(L11:L18,0))</f>
        <v>5786506</v>
      </c>
      <c r="M20" s="66">
        <f t="array" ref="M20">SUM(ROUND(M11:M18,0))</f>
        <v>31274124</v>
      </c>
      <c r="N20" s="68"/>
    </row>
    <row r="21" spans="1:14">
      <c r="A21" s="52"/>
      <c r="B21" s="56"/>
      <c r="C21" s="14"/>
      <c r="D21" s="14"/>
      <c r="E21" s="14"/>
      <c r="F21" s="14"/>
      <c r="G21" s="14"/>
      <c r="H21" s="14"/>
      <c r="I21" s="15"/>
      <c r="J21" s="17"/>
      <c r="K21" s="17"/>
      <c r="L21" s="17"/>
      <c r="M21" s="17"/>
      <c r="N21" s="18"/>
    </row>
    <row r="22" spans="1:14">
      <c r="A22" s="70"/>
      <c r="B22" s="71"/>
      <c r="C22" s="29" t="s">
        <v>36</v>
      </c>
      <c r="D22" s="14"/>
      <c r="E22" s="14"/>
      <c r="F22" s="14"/>
      <c r="G22" s="14"/>
      <c r="H22" s="14"/>
      <c r="I22" s="15"/>
      <c r="J22" s="16"/>
      <c r="K22" s="17"/>
      <c r="L22" s="16"/>
      <c r="M22" s="16"/>
      <c r="N22" s="18"/>
    </row>
    <row r="23" spans="1:14">
      <c r="A23" s="52"/>
      <c r="B23" s="53"/>
      <c r="C23" s="14" t="s">
        <v>37</v>
      </c>
      <c r="D23" s="14"/>
      <c r="E23" s="14"/>
      <c r="F23" s="14"/>
      <c r="G23" s="35"/>
      <c r="H23" s="14"/>
      <c r="I23" s="15"/>
      <c r="J23" s="16"/>
      <c r="K23" s="17"/>
      <c r="L23" s="16"/>
      <c r="M23" s="16"/>
      <c r="N23" s="18"/>
    </row>
    <row r="24" spans="1:14">
      <c r="A24" s="12" t="s">
        <v>38</v>
      </c>
      <c r="B24" s="72" t="s">
        <v>39</v>
      </c>
      <c r="C24" s="44"/>
      <c r="D24" s="36" t="s">
        <v>40</v>
      </c>
      <c r="E24" s="14"/>
      <c r="F24" s="14"/>
      <c r="G24" s="35"/>
      <c r="H24" s="14"/>
      <c r="I24" s="15"/>
      <c r="J24" s="50">
        <v>55649262.509999998</v>
      </c>
      <c r="K24" s="230"/>
      <c r="L24" s="50">
        <v>0</v>
      </c>
      <c r="M24" s="50">
        <f t="shared" ref="M24:M30" si="0">ROUND(L24,0)+ROUND(J24,0)</f>
        <v>55649263</v>
      </c>
      <c r="N24" s="51"/>
    </row>
    <row r="25" spans="1:14">
      <c r="A25" s="1" t="s">
        <v>41</v>
      </c>
      <c r="B25" s="72" t="s">
        <v>39</v>
      </c>
      <c r="C25" s="44"/>
      <c r="D25" s="36" t="s">
        <v>42</v>
      </c>
      <c r="E25" s="14"/>
      <c r="F25" s="14"/>
      <c r="G25" s="35"/>
      <c r="H25" s="14"/>
      <c r="I25" s="15"/>
      <c r="J25" s="50">
        <v>16104077</v>
      </c>
      <c r="K25" s="230"/>
      <c r="L25" s="50">
        <v>1301906</v>
      </c>
      <c r="M25" s="50">
        <f t="shared" si="0"/>
        <v>17405983</v>
      </c>
      <c r="N25" s="51"/>
    </row>
    <row r="26" spans="1:14">
      <c r="A26" s="12" t="s">
        <v>43</v>
      </c>
      <c r="B26" s="34" t="s">
        <v>39</v>
      </c>
      <c r="C26" s="44"/>
      <c r="D26" s="36" t="s">
        <v>44</v>
      </c>
      <c r="E26" s="14"/>
      <c r="F26" s="14"/>
      <c r="G26" s="35"/>
      <c r="H26" s="14"/>
      <c r="I26" s="15"/>
      <c r="J26" s="50">
        <v>2790480</v>
      </c>
      <c r="K26" s="230"/>
      <c r="L26" s="50">
        <v>0</v>
      </c>
      <c r="M26" s="50">
        <f t="shared" si="0"/>
        <v>2790480</v>
      </c>
      <c r="N26" s="51"/>
    </row>
    <row r="27" spans="1:14">
      <c r="A27" s="1" t="s">
        <v>45</v>
      </c>
      <c r="B27" s="72" t="s">
        <v>39</v>
      </c>
      <c r="C27" s="44"/>
      <c r="D27" s="36" t="s">
        <v>46</v>
      </c>
      <c r="E27" s="14"/>
      <c r="F27" s="14"/>
      <c r="G27" s="35"/>
      <c r="H27" s="14"/>
      <c r="I27" s="15"/>
      <c r="J27" s="50">
        <v>8347041</v>
      </c>
      <c r="K27" s="230"/>
      <c r="L27" s="50">
        <v>675403</v>
      </c>
      <c r="M27" s="50">
        <f t="shared" si="0"/>
        <v>9022444</v>
      </c>
      <c r="N27" s="51"/>
    </row>
    <row r="28" spans="1:14">
      <c r="A28" s="12" t="s">
        <v>47</v>
      </c>
      <c r="B28" s="34" t="s">
        <v>39</v>
      </c>
      <c r="C28" s="44"/>
      <c r="D28" s="36" t="s">
        <v>48</v>
      </c>
      <c r="E28" s="14"/>
      <c r="F28" s="14"/>
      <c r="G28" s="35"/>
      <c r="H28" s="14"/>
      <c r="I28" s="15"/>
      <c r="J28" s="50">
        <v>5534645</v>
      </c>
      <c r="K28" s="230"/>
      <c r="L28" s="50">
        <v>864857</v>
      </c>
      <c r="M28" s="50">
        <f t="shared" si="0"/>
        <v>6399502</v>
      </c>
      <c r="N28" s="51"/>
    </row>
    <row r="29" spans="1:14">
      <c r="A29" s="1" t="s">
        <v>49</v>
      </c>
      <c r="B29" s="34" t="s">
        <v>39</v>
      </c>
      <c r="C29" s="44"/>
      <c r="D29" s="36" t="s">
        <v>50</v>
      </c>
      <c r="E29" s="14"/>
      <c r="F29" s="14"/>
      <c r="G29" s="35"/>
      <c r="H29" s="14"/>
      <c r="I29" s="15"/>
      <c r="J29" s="50">
        <v>4249388</v>
      </c>
      <c r="K29" s="230"/>
      <c r="L29" s="50">
        <v>0</v>
      </c>
      <c r="M29" s="50">
        <f t="shared" si="0"/>
        <v>4249388</v>
      </c>
      <c r="N29" s="51"/>
    </row>
    <row r="30" spans="1:14">
      <c r="A30" s="12" t="s">
        <v>51</v>
      </c>
      <c r="B30" s="72" t="s">
        <v>52</v>
      </c>
      <c r="C30" s="44"/>
      <c r="D30" s="36" t="s">
        <v>53</v>
      </c>
      <c r="E30" s="14"/>
      <c r="F30" s="14"/>
      <c r="G30" s="35"/>
      <c r="H30" s="14"/>
      <c r="I30" s="15"/>
      <c r="J30" s="231">
        <f>'[10]Accounts by GL'!O481</f>
        <v>6155538.9700000007</v>
      </c>
      <c r="K30" s="230"/>
      <c r="L30" s="58">
        <v>0</v>
      </c>
      <c r="M30" s="58">
        <f t="shared" si="0"/>
        <v>6155539</v>
      </c>
      <c r="N30" s="51"/>
    </row>
    <row r="31" spans="1:14">
      <c r="B31" s="72"/>
      <c r="C31" s="44"/>
      <c r="D31" s="36"/>
      <c r="E31" s="14"/>
      <c r="F31" s="14"/>
      <c r="G31" s="35"/>
      <c r="H31" s="14"/>
      <c r="I31" s="15"/>
      <c r="J31" s="73"/>
      <c r="K31" s="73"/>
      <c r="L31" s="73"/>
      <c r="M31" s="73"/>
      <c r="N31" s="74"/>
    </row>
    <row r="32" spans="1:14">
      <c r="A32" s="1" t="s">
        <v>54</v>
      </c>
      <c r="B32" s="72"/>
      <c r="C32" s="14"/>
      <c r="D32" s="65" t="s">
        <v>55</v>
      </c>
      <c r="E32" s="35"/>
      <c r="F32" s="14"/>
      <c r="G32" s="14"/>
      <c r="H32" s="14"/>
      <c r="I32" s="15"/>
      <c r="J32" s="66">
        <f t="array" ref="J32">SUM(ROUND(J24:J30,0))</f>
        <v>98830433</v>
      </c>
      <c r="K32" s="59"/>
      <c r="L32" s="66">
        <f t="array" ref="L32">SUM(ROUND(L24:L30,0))</f>
        <v>2842166</v>
      </c>
      <c r="M32" s="66">
        <f t="array" ref="M32">SUM(ROUND(M24:M30,0))</f>
        <v>101672599</v>
      </c>
      <c r="N32" s="68"/>
    </row>
    <row r="33" spans="1:14">
      <c r="A33" s="12"/>
      <c r="B33" s="72"/>
      <c r="C33" s="44"/>
      <c r="D33" s="76"/>
      <c r="E33" s="14"/>
      <c r="F33" s="14"/>
      <c r="G33" s="35"/>
      <c r="H33" s="14"/>
      <c r="I33" s="15"/>
      <c r="J33" s="59"/>
      <c r="K33" s="59"/>
      <c r="L33" s="59"/>
      <c r="M33" s="59"/>
      <c r="N33" s="77"/>
    </row>
    <row r="34" spans="1:14">
      <c r="B34" s="72"/>
      <c r="C34" s="14"/>
      <c r="D34" s="65" t="str">
        <f>IF(J34&lt;0,IF(L34&gt;0,"Operating Income (Loss)","Operating Loss"),IF(J34&gt;0,IF(L34&gt;=0,"Operating Income","Operating Income (Loss)"),IF(L34&lt;0,"Operating Loss",IF(L34&gt;0,"Operating Income","Operating Income (Loss)"))))</f>
        <v>Operating Income (Loss)</v>
      </c>
      <c r="E34" s="35"/>
      <c r="F34" s="14"/>
      <c r="G34" s="14"/>
      <c r="H34" s="14"/>
      <c r="I34" s="15"/>
      <c r="J34" s="66">
        <f>J20-J32</f>
        <v>-73342815</v>
      </c>
      <c r="K34" s="67"/>
      <c r="L34" s="66">
        <f>L20-L32</f>
        <v>2944340</v>
      </c>
      <c r="M34" s="66">
        <f>M20-M32</f>
        <v>-70398475</v>
      </c>
      <c r="N34" s="68"/>
    </row>
    <row r="35" spans="1:14">
      <c r="A35" s="12"/>
      <c r="B35" s="72"/>
      <c r="C35" s="14"/>
      <c r="D35" s="14"/>
      <c r="E35" s="14"/>
      <c r="F35" s="14"/>
      <c r="G35" s="14"/>
      <c r="H35" s="14"/>
      <c r="I35" s="15"/>
      <c r="J35" s="78"/>
      <c r="K35" s="78"/>
      <c r="L35" s="78"/>
      <c r="M35" s="78"/>
      <c r="N35" s="79"/>
    </row>
    <row r="36" spans="1:14">
      <c r="B36" s="72"/>
      <c r="C36" s="29" t="s">
        <v>56</v>
      </c>
      <c r="D36" s="35"/>
      <c r="E36" s="14"/>
      <c r="F36" s="14"/>
      <c r="G36" s="14"/>
      <c r="H36" s="14"/>
      <c r="I36" s="15"/>
      <c r="J36" s="16"/>
      <c r="K36" s="17"/>
      <c r="L36" s="16"/>
      <c r="M36" s="16"/>
      <c r="N36" s="18"/>
    </row>
    <row r="37" spans="1:14">
      <c r="A37" s="12" t="s">
        <v>57</v>
      </c>
      <c r="B37" s="72" t="s">
        <v>58</v>
      </c>
      <c r="C37" s="36" t="s">
        <v>59</v>
      </c>
      <c r="D37" s="35"/>
      <c r="E37" s="14"/>
      <c r="F37" s="14"/>
      <c r="G37" s="35"/>
      <c r="H37" s="14"/>
      <c r="I37" s="15"/>
      <c r="J37" s="80">
        <v>35609665</v>
      </c>
      <c r="K37" s="49"/>
      <c r="L37" s="80">
        <v>0</v>
      </c>
      <c r="M37" s="80">
        <f t="shared" ref="M37:M45" si="1">ROUND(L37,0)+ROUND(J37,0)</f>
        <v>35609665</v>
      </c>
      <c r="N37" s="81"/>
    </row>
    <row r="38" spans="1:14">
      <c r="A38" s="1" t="s">
        <v>60</v>
      </c>
      <c r="B38" s="72" t="s">
        <v>21</v>
      </c>
      <c r="C38" s="36" t="s">
        <v>61</v>
      </c>
      <c r="D38" s="35"/>
      <c r="E38" s="14"/>
      <c r="F38" s="14"/>
      <c r="G38" s="35"/>
      <c r="H38" s="14"/>
      <c r="I38" s="15"/>
      <c r="J38" s="80">
        <v>27039769</v>
      </c>
      <c r="K38" s="49"/>
      <c r="L38" s="80">
        <v>0</v>
      </c>
      <c r="M38" s="80">
        <f t="shared" si="1"/>
        <v>27039769</v>
      </c>
      <c r="N38" s="81"/>
    </row>
    <row r="39" spans="1:14">
      <c r="A39" s="12" t="s">
        <v>62</v>
      </c>
      <c r="B39" s="72" t="s">
        <v>21</v>
      </c>
      <c r="C39" s="36" t="s">
        <v>63</v>
      </c>
      <c r="D39" s="35"/>
      <c r="E39" s="14"/>
      <c r="F39" s="14"/>
      <c r="G39" s="35"/>
      <c r="H39" s="14"/>
      <c r="I39" s="15"/>
      <c r="J39" s="80">
        <v>5829944</v>
      </c>
      <c r="K39" s="49"/>
      <c r="L39" s="80">
        <v>0</v>
      </c>
      <c r="M39" s="80">
        <f t="shared" si="1"/>
        <v>5829944</v>
      </c>
      <c r="N39" s="81"/>
    </row>
    <row r="40" spans="1:14">
      <c r="A40" s="1" t="s">
        <v>64</v>
      </c>
      <c r="B40" s="72" t="s">
        <v>65</v>
      </c>
      <c r="C40" s="36" t="s">
        <v>66</v>
      </c>
      <c r="D40" s="35"/>
      <c r="E40" s="14"/>
      <c r="F40" s="14"/>
      <c r="G40" s="35"/>
      <c r="H40" s="14"/>
      <c r="I40" s="15"/>
      <c r="J40" s="80">
        <v>641727</v>
      </c>
      <c r="K40" s="49"/>
      <c r="L40" s="80">
        <v>1865701</v>
      </c>
      <c r="M40" s="80">
        <f t="shared" si="1"/>
        <v>2507428</v>
      </c>
      <c r="N40" s="81"/>
    </row>
    <row r="41" spans="1:14">
      <c r="A41" s="12" t="s">
        <v>67</v>
      </c>
      <c r="B41" s="72" t="s">
        <v>65</v>
      </c>
      <c r="C41" s="36" t="str">
        <f>IF(J41&lt;0,IF(L41&gt;0,"Net Gain (Loss) on Investments","Net Loss on Investments"),IF(J41&gt;0,IF(L41&gt;=0,"Net Gain on Investments","Net Gain (Loss) on Investments"),IF(L41&lt;0,"Net Loss on Investments",IF(L41&gt;0,"Net Gain on Investments","Net Gain (Loss) on Investments"))))</f>
        <v>Net Loss on Investments</v>
      </c>
      <c r="D41" s="35"/>
      <c r="E41" s="14"/>
      <c r="F41" s="14"/>
      <c r="G41" s="35"/>
      <c r="H41" s="14"/>
      <c r="I41" s="15"/>
      <c r="J41" s="80">
        <v>-91756</v>
      </c>
      <c r="K41" s="49"/>
      <c r="L41" s="80">
        <v>0</v>
      </c>
      <c r="M41" s="80">
        <f t="shared" si="1"/>
        <v>-91756</v>
      </c>
      <c r="N41" s="81"/>
    </row>
    <row r="42" spans="1:14">
      <c r="A42" s="1" t="s">
        <v>68</v>
      </c>
      <c r="B42" s="72" t="s">
        <v>32</v>
      </c>
      <c r="C42" s="36" t="s">
        <v>69</v>
      </c>
      <c r="D42" s="35"/>
      <c r="E42" s="14"/>
      <c r="F42" s="14"/>
      <c r="G42" s="35"/>
      <c r="H42" s="14"/>
      <c r="I42" s="15"/>
      <c r="J42" s="80">
        <v>160475</v>
      </c>
      <c r="K42" s="49"/>
      <c r="L42" s="80">
        <v>0</v>
      </c>
      <c r="M42" s="80">
        <f t="shared" si="1"/>
        <v>160475</v>
      </c>
      <c r="N42" s="81"/>
    </row>
    <row r="43" spans="1:14">
      <c r="A43" s="12" t="s">
        <v>70</v>
      </c>
      <c r="B43" s="72" t="s">
        <v>71</v>
      </c>
      <c r="C43" s="36" t="str">
        <f>IF(J43&lt;0,IF(L43&gt;0,"Gain (Loss) on Disposal of Capital Assets","Loss on Disposal of Capital Assets"),IF(J43&gt;0,IF(L43&gt;=0,"Gain on Disposal of Capital Assets","Gain (Loss) on Disposal of Capital Assets"),IF(L43&lt;0,"Loss on Disposal of Capital Assets",IF(L43&gt;0,"Gain on Disposal of Capital Assets","Gain (Loss) on Disposal of Capital Assets"))))</f>
        <v>Loss on Disposal of Capital Assets</v>
      </c>
      <c r="D43" s="35"/>
      <c r="E43" s="14"/>
      <c r="F43" s="14"/>
      <c r="G43" s="35"/>
      <c r="H43" s="14"/>
      <c r="I43" s="15"/>
      <c r="J43" s="80">
        <v>-422725</v>
      </c>
      <c r="K43" s="49"/>
      <c r="L43" s="80">
        <v>0</v>
      </c>
      <c r="M43" s="80">
        <f t="shared" si="1"/>
        <v>-422725</v>
      </c>
      <c r="N43" s="81"/>
    </row>
    <row r="44" spans="1:14">
      <c r="A44" s="1" t="s">
        <v>72</v>
      </c>
      <c r="B44" s="72" t="s">
        <v>39</v>
      </c>
      <c r="C44" s="36" t="s">
        <v>73</v>
      </c>
      <c r="D44" s="35"/>
      <c r="E44" s="35"/>
      <c r="F44" s="35"/>
      <c r="G44" s="35"/>
      <c r="H44" s="35"/>
      <c r="I44" s="35"/>
      <c r="J44" s="80">
        <v>-1820503</v>
      </c>
      <c r="K44" s="49"/>
      <c r="L44" s="80">
        <v>0</v>
      </c>
      <c r="M44" s="80">
        <f t="shared" si="1"/>
        <v>-1820503</v>
      </c>
      <c r="N44" s="81"/>
    </row>
    <row r="45" spans="1:14">
      <c r="A45" s="12" t="s">
        <v>74</v>
      </c>
      <c r="B45" s="72" t="s">
        <v>39</v>
      </c>
      <c r="C45" s="36" t="s">
        <v>75</v>
      </c>
      <c r="D45" s="35"/>
      <c r="E45" s="14"/>
      <c r="F45" s="14"/>
      <c r="G45" s="35"/>
      <c r="H45" s="14"/>
      <c r="I45" s="15"/>
      <c r="J45" s="82">
        <v>-492705.92</v>
      </c>
      <c r="K45" s="49"/>
      <c r="L45" s="82">
        <v>0</v>
      </c>
      <c r="M45" s="82">
        <f t="shared" si="1"/>
        <v>-492706</v>
      </c>
      <c r="N45" s="81"/>
    </row>
    <row r="46" spans="1:14">
      <c r="B46" s="72"/>
      <c r="C46" s="35"/>
      <c r="D46" s="35"/>
      <c r="E46" s="35"/>
      <c r="F46" s="35"/>
      <c r="G46" s="35"/>
      <c r="H46" s="35"/>
      <c r="I46" s="35"/>
      <c r="J46" s="83"/>
      <c r="K46" s="84"/>
      <c r="L46" s="83"/>
      <c r="M46" s="83"/>
      <c r="N46" s="85"/>
    </row>
    <row r="47" spans="1:14">
      <c r="A47" s="52" t="s">
        <v>76</v>
      </c>
      <c r="B47" s="53"/>
      <c r="C47" s="29" t="s">
        <v>77</v>
      </c>
      <c r="D47" s="35"/>
      <c r="E47" s="14"/>
      <c r="F47" s="14"/>
      <c r="G47" s="14"/>
      <c r="H47" s="14"/>
      <c r="I47" s="15"/>
      <c r="J47" s="66">
        <f t="array" ref="J47">SUM(ROUND(J37:J45,0))</f>
        <v>66453890</v>
      </c>
      <c r="K47" s="59"/>
      <c r="L47" s="66">
        <f t="array" ref="L47">SUM(ROUND(L37:L45,0))</f>
        <v>1865701</v>
      </c>
      <c r="M47" s="66">
        <f t="array" ref="M47">SUM(ROUND(M37:M45,0))</f>
        <v>68319591</v>
      </c>
      <c r="N47" s="68"/>
    </row>
    <row r="48" spans="1:14">
      <c r="A48" s="52"/>
      <c r="B48" s="53"/>
      <c r="C48" s="86"/>
      <c r="D48" s="87"/>
      <c r="E48" s="15"/>
      <c r="F48" s="15"/>
      <c r="G48" s="15"/>
      <c r="H48" s="15"/>
      <c r="I48" s="15"/>
      <c r="J48" s="59"/>
      <c r="K48" s="59"/>
      <c r="L48" s="59"/>
      <c r="M48" s="59"/>
      <c r="N48" s="77"/>
    </row>
    <row r="49" spans="1:14">
      <c r="A49" s="52"/>
      <c r="B49" s="53"/>
      <c r="C49" s="65" t="str">
        <f>IF(J50&lt;0,IF(L50&gt;0,"Income (Loss) Before Other Revenues,","Loss Before Other Revenues,"),IF(J50&gt;0,IF(L50&gt;=0,"Income Before Other Revenues,","Income (Loss) Before Other Revenues,"),IF(L59&lt;0,"Loss Before Other Revenues,",IF(L59&gt;0,"Income Before Other Revenues,","Income (Loss) Before Other Revenues,"))))</f>
        <v>Income (Loss) Before Other Revenues,</v>
      </c>
      <c r="D49" s="35"/>
      <c r="E49" s="35"/>
      <c r="F49" s="14"/>
      <c r="G49" s="14"/>
      <c r="H49" s="14"/>
      <c r="I49" s="15"/>
      <c r="J49" s="35"/>
      <c r="K49" s="35"/>
      <c r="L49" s="35"/>
      <c r="M49" s="35"/>
      <c r="N49" s="37"/>
    </row>
    <row r="50" spans="1:14">
      <c r="A50" s="52"/>
      <c r="B50" s="53"/>
      <c r="C50" s="14"/>
      <c r="D50" s="29" t="s">
        <v>78</v>
      </c>
      <c r="E50" s="14"/>
      <c r="F50" s="14"/>
      <c r="G50" s="14"/>
      <c r="H50" s="14"/>
      <c r="I50" s="15"/>
      <c r="J50" s="66">
        <f>J34+J47</f>
        <v>-6888925</v>
      </c>
      <c r="K50" s="59"/>
      <c r="L50" s="66">
        <f>L34+L47</f>
        <v>4810041</v>
      </c>
      <c r="M50" s="66">
        <f>M34+M47</f>
        <v>-2078884</v>
      </c>
      <c r="N50" s="68"/>
    </row>
    <row r="51" spans="1:14">
      <c r="A51" s="52"/>
      <c r="B51" s="53"/>
      <c r="C51" s="14"/>
      <c r="D51" s="29"/>
      <c r="E51" s="14"/>
      <c r="F51" s="14"/>
      <c r="G51" s="14"/>
      <c r="H51" s="14"/>
      <c r="I51" s="15"/>
      <c r="J51" s="17"/>
      <c r="K51" s="17"/>
      <c r="L51" s="17"/>
      <c r="M51" s="17"/>
      <c r="N51" s="18"/>
    </row>
    <row r="52" spans="1:14">
      <c r="A52" s="52" t="s">
        <v>79</v>
      </c>
      <c r="B52" s="53" t="s">
        <v>58</v>
      </c>
      <c r="C52" s="36" t="s">
        <v>80</v>
      </c>
      <c r="D52" s="35"/>
      <c r="E52" s="14"/>
      <c r="F52" s="14"/>
      <c r="G52" s="14"/>
      <c r="H52" s="35"/>
      <c r="I52" s="15"/>
      <c r="J52" s="80">
        <v>7536811</v>
      </c>
      <c r="K52" s="49"/>
      <c r="L52" s="80">
        <v>0</v>
      </c>
      <c r="M52" s="80">
        <f>ROUND(L52,0)+ROUND(J52,0)</f>
        <v>7536811</v>
      </c>
      <c r="N52" s="81"/>
    </row>
    <row r="53" spans="1:14">
      <c r="A53" s="52" t="s">
        <v>81</v>
      </c>
      <c r="B53" s="53" t="s">
        <v>82</v>
      </c>
      <c r="C53" s="36" t="s">
        <v>83</v>
      </c>
      <c r="D53" s="35"/>
      <c r="E53" s="14"/>
      <c r="F53" s="14"/>
      <c r="G53" s="14"/>
      <c r="H53" s="35"/>
      <c r="I53" s="15"/>
      <c r="J53" s="50">
        <v>3677679</v>
      </c>
      <c r="K53" s="230"/>
      <c r="L53" s="50">
        <v>0</v>
      </c>
      <c r="M53" s="50">
        <f>ROUND(L53,0)+ROUND(J53,0)</f>
        <v>3677679</v>
      </c>
      <c r="N53" s="51"/>
    </row>
    <row r="54" spans="1:14">
      <c r="A54" s="52" t="s">
        <v>84</v>
      </c>
      <c r="B54" s="53" t="s">
        <v>85</v>
      </c>
      <c r="C54" s="14" t="s">
        <v>86</v>
      </c>
      <c r="D54" s="35"/>
      <c r="E54" s="14"/>
      <c r="F54" s="14"/>
      <c r="G54" s="14"/>
      <c r="H54" s="35"/>
      <c r="I54" s="15"/>
      <c r="J54" s="89">
        <v>0</v>
      </c>
      <c r="K54" s="230"/>
      <c r="L54" s="89">
        <v>605317</v>
      </c>
      <c r="M54" s="89">
        <f>ROUND(L54,0)+ROUND(J54,0)</f>
        <v>605317</v>
      </c>
      <c r="N54" s="51"/>
    </row>
    <row r="55" spans="1:14">
      <c r="A55" s="52" t="s">
        <v>87</v>
      </c>
      <c r="B55" s="53" t="s">
        <v>85</v>
      </c>
      <c r="C55" s="76" t="str">
        <f>IF(J55&lt;0,IF(L55&gt;0,"Other Revenues (Expenses)","Other Expenses"),IF(J55&gt;0,IF(L55&gt;=0,"Other Revenues","Other Revenues (Expenses)"),IF(L55&lt;0,"Other Expenses",IF(L55&gt;0,"Other Revenues","Other Revenues (Expenses)"))))</f>
        <v>Other Revenues</v>
      </c>
      <c r="D55" s="35"/>
      <c r="E55" s="14"/>
      <c r="F55" s="14"/>
      <c r="G55" s="14"/>
      <c r="H55" s="35"/>
      <c r="I55" s="15"/>
      <c r="J55" s="58">
        <v>549382</v>
      </c>
      <c r="K55" s="230"/>
      <c r="L55" s="58">
        <v>0</v>
      </c>
      <c r="M55" s="58">
        <f>ROUND(L55,0)+ROUND(J55,0)</f>
        <v>549382</v>
      </c>
      <c r="N55" s="51"/>
    </row>
    <row r="56" spans="1:14">
      <c r="A56" s="52"/>
      <c r="B56" s="53"/>
      <c r="C56" s="35"/>
      <c r="D56" s="35"/>
      <c r="E56" s="14"/>
      <c r="F56" s="14"/>
      <c r="G56" s="14"/>
      <c r="H56" s="14"/>
      <c r="I56" s="15"/>
      <c r="J56" s="83"/>
      <c r="K56" s="84"/>
      <c r="L56" s="83"/>
      <c r="M56" s="83"/>
      <c r="N56" s="85"/>
    </row>
    <row r="57" spans="1:14">
      <c r="A57" s="70" t="s">
        <v>88</v>
      </c>
      <c r="B57" s="53"/>
      <c r="C57" s="29" t="s">
        <v>89</v>
      </c>
      <c r="D57" s="35"/>
      <c r="E57" s="35"/>
      <c r="F57" s="14"/>
      <c r="G57" s="14"/>
      <c r="H57" s="14"/>
      <c r="I57" s="15"/>
      <c r="J57" s="90">
        <f t="array" ref="J57">SUM(ROUND(J52:J55,0))</f>
        <v>11763872</v>
      </c>
      <c r="K57" s="59"/>
      <c r="L57" s="90">
        <f t="array" ref="L57">SUM(ROUND(L52:L55,0))</f>
        <v>605317</v>
      </c>
      <c r="M57" s="90">
        <f t="array" ref="M57">SUM(ROUND(M52:M55,0))</f>
        <v>12369189</v>
      </c>
      <c r="N57" s="91"/>
    </row>
    <row r="58" spans="1:14">
      <c r="A58" s="52"/>
      <c r="B58" s="53"/>
      <c r="C58" s="29"/>
      <c r="D58" s="35"/>
      <c r="E58" s="35"/>
      <c r="F58" s="14"/>
      <c r="G58" s="14"/>
      <c r="H58" s="14"/>
      <c r="I58" s="15"/>
      <c r="J58" s="59"/>
      <c r="K58" s="59"/>
      <c r="L58" s="59"/>
      <c r="M58" s="59"/>
      <c r="N58" s="77"/>
    </row>
    <row r="59" spans="1:14">
      <c r="A59" s="70"/>
      <c r="B59" s="53"/>
      <c r="C59" s="65" t="str">
        <f>IF(J59&lt;0,IF(L59&gt;0,"Increase (Decrease) in Net Position","Decrease in Net Position"),IF(J59&gt;0,IF(L59&gt;=0,"Increase in Net Position","Increase (Decrease) in Net Position"),IF(L59&lt;0,"Decrease in Net Position",IF(L59&gt;0,"Increase in Net Position","Increase (Decrease) in Net Position"))))</f>
        <v>Increase in Net Position</v>
      </c>
      <c r="D59" s="35"/>
      <c r="E59" s="35"/>
      <c r="F59" s="14"/>
      <c r="G59" s="14"/>
      <c r="H59" s="14"/>
      <c r="I59" s="15"/>
      <c r="J59" s="90">
        <f>J50+J57</f>
        <v>4874947</v>
      </c>
      <c r="K59" s="92"/>
      <c r="L59" s="90">
        <f>L50+L57</f>
        <v>5415358</v>
      </c>
      <c r="M59" s="90">
        <f>M50+M57</f>
        <v>10290305</v>
      </c>
      <c r="N59" s="91"/>
    </row>
    <row r="60" spans="1:14">
      <c r="A60" s="52"/>
      <c r="B60" s="53"/>
      <c r="C60" s="93"/>
      <c r="D60" s="35"/>
      <c r="E60" s="35"/>
      <c r="F60" s="14"/>
      <c r="G60" s="14"/>
      <c r="H60" s="14"/>
      <c r="I60" s="15"/>
      <c r="J60" s="94"/>
      <c r="K60" s="94"/>
      <c r="L60" s="94"/>
      <c r="M60" s="94"/>
      <c r="N60" s="95"/>
    </row>
    <row r="61" spans="1:14">
      <c r="A61" s="52" t="s">
        <v>90</v>
      </c>
      <c r="B61" s="53"/>
      <c r="C61" s="14" t="s">
        <v>91</v>
      </c>
      <c r="D61" s="35"/>
      <c r="E61" s="14"/>
      <c r="F61" s="14"/>
      <c r="G61" s="14"/>
      <c r="H61" s="14"/>
      <c r="I61" s="15"/>
      <c r="J61" s="96">
        <f>VLOOKUP($C$1,[10]VLOOKUPS!A44:D71,2,FALSE)</f>
        <v>157746233</v>
      </c>
      <c r="K61" s="49"/>
      <c r="L61" s="96">
        <f>VLOOKUP($C$1,[10]VLOOKUPS!A44:D71,3,FALSE)</f>
        <v>44708159</v>
      </c>
      <c r="M61" s="89">
        <f>ROUND(L61,0)+ROUND(J61,0)</f>
        <v>202454392</v>
      </c>
      <c r="N61" s="97"/>
    </row>
    <row r="62" spans="1:14">
      <c r="A62" s="52" t="s">
        <v>92</v>
      </c>
      <c r="B62" s="53" t="s">
        <v>93</v>
      </c>
      <c r="C62" s="14" t="s">
        <v>94</v>
      </c>
      <c r="D62" s="35"/>
      <c r="E62" s="14"/>
      <c r="F62" s="14"/>
      <c r="G62" s="14"/>
      <c r="H62" s="14"/>
      <c r="I62" s="15"/>
      <c r="J62" s="82">
        <f>-19954560+1878094</f>
        <v>-18076466</v>
      </c>
      <c r="K62" s="49"/>
      <c r="L62" s="82">
        <v>0</v>
      </c>
      <c r="M62" s="82">
        <f>ROUND(L62,0)+ROUND(J62,0)</f>
        <v>-18076466</v>
      </c>
      <c r="N62" s="81"/>
    </row>
    <row r="63" spans="1:14">
      <c r="A63" s="52"/>
      <c r="B63" s="53"/>
      <c r="C63" s="36"/>
      <c r="D63" s="36"/>
      <c r="E63" s="36"/>
      <c r="F63" s="36"/>
      <c r="G63" s="36"/>
      <c r="H63" s="98"/>
      <c r="I63" s="36"/>
      <c r="J63" s="92"/>
      <c r="K63" s="99"/>
      <c r="L63" s="99"/>
      <c r="M63" s="99"/>
      <c r="N63" s="100"/>
    </row>
    <row r="64" spans="1:14">
      <c r="A64" s="70"/>
      <c r="B64" s="53"/>
      <c r="C64" s="101" t="s">
        <v>95</v>
      </c>
      <c r="D64" s="36"/>
      <c r="E64" s="36"/>
      <c r="F64" s="36"/>
      <c r="G64" s="36"/>
      <c r="H64" s="60"/>
      <c r="I64" s="60"/>
      <c r="J64" s="90">
        <f t="array" ref="J64">SUM(ROUND(J61:J62,0))</f>
        <v>139669767</v>
      </c>
      <c r="K64" s="92"/>
      <c r="L64" s="90">
        <f t="array" ref="L64">SUM(ROUND(L61:L62,0))</f>
        <v>44708159</v>
      </c>
      <c r="M64" s="90">
        <f t="array" ref="M64">SUM(ROUND(M61:M62,0))</f>
        <v>184377926</v>
      </c>
      <c r="N64" s="91"/>
    </row>
    <row r="65" spans="1:14">
      <c r="A65" s="52"/>
      <c r="B65" s="53"/>
      <c r="C65" s="36"/>
      <c r="D65" s="36"/>
      <c r="E65" s="36"/>
      <c r="F65" s="36"/>
      <c r="G65" s="36"/>
      <c r="H65" s="102"/>
      <c r="I65" s="36"/>
      <c r="J65" s="102"/>
      <c r="K65" s="60"/>
      <c r="L65" s="60"/>
      <c r="M65" s="60"/>
      <c r="N65" s="61"/>
    </row>
    <row r="66" spans="1:14" ht="13.5" thickBot="1">
      <c r="A66" s="52"/>
      <c r="B66" s="53"/>
      <c r="C66" s="29" t="s">
        <v>96</v>
      </c>
      <c r="D66" s="35"/>
      <c r="E66" s="14"/>
      <c r="F66" s="14"/>
      <c r="G66" s="14"/>
      <c r="H66" s="14"/>
      <c r="I66" s="103"/>
      <c r="J66" s="104">
        <f>J59+J64</f>
        <v>144544714</v>
      </c>
      <c r="K66" s="105"/>
      <c r="L66" s="104">
        <f>L59+L64</f>
        <v>50123517</v>
      </c>
      <c r="M66" s="104">
        <f>M59+M64</f>
        <v>194668231</v>
      </c>
      <c r="N66" s="46"/>
    </row>
    <row r="67" spans="1:14" ht="13.5" thickTop="1">
      <c r="A67" s="70"/>
      <c r="B67" s="53"/>
      <c r="C67" s="14"/>
      <c r="D67" s="14"/>
      <c r="E67" s="14"/>
      <c r="F67" s="14"/>
      <c r="G67" s="14"/>
      <c r="H67" s="14"/>
      <c r="I67" s="15"/>
      <c r="J67" s="107"/>
      <c r="K67" s="15"/>
      <c r="L67" s="107"/>
      <c r="M67" s="107"/>
      <c r="N67" s="108"/>
    </row>
    <row r="68" spans="1:14">
      <c r="A68" s="52"/>
      <c r="B68" s="53"/>
      <c r="C68" s="35" t="s">
        <v>97</v>
      </c>
      <c r="D68" s="35"/>
      <c r="E68" s="35"/>
      <c r="F68" s="35"/>
      <c r="G68" s="35"/>
      <c r="H68" s="35"/>
      <c r="I68" s="87"/>
      <c r="J68" s="35"/>
      <c r="K68" s="87"/>
      <c r="L68" s="35"/>
      <c r="M68" s="35"/>
      <c r="N68" s="37"/>
    </row>
    <row r="69" spans="1:14">
      <c r="B69" s="72"/>
      <c r="I69" s="6"/>
      <c r="J69" s="109">
        <f>J66-[10]SNP!K119</f>
        <v>0</v>
      </c>
      <c r="K69" s="110"/>
      <c r="L69" s="111">
        <f>L66-[10]SNP!M119</f>
        <v>0</v>
      </c>
      <c r="M69" s="111">
        <f>M66-[10]SNP!N119</f>
        <v>0</v>
      </c>
      <c r="N69" s="112"/>
    </row>
    <row r="70" spans="1:14">
      <c r="B70" s="72"/>
      <c r="I70" s="113" t="s">
        <v>98</v>
      </c>
      <c r="J70" s="114"/>
      <c r="K70" s="115"/>
      <c r="L70" s="114"/>
      <c r="M70" s="114"/>
      <c r="N70" s="114"/>
    </row>
  </sheetData>
  <sheetProtection formatColumns="0" formatRows="0"/>
  <conditionalFormatting sqref="J69 L69">
    <cfRule type="cellIs" dxfId="333" priority="14" operator="notEqual">
      <formula>0</formula>
    </cfRule>
    <cfRule type="cellIs" dxfId="332" priority="15" operator="equal">
      <formula>0</formula>
    </cfRule>
  </conditionalFormatting>
  <conditionalFormatting sqref="J11:J15 F11:G11 L24:L30 L37:L45 J37:J45 L62 J62 L17:L18 J25:J29 J17:J18 F17:G17 L11:L15 L52:L55 J52:J55">
    <cfRule type="containsBlanks" dxfId="331" priority="12">
      <formula>LEN(TRIM(F11))=0</formula>
    </cfRule>
    <cfRule type="cellIs" dxfId="330" priority="13" operator="notEqual">
      <formula>0</formula>
    </cfRule>
  </conditionalFormatting>
  <conditionalFormatting sqref="J11">
    <cfRule type="cellIs" dxfId="329" priority="11" operator="notEqual">
      <formula>J20</formula>
    </cfRule>
  </conditionalFormatting>
  <conditionalFormatting sqref="L11">
    <cfRule type="cellIs" dxfId="328" priority="10" operator="notEqual">
      <formula>L20</formula>
    </cfRule>
  </conditionalFormatting>
  <conditionalFormatting sqref="M69">
    <cfRule type="cellIs" dxfId="327" priority="8" operator="notEqual">
      <formula>0</formula>
    </cfRule>
    <cfRule type="cellIs" dxfId="326" priority="9" operator="equal">
      <formula>0</formula>
    </cfRule>
  </conditionalFormatting>
  <conditionalFormatting sqref="M24:M30 M37:M45 M62 M17:M18 M11:M15 M52:M55">
    <cfRule type="containsBlanks" dxfId="325" priority="6">
      <formula>LEN(TRIM(M11))=0</formula>
    </cfRule>
    <cfRule type="cellIs" dxfId="324" priority="7" operator="notEqual">
      <formula>0</formula>
    </cfRule>
  </conditionalFormatting>
  <conditionalFormatting sqref="M11">
    <cfRule type="cellIs" dxfId="323" priority="5" operator="notEqual">
      <formula>M20</formula>
    </cfRule>
  </conditionalFormatting>
  <conditionalFormatting sqref="J24">
    <cfRule type="containsBlanks" dxfId="322" priority="3">
      <formula>LEN(TRIM(J24))=0</formula>
    </cfRule>
    <cfRule type="cellIs" dxfId="321" priority="4" operator="notEqual">
      <formula>0</formula>
    </cfRule>
  </conditionalFormatting>
  <conditionalFormatting sqref="M61">
    <cfRule type="containsBlanks" dxfId="320" priority="1">
      <formula>LEN(TRIM(M61))=0</formula>
    </cfRule>
    <cfRule type="cellIs" dxfId="319" priority="2" operator="notEqual">
      <formula>0</formula>
    </cfRule>
  </conditionalFormatting>
  <printOptions horizontalCentered="1"/>
  <pageMargins left="0.7" right="0.7" top="0.75" bottom="0.75" header="0.5" footer="0.5"/>
  <pageSetup scale="54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  <pageSetUpPr fitToPage="1"/>
  </sheetPr>
  <dimension ref="A1:R70"/>
  <sheetViews>
    <sheetView zoomScale="80" zoomScaleNormal="80" zoomScaleSheetLayoutView="70" workbookViewId="0"/>
  </sheetViews>
  <sheetFormatPr defaultColWidth="11.140625" defaultRowHeight="12.75"/>
  <cols>
    <col min="1" max="6" width="11.140625" style="6"/>
    <col min="7" max="7" width="11.140625" style="11"/>
    <col min="8" max="8" width="14.42578125" style="6" customWidth="1"/>
    <col min="9" max="9" width="11.140625" style="11"/>
    <col min="10" max="10" width="14.85546875" style="6" customWidth="1"/>
    <col min="11" max="11" width="15.28515625" style="6" customWidth="1"/>
    <col min="12" max="12" width="11.140625" style="6"/>
    <col min="13" max="13" width="11.140625" style="10"/>
    <col min="14" max="18" width="11.140625" style="5"/>
    <col min="19" max="16384" width="11.140625" style="6"/>
  </cols>
  <sheetData>
    <row r="1" spans="1:12">
      <c r="A1" s="260" t="str">
        <f>'[11]Contact Information'!$C$5</f>
        <v>FLORIDA STATE COLLEGE AT JACKSONVILLE</v>
      </c>
      <c r="B1" s="260"/>
      <c r="C1" s="260"/>
      <c r="D1" s="260"/>
      <c r="E1" s="260"/>
      <c r="F1" s="260"/>
      <c r="G1" s="260"/>
      <c r="H1" s="260"/>
      <c r="I1" s="260"/>
      <c r="J1" s="260"/>
      <c r="K1" s="247"/>
      <c r="L1" s="3"/>
    </row>
    <row r="2" spans="1:12">
      <c r="A2" s="256" t="s">
        <v>0</v>
      </c>
      <c r="B2" s="256"/>
      <c r="C2" s="256"/>
      <c r="D2" s="256"/>
      <c r="E2" s="256"/>
      <c r="F2" s="256"/>
      <c r="G2" s="256"/>
      <c r="H2" s="256"/>
      <c r="I2" s="256"/>
      <c r="J2" s="256"/>
      <c r="K2" s="245"/>
      <c r="L2" s="7"/>
    </row>
    <row r="3" spans="1:12">
      <c r="A3" s="86" t="s">
        <v>1</v>
      </c>
      <c r="B3" s="86"/>
      <c r="C3" s="86"/>
      <c r="D3" s="86"/>
      <c r="E3" s="86"/>
      <c r="F3" s="86"/>
      <c r="G3" s="86"/>
      <c r="H3" s="86"/>
      <c r="I3" s="86"/>
      <c r="J3" s="86"/>
      <c r="K3" s="248"/>
      <c r="L3" s="9" t="s">
        <v>2</v>
      </c>
    </row>
    <row r="4" spans="1:12">
      <c r="A4" s="261" t="s">
        <v>297</v>
      </c>
      <c r="B4" s="261"/>
      <c r="C4" s="261"/>
      <c r="D4" s="261"/>
      <c r="E4" s="261"/>
      <c r="F4" s="261"/>
      <c r="G4" s="261"/>
      <c r="H4" s="261"/>
      <c r="I4" s="261"/>
      <c r="J4" s="261"/>
      <c r="K4" s="249"/>
      <c r="L4" s="11" t="str">
        <f>'[11]Contact Information'!$C$3</f>
        <v>2015.v02</v>
      </c>
    </row>
    <row r="5" spans="1:12">
      <c r="A5" s="14"/>
      <c r="B5" s="14"/>
      <c r="C5" s="14"/>
      <c r="D5" s="14"/>
      <c r="E5" s="14"/>
      <c r="F5" s="14"/>
      <c r="G5" s="15"/>
      <c r="H5" s="16"/>
      <c r="I5" s="17"/>
      <c r="J5" s="16"/>
      <c r="K5" s="16"/>
      <c r="L5" s="18"/>
    </row>
    <row r="6" spans="1:12">
      <c r="A6" s="14"/>
      <c r="B6" s="14"/>
      <c r="C6" s="14"/>
      <c r="D6" s="14"/>
      <c r="E6" s="14"/>
      <c r="F6" s="14"/>
      <c r="G6" s="15"/>
      <c r="H6" s="249" t="s">
        <v>5</v>
      </c>
      <c r="I6" s="21"/>
      <c r="J6" s="22" t="s">
        <v>6</v>
      </c>
      <c r="K6" s="22" t="s">
        <v>7</v>
      </c>
      <c r="L6" s="23"/>
    </row>
    <row r="7" spans="1:12">
      <c r="A7" s="14"/>
      <c r="B7" s="14"/>
      <c r="C7" s="14"/>
      <c r="D7" s="14"/>
      <c r="E7" s="14"/>
      <c r="F7" s="14"/>
      <c r="G7" s="15"/>
      <c r="H7" s="24"/>
      <c r="I7" s="25"/>
      <c r="J7" s="26" t="str">
        <f>[11]SNP!$M$9</f>
        <v>Unit</v>
      </c>
      <c r="K7" s="26"/>
      <c r="L7" s="27"/>
    </row>
    <row r="8" spans="1:12">
      <c r="A8" s="29" t="s">
        <v>9</v>
      </c>
      <c r="B8" s="14"/>
      <c r="C8" s="14"/>
      <c r="D8" s="14"/>
      <c r="E8" s="14"/>
      <c r="F8" s="14"/>
      <c r="G8" s="15"/>
      <c r="H8" s="25"/>
      <c r="I8" s="25"/>
      <c r="J8" s="25"/>
      <c r="K8" s="25"/>
      <c r="L8" s="30"/>
    </row>
    <row r="9" spans="1:12">
      <c r="A9" s="14" t="s">
        <v>12</v>
      </c>
      <c r="B9" s="14"/>
      <c r="C9" s="14"/>
      <c r="D9" s="14"/>
      <c r="E9" s="14"/>
      <c r="F9" s="14"/>
      <c r="G9" s="15"/>
      <c r="H9" s="17"/>
      <c r="I9" s="17"/>
      <c r="J9" s="17"/>
      <c r="K9" s="17"/>
      <c r="L9" s="18"/>
    </row>
    <row r="10" spans="1:12">
      <c r="A10" s="35"/>
      <c r="B10" s="36" t="s">
        <v>14</v>
      </c>
      <c r="C10" s="14"/>
      <c r="D10" s="14"/>
      <c r="E10" s="14"/>
      <c r="F10" s="14"/>
      <c r="G10" s="35"/>
      <c r="H10" s="35"/>
      <c r="I10" s="17"/>
      <c r="J10" s="35"/>
      <c r="K10" s="35"/>
      <c r="L10" s="37"/>
    </row>
    <row r="11" spans="1:12">
      <c r="A11" s="35"/>
      <c r="B11" s="44" t="s">
        <v>19</v>
      </c>
      <c r="C11" s="35"/>
      <c r="D11" s="263">
        <v>24490212</v>
      </c>
      <c r="E11" s="263"/>
      <c r="F11" s="45"/>
      <c r="G11" s="36"/>
      <c r="H11" s="228">
        <v>37479298.700000003</v>
      </c>
      <c r="I11" s="229"/>
      <c r="J11" s="228">
        <v>0</v>
      </c>
      <c r="K11" s="228">
        <f>ROUND(J11,0)+ROUND(H11,0)</f>
        <v>37479299</v>
      </c>
      <c r="L11" s="46"/>
    </row>
    <row r="12" spans="1:12">
      <c r="A12" s="35"/>
      <c r="B12" s="36" t="s">
        <v>22</v>
      </c>
      <c r="C12" s="14"/>
      <c r="D12" s="48"/>
      <c r="E12" s="49"/>
      <c r="F12" s="15"/>
      <c r="G12" s="35"/>
      <c r="H12" s="50">
        <v>7875235.6200000001</v>
      </c>
      <c r="I12" s="230"/>
      <c r="J12" s="50">
        <v>0</v>
      </c>
      <c r="K12" s="50">
        <f>ROUND(J12,0)+ROUND(H12,0)</f>
        <v>7875236</v>
      </c>
      <c r="L12" s="51"/>
    </row>
    <row r="13" spans="1:12">
      <c r="A13" s="35"/>
      <c r="B13" s="36" t="s">
        <v>24</v>
      </c>
      <c r="C13" s="14"/>
      <c r="D13" s="48"/>
      <c r="E13" s="48"/>
      <c r="F13" s="14"/>
      <c r="G13" s="35"/>
      <c r="H13" s="50">
        <v>2415600.36</v>
      </c>
      <c r="I13" s="230"/>
      <c r="J13" s="50">
        <v>0</v>
      </c>
      <c r="K13" s="50">
        <f>ROUND(J13,0)+ROUND(H13,0)</f>
        <v>2415600</v>
      </c>
      <c r="L13" s="51"/>
    </row>
    <row r="14" spans="1:12">
      <c r="A14" s="35"/>
      <c r="B14" s="36" t="s">
        <v>26</v>
      </c>
      <c r="C14" s="14"/>
      <c r="D14" s="48"/>
      <c r="E14" s="48"/>
      <c r="F14" s="14"/>
      <c r="G14" s="35"/>
      <c r="H14" s="50">
        <v>1258418.08</v>
      </c>
      <c r="I14" s="230"/>
      <c r="J14" s="50">
        <v>0</v>
      </c>
      <c r="K14" s="50">
        <f>ROUND(J14,0)+ROUND(H14,0)</f>
        <v>1258418</v>
      </c>
      <c r="L14" s="51"/>
    </row>
    <row r="15" spans="1:12">
      <c r="A15" s="35"/>
      <c r="B15" s="36" t="s">
        <v>28</v>
      </c>
      <c r="C15" s="14"/>
      <c r="D15" s="48"/>
      <c r="E15" s="48"/>
      <c r="F15" s="35"/>
      <c r="G15" s="35"/>
      <c r="H15" s="50">
        <v>700896.56</v>
      </c>
      <c r="I15" s="230"/>
      <c r="J15" s="50">
        <v>0</v>
      </c>
      <c r="K15" s="50">
        <f>ROUND(J15,0)+ROUND(H15,0)</f>
        <v>700897</v>
      </c>
      <c r="L15" s="51"/>
    </row>
    <row r="16" spans="1:12">
      <c r="A16" s="35"/>
      <c r="B16" s="36" t="s">
        <v>29</v>
      </c>
      <c r="C16" s="14"/>
      <c r="D16" s="54"/>
      <c r="E16" s="49"/>
      <c r="F16" s="55"/>
      <c r="G16" s="35"/>
      <c r="H16" s="35"/>
      <c r="I16" s="230"/>
      <c r="J16" s="35"/>
      <c r="K16" s="35"/>
      <c r="L16" s="37"/>
    </row>
    <row r="17" spans="1:12">
      <c r="A17" s="35"/>
      <c r="B17" s="44" t="s">
        <v>19</v>
      </c>
      <c r="C17" s="35"/>
      <c r="D17" s="263">
        <v>0</v>
      </c>
      <c r="E17" s="263"/>
      <c r="F17" s="55"/>
      <c r="G17" s="35"/>
      <c r="H17" s="50">
        <v>1790455.53</v>
      </c>
      <c r="I17" s="230"/>
      <c r="J17" s="50">
        <v>5683076</v>
      </c>
      <c r="K17" s="50">
        <f>ROUND(J17,0)+ROUND(H17,0)</f>
        <v>7473532</v>
      </c>
      <c r="L17" s="51"/>
    </row>
    <row r="18" spans="1:12">
      <c r="A18" s="35"/>
      <c r="B18" s="57" t="s">
        <v>33</v>
      </c>
      <c r="C18" s="14"/>
      <c r="D18" s="14"/>
      <c r="E18" s="14"/>
      <c r="F18" s="14"/>
      <c r="G18" s="36"/>
      <c r="H18" s="58">
        <v>650219.63</v>
      </c>
      <c r="I18" s="230"/>
      <c r="J18" s="58">
        <v>807129</v>
      </c>
      <c r="K18" s="58">
        <f>ROUND(J18,0)+ROUND(H18,0)</f>
        <v>1457349</v>
      </c>
      <c r="L18" s="51"/>
    </row>
    <row r="19" spans="1:12">
      <c r="A19" s="36"/>
      <c r="B19" s="36"/>
      <c r="C19" s="36"/>
      <c r="D19" s="36"/>
      <c r="E19" s="36"/>
      <c r="F19" s="59"/>
      <c r="G19" s="59"/>
      <c r="H19" s="59"/>
      <c r="I19" s="60"/>
      <c r="J19" s="60"/>
      <c r="K19" s="60"/>
      <c r="L19" s="61"/>
    </row>
    <row r="20" spans="1:12">
      <c r="A20" s="35"/>
      <c r="B20" s="65" t="s">
        <v>35</v>
      </c>
      <c r="C20" s="35"/>
      <c r="D20" s="14"/>
      <c r="E20" s="14"/>
      <c r="F20" s="14"/>
      <c r="G20" s="15"/>
      <c r="H20" s="66">
        <f t="array" ref="H20">SUM(ROUND(H11:H18,0))</f>
        <v>52170126</v>
      </c>
      <c r="I20" s="67"/>
      <c r="J20" s="66">
        <f t="array" ref="J20">SUM(ROUND(J11:J18,0))</f>
        <v>6490205</v>
      </c>
      <c r="K20" s="66">
        <f t="array" ref="K20">SUM(ROUND(K11:K18,0))</f>
        <v>58660331</v>
      </c>
      <c r="L20" s="68"/>
    </row>
    <row r="21" spans="1:12">
      <c r="A21" s="14"/>
      <c r="B21" s="14"/>
      <c r="C21" s="14"/>
      <c r="D21" s="14"/>
      <c r="E21" s="14"/>
      <c r="F21" s="14"/>
      <c r="G21" s="15"/>
      <c r="H21" s="17"/>
      <c r="I21" s="17"/>
      <c r="J21" s="17"/>
      <c r="K21" s="17"/>
      <c r="L21" s="18"/>
    </row>
    <row r="22" spans="1:12">
      <c r="A22" s="29" t="s">
        <v>36</v>
      </c>
      <c r="B22" s="14"/>
      <c r="C22" s="14"/>
      <c r="D22" s="14"/>
      <c r="E22" s="14"/>
      <c r="F22" s="14"/>
      <c r="G22" s="15"/>
      <c r="H22" s="16"/>
      <c r="I22" s="17"/>
      <c r="J22" s="16"/>
      <c r="K22" s="16"/>
      <c r="L22" s="18"/>
    </row>
    <row r="23" spans="1:12">
      <c r="A23" s="14" t="s">
        <v>37</v>
      </c>
      <c r="B23" s="14"/>
      <c r="C23" s="14"/>
      <c r="D23" s="14"/>
      <c r="E23" s="35"/>
      <c r="F23" s="14"/>
      <c r="G23" s="15"/>
      <c r="H23" s="16"/>
      <c r="I23" s="17"/>
      <c r="J23" s="16"/>
      <c r="K23" s="16"/>
      <c r="L23" s="18"/>
    </row>
    <row r="24" spans="1:12">
      <c r="A24" s="44"/>
      <c r="B24" s="36" t="s">
        <v>40</v>
      </c>
      <c r="C24" s="14"/>
      <c r="D24" s="14"/>
      <c r="E24" s="35"/>
      <c r="F24" s="14"/>
      <c r="G24" s="15"/>
      <c r="H24" s="50">
        <f>114628264.02+2</f>
        <v>114628266.02</v>
      </c>
      <c r="I24" s="230"/>
      <c r="J24" s="50">
        <v>327533</v>
      </c>
      <c r="K24" s="50">
        <f t="shared" ref="K24:K30" si="0">ROUND(J24,0)+ROUND(H24,0)</f>
        <v>114955799</v>
      </c>
      <c r="L24" s="51"/>
    </row>
    <row r="25" spans="1:12">
      <c r="A25" s="44"/>
      <c r="B25" s="36" t="s">
        <v>42</v>
      </c>
      <c r="C25" s="14"/>
      <c r="D25" s="14"/>
      <c r="E25" s="35"/>
      <c r="F25" s="14"/>
      <c r="G25" s="15"/>
      <c r="H25" s="50">
        <v>29271297.18</v>
      </c>
      <c r="I25" s="230"/>
      <c r="J25" s="50">
        <v>956802</v>
      </c>
      <c r="K25" s="50">
        <f t="shared" si="0"/>
        <v>30228099</v>
      </c>
      <c r="L25" s="51"/>
    </row>
    <row r="26" spans="1:12">
      <c r="A26" s="44"/>
      <c r="B26" s="36" t="s">
        <v>44</v>
      </c>
      <c r="C26" s="14"/>
      <c r="D26" s="14"/>
      <c r="E26" s="35"/>
      <c r="F26" s="14"/>
      <c r="G26" s="15"/>
      <c r="H26" s="50">
        <v>5336052.67</v>
      </c>
      <c r="I26" s="230"/>
      <c r="J26" s="50">
        <v>0</v>
      </c>
      <c r="K26" s="50">
        <f t="shared" si="0"/>
        <v>5336053</v>
      </c>
      <c r="L26" s="51"/>
    </row>
    <row r="27" spans="1:12">
      <c r="A27" s="44"/>
      <c r="B27" s="36" t="s">
        <v>46</v>
      </c>
      <c r="C27" s="14"/>
      <c r="D27" s="14"/>
      <c r="E27" s="35"/>
      <c r="F27" s="14"/>
      <c r="G27" s="15"/>
      <c r="H27" s="50">
        <v>11689862.859999999</v>
      </c>
      <c r="I27" s="230"/>
      <c r="J27" s="50">
        <v>5655732</v>
      </c>
      <c r="K27" s="50">
        <f t="shared" si="0"/>
        <v>17345595</v>
      </c>
      <c r="L27" s="51"/>
    </row>
    <row r="28" spans="1:12">
      <c r="A28" s="44"/>
      <c r="B28" s="36" t="s">
        <v>48</v>
      </c>
      <c r="C28" s="14"/>
      <c r="D28" s="14"/>
      <c r="E28" s="35"/>
      <c r="F28" s="14"/>
      <c r="G28" s="15"/>
      <c r="H28" s="50">
        <v>5484289.4699999997</v>
      </c>
      <c r="I28" s="230"/>
      <c r="J28" s="50">
        <v>1160917</v>
      </c>
      <c r="K28" s="50">
        <f t="shared" si="0"/>
        <v>6645206</v>
      </c>
      <c r="L28" s="51"/>
    </row>
    <row r="29" spans="1:12">
      <c r="A29" s="44"/>
      <c r="B29" s="36" t="s">
        <v>50</v>
      </c>
      <c r="C29" s="14"/>
      <c r="D29" s="14"/>
      <c r="E29" s="35"/>
      <c r="F29" s="14"/>
      <c r="G29" s="15"/>
      <c r="H29" s="50">
        <v>18110512.140000001</v>
      </c>
      <c r="I29" s="230"/>
      <c r="J29" s="50">
        <v>177681</v>
      </c>
      <c r="K29" s="50">
        <f t="shared" si="0"/>
        <v>18288193</v>
      </c>
      <c r="L29" s="51"/>
    </row>
    <row r="30" spans="1:12">
      <c r="A30" s="44"/>
      <c r="B30" s="36" t="s">
        <v>53</v>
      </c>
      <c r="C30" s="14"/>
      <c r="D30" s="14"/>
      <c r="E30" s="35"/>
      <c r="F30" s="14"/>
      <c r="G30" s="15"/>
      <c r="H30" s="231">
        <f>'[11]Accounts by GL'!O481</f>
        <v>10080683.09</v>
      </c>
      <c r="I30" s="230"/>
      <c r="J30" s="58">
        <v>0</v>
      </c>
      <c r="K30" s="58">
        <f t="shared" si="0"/>
        <v>10080683</v>
      </c>
      <c r="L30" s="51"/>
    </row>
    <row r="31" spans="1:12">
      <c r="A31" s="44"/>
      <c r="B31" s="36"/>
      <c r="C31" s="14"/>
      <c r="D31" s="14"/>
      <c r="E31" s="35"/>
      <c r="F31" s="14"/>
      <c r="G31" s="15"/>
      <c r="H31" s="73"/>
      <c r="I31" s="73"/>
      <c r="J31" s="73"/>
      <c r="K31" s="73"/>
      <c r="L31" s="74"/>
    </row>
    <row r="32" spans="1:12">
      <c r="A32" s="14"/>
      <c r="B32" s="65" t="s">
        <v>55</v>
      </c>
      <c r="C32" s="35"/>
      <c r="D32" s="14"/>
      <c r="E32" s="14"/>
      <c r="F32" s="14"/>
      <c r="G32" s="15"/>
      <c r="H32" s="66">
        <f t="array" ref="H32">SUM(ROUND(H24:H30,0))</f>
        <v>194600963</v>
      </c>
      <c r="I32" s="59"/>
      <c r="J32" s="66">
        <f t="array" ref="J32">SUM(ROUND(J24:J30,0))</f>
        <v>8278665</v>
      </c>
      <c r="K32" s="66">
        <f t="array" ref="K32">SUM(ROUND(K24:K30,0))</f>
        <v>202879628</v>
      </c>
      <c r="L32" s="68"/>
    </row>
    <row r="33" spans="1:12">
      <c r="A33" s="44"/>
      <c r="B33" s="76"/>
      <c r="C33" s="14"/>
      <c r="D33" s="14"/>
      <c r="E33" s="35"/>
      <c r="F33" s="14"/>
      <c r="G33" s="15"/>
      <c r="H33" s="59"/>
      <c r="I33" s="59"/>
      <c r="J33" s="59"/>
      <c r="K33" s="59"/>
      <c r="L33" s="77"/>
    </row>
    <row r="34" spans="1:12">
      <c r="A34" s="14"/>
      <c r="B34" s="65" t="str">
        <f>IF(H34&lt;0,IF(J34&gt;0,"Operating Income (Loss)","Operating Loss"),IF(H34&gt;0,IF(J34&gt;=0,"Operating Income","Operating Income (Loss)"),IF(J34&lt;0,"Operating Loss",IF(J34&gt;0,"Operating Income","Operating Income (Loss)"))))</f>
        <v>Operating Loss</v>
      </c>
      <c r="C34" s="35"/>
      <c r="D34" s="14"/>
      <c r="E34" s="14"/>
      <c r="F34" s="14"/>
      <c r="G34" s="15"/>
      <c r="H34" s="66">
        <f>H20-H32</f>
        <v>-142430837</v>
      </c>
      <c r="I34" s="67"/>
      <c r="J34" s="66">
        <f>J20-J32</f>
        <v>-1788460</v>
      </c>
      <c r="K34" s="66">
        <f>K20-K32</f>
        <v>-144219297</v>
      </c>
      <c r="L34" s="68"/>
    </row>
    <row r="35" spans="1:12">
      <c r="A35" s="14"/>
      <c r="B35" s="14"/>
      <c r="C35" s="14"/>
      <c r="D35" s="14"/>
      <c r="E35" s="14"/>
      <c r="F35" s="14"/>
      <c r="G35" s="15"/>
      <c r="H35" s="78"/>
      <c r="I35" s="78"/>
      <c r="J35" s="78"/>
      <c r="K35" s="78"/>
      <c r="L35" s="79"/>
    </row>
    <row r="36" spans="1:12">
      <c r="A36" s="29" t="s">
        <v>56</v>
      </c>
      <c r="B36" s="35"/>
      <c r="C36" s="14"/>
      <c r="D36" s="14"/>
      <c r="E36" s="14"/>
      <c r="F36" s="14"/>
      <c r="G36" s="15"/>
      <c r="H36" s="16"/>
      <c r="I36" s="17"/>
      <c r="J36" s="16"/>
      <c r="K36" s="16"/>
      <c r="L36" s="18"/>
    </row>
    <row r="37" spans="1:12">
      <c r="A37" s="36" t="s">
        <v>59</v>
      </c>
      <c r="B37" s="35"/>
      <c r="C37" s="14"/>
      <c r="D37" s="14"/>
      <c r="E37" s="35"/>
      <c r="F37" s="14"/>
      <c r="G37" s="15"/>
      <c r="H37" s="80">
        <v>77363269.989999995</v>
      </c>
      <c r="I37" s="49"/>
      <c r="J37" s="80">
        <v>0</v>
      </c>
      <c r="K37" s="80">
        <f t="shared" ref="K37:K45" si="1">ROUND(J37,0)+ROUND(H37,0)</f>
        <v>77363270</v>
      </c>
      <c r="L37" s="81"/>
    </row>
    <row r="38" spans="1:12">
      <c r="A38" s="36" t="s">
        <v>61</v>
      </c>
      <c r="B38" s="35"/>
      <c r="C38" s="14"/>
      <c r="D38" s="14"/>
      <c r="E38" s="35"/>
      <c r="F38" s="14"/>
      <c r="G38" s="15"/>
      <c r="H38" s="80">
        <v>50220078.789999999</v>
      </c>
      <c r="I38" s="49"/>
      <c r="J38" s="80">
        <v>0</v>
      </c>
      <c r="K38" s="80">
        <f t="shared" si="1"/>
        <v>50220079</v>
      </c>
      <c r="L38" s="81"/>
    </row>
    <row r="39" spans="1:12">
      <c r="A39" s="36" t="s">
        <v>63</v>
      </c>
      <c r="B39" s="35"/>
      <c r="C39" s="14"/>
      <c r="D39" s="14"/>
      <c r="E39" s="35"/>
      <c r="F39" s="14"/>
      <c r="G39" s="15"/>
      <c r="H39" s="80">
        <v>266046.34999999998</v>
      </c>
      <c r="I39" s="49"/>
      <c r="J39" s="80">
        <v>0</v>
      </c>
      <c r="K39" s="80">
        <f t="shared" si="1"/>
        <v>266046</v>
      </c>
      <c r="L39" s="81"/>
    </row>
    <row r="40" spans="1:12">
      <c r="A40" s="36" t="s">
        <v>66</v>
      </c>
      <c r="B40" s="35"/>
      <c r="C40" s="14"/>
      <c r="D40" s="14"/>
      <c r="E40" s="35"/>
      <c r="F40" s="14"/>
      <c r="G40" s="15"/>
      <c r="H40" s="80">
        <v>930021.13</v>
      </c>
      <c r="I40" s="49"/>
      <c r="J40" s="80">
        <v>1513388</v>
      </c>
      <c r="K40" s="80">
        <f t="shared" si="1"/>
        <v>2443409</v>
      </c>
      <c r="L40" s="81"/>
    </row>
    <row r="41" spans="1:12">
      <c r="A41" s="36" t="str">
        <f>IF(H41&lt;0,IF(J41&gt;0,"Net Gain (Loss) on Investments","Net Loss on Investments"),IF(H41&gt;0,IF(J41&gt;=0,"Net Gain on Investments","Net Gain (Loss) on Investments"),IF(J41&lt;0,"Net Loss on Investments",IF(J41&gt;0,"Net Gain on Investments","Net Gain (Loss) on Investments"))))</f>
        <v>Net Gain (Loss) on Investments</v>
      </c>
      <c r="B41" s="35"/>
      <c r="C41" s="14"/>
      <c r="D41" s="14"/>
      <c r="E41" s="35"/>
      <c r="F41" s="14"/>
      <c r="G41" s="15"/>
      <c r="H41" s="80">
        <v>0</v>
      </c>
      <c r="I41" s="49"/>
      <c r="J41" s="80">
        <v>0</v>
      </c>
      <c r="K41" s="80">
        <f t="shared" si="1"/>
        <v>0</v>
      </c>
      <c r="L41" s="81"/>
    </row>
    <row r="42" spans="1:12">
      <c r="A42" s="36" t="s">
        <v>69</v>
      </c>
      <c r="B42" s="35"/>
      <c r="C42" s="14"/>
      <c r="D42" s="14"/>
      <c r="E42" s="35"/>
      <c r="F42" s="14"/>
      <c r="G42" s="15"/>
      <c r="H42" s="80">
        <v>171497</v>
      </c>
      <c r="I42" s="49"/>
      <c r="J42" s="80">
        <v>0</v>
      </c>
      <c r="K42" s="80">
        <f t="shared" si="1"/>
        <v>171497</v>
      </c>
      <c r="L42" s="81"/>
    </row>
    <row r="43" spans="1:12">
      <c r="A43" s="36" t="str">
        <f>IF(H43&lt;0,IF(J43&gt;0,"Gain (Loss) on Disposal of Capital Assets","Loss on Disposal of Capital Assets"),IF(H43&gt;0,IF(J43&gt;=0,"Gain on Disposal of Capital Assets","Gain (Loss) on Disposal of Capital Assets"),IF(J43&lt;0,"Loss on Disposal of Capital Assets",IF(J43&gt;0,"Gain on Disposal of Capital Assets","Gain (Loss) on Disposal of Capital Assets"))))</f>
        <v>Gain on Disposal of Capital Assets</v>
      </c>
      <c r="B43" s="35"/>
      <c r="C43" s="14"/>
      <c r="D43" s="14"/>
      <c r="E43" s="35"/>
      <c r="F43" s="14"/>
      <c r="G43" s="15"/>
      <c r="H43" s="80">
        <v>26707.48</v>
      </c>
      <c r="I43" s="49"/>
      <c r="J43" s="80">
        <v>0</v>
      </c>
      <c r="K43" s="80">
        <f t="shared" si="1"/>
        <v>26707</v>
      </c>
      <c r="L43" s="81"/>
    </row>
    <row r="44" spans="1:12">
      <c r="A44" s="36" t="s">
        <v>73</v>
      </c>
      <c r="B44" s="35"/>
      <c r="C44" s="35"/>
      <c r="D44" s="35"/>
      <c r="E44" s="35"/>
      <c r="F44" s="35"/>
      <c r="G44" s="35"/>
      <c r="H44" s="80">
        <v>-93875</v>
      </c>
      <c r="I44" s="49"/>
      <c r="J44" s="80">
        <v>0</v>
      </c>
      <c r="K44" s="80">
        <f t="shared" si="1"/>
        <v>-93875</v>
      </c>
      <c r="L44" s="81"/>
    </row>
    <row r="45" spans="1:12">
      <c r="A45" s="36" t="s">
        <v>75</v>
      </c>
      <c r="B45" s="35"/>
      <c r="C45" s="14"/>
      <c r="D45" s="14"/>
      <c r="E45" s="35"/>
      <c r="F45" s="14"/>
      <c r="G45" s="15"/>
      <c r="H45" s="82">
        <v>0</v>
      </c>
      <c r="I45" s="49"/>
      <c r="J45" s="82">
        <v>0</v>
      </c>
      <c r="K45" s="82">
        <f t="shared" si="1"/>
        <v>0</v>
      </c>
      <c r="L45" s="81"/>
    </row>
    <row r="46" spans="1:12">
      <c r="A46" s="35"/>
      <c r="B46" s="35"/>
      <c r="C46" s="35"/>
      <c r="D46" s="35"/>
      <c r="E46" s="35"/>
      <c r="F46" s="35"/>
      <c r="G46" s="35"/>
      <c r="H46" s="83"/>
      <c r="I46" s="84"/>
      <c r="J46" s="83"/>
      <c r="K46" s="83"/>
      <c r="L46" s="85"/>
    </row>
    <row r="47" spans="1:12">
      <c r="A47" s="29" t="s">
        <v>77</v>
      </c>
      <c r="B47" s="35"/>
      <c r="C47" s="14"/>
      <c r="D47" s="14"/>
      <c r="E47" s="14"/>
      <c r="F47" s="14"/>
      <c r="G47" s="15"/>
      <c r="H47" s="66">
        <f t="array" ref="H47">SUM(ROUND(H37:H45,0))</f>
        <v>128883745</v>
      </c>
      <c r="I47" s="59"/>
      <c r="J47" s="66">
        <f t="array" ref="J47">SUM(ROUND(J37:J45,0))</f>
        <v>1513388</v>
      </c>
      <c r="K47" s="66">
        <f t="array" ref="K47">SUM(ROUND(K37:K45,0))</f>
        <v>130397133</v>
      </c>
      <c r="L47" s="68"/>
    </row>
    <row r="48" spans="1:12">
      <c r="A48" s="86"/>
      <c r="B48" s="87"/>
      <c r="C48" s="15"/>
      <c r="D48" s="15"/>
      <c r="E48" s="15"/>
      <c r="F48" s="15"/>
      <c r="G48" s="15"/>
      <c r="H48" s="59"/>
      <c r="I48" s="59"/>
      <c r="J48" s="59"/>
      <c r="K48" s="59"/>
      <c r="L48" s="77"/>
    </row>
    <row r="49" spans="1:12">
      <c r="A49" s="65" t="str">
        <f>IF(H50&lt;0,IF(J50&gt;0,"Income (Loss) Before Other Revenues,","Loss Before Other Revenues,"),IF(H50&gt;0,IF(J50&gt;=0,"Income Before Other Revenues,","Income (Loss) Before Other Revenues,"),IF(J59&lt;0,"Loss Before Other Revenues,",IF(J59&gt;0,"Income Before Other Revenues,","Income (Loss) Before Other Revenues,"))))</f>
        <v>Loss Before Other Revenues,</v>
      </c>
      <c r="B49" s="35"/>
      <c r="C49" s="35"/>
      <c r="D49" s="14"/>
      <c r="E49" s="14"/>
      <c r="F49" s="14"/>
      <c r="G49" s="15"/>
      <c r="H49" s="35"/>
      <c r="I49" s="35"/>
      <c r="J49" s="35"/>
      <c r="K49" s="35"/>
      <c r="L49" s="37"/>
    </row>
    <row r="50" spans="1:12">
      <c r="A50" s="14"/>
      <c r="B50" s="29" t="s">
        <v>78</v>
      </c>
      <c r="C50" s="14"/>
      <c r="D50" s="14"/>
      <c r="E50" s="14"/>
      <c r="F50" s="14"/>
      <c r="G50" s="15"/>
      <c r="H50" s="66">
        <f>H34+H47</f>
        <v>-13547092</v>
      </c>
      <c r="I50" s="59"/>
      <c r="J50" s="66">
        <f>J34+J47</f>
        <v>-275072</v>
      </c>
      <c r="K50" s="66">
        <f>K34+K47</f>
        <v>-13822164</v>
      </c>
      <c r="L50" s="68"/>
    </row>
    <row r="51" spans="1:12">
      <c r="A51" s="14"/>
      <c r="B51" s="29"/>
      <c r="C51" s="14"/>
      <c r="D51" s="14"/>
      <c r="E51" s="14"/>
      <c r="F51" s="14"/>
      <c r="G51" s="15"/>
      <c r="H51" s="17"/>
      <c r="I51" s="17"/>
      <c r="J51" s="17"/>
      <c r="K51" s="17"/>
      <c r="L51" s="18"/>
    </row>
    <row r="52" spans="1:12">
      <c r="A52" s="36" t="s">
        <v>80</v>
      </c>
      <c r="B52" s="35"/>
      <c r="C52" s="14"/>
      <c r="D52" s="14"/>
      <c r="E52" s="14"/>
      <c r="F52" s="35"/>
      <c r="G52" s="15"/>
      <c r="H52" s="80">
        <v>2258307.52</v>
      </c>
      <c r="I52" s="49"/>
      <c r="J52" s="80">
        <v>0</v>
      </c>
      <c r="K52" s="80">
        <f>ROUND(J52,0)+ROUND(H52,0)</f>
        <v>2258308</v>
      </c>
      <c r="L52" s="81"/>
    </row>
    <row r="53" spans="1:12">
      <c r="A53" s="36" t="s">
        <v>83</v>
      </c>
      <c r="B53" s="35"/>
      <c r="C53" s="14"/>
      <c r="D53" s="14"/>
      <c r="E53" s="14"/>
      <c r="F53" s="35"/>
      <c r="G53" s="15"/>
      <c r="H53" s="50">
        <v>4979423.66</v>
      </c>
      <c r="I53" s="230"/>
      <c r="J53" s="50">
        <v>0</v>
      </c>
      <c r="K53" s="50">
        <f>ROUND(J53,0)+ROUND(H53,0)</f>
        <v>4979424</v>
      </c>
      <c r="L53" s="51"/>
    </row>
    <row r="54" spans="1:12">
      <c r="A54" s="14" t="s">
        <v>86</v>
      </c>
      <c r="B54" s="35"/>
      <c r="C54" s="14"/>
      <c r="D54" s="14"/>
      <c r="E54" s="14"/>
      <c r="F54" s="35"/>
      <c r="G54" s="15"/>
      <c r="H54" s="89">
        <v>0</v>
      </c>
      <c r="I54" s="230"/>
      <c r="J54" s="89">
        <v>130877</v>
      </c>
      <c r="K54" s="89">
        <f>ROUND(J54,0)+ROUND(H54,0)</f>
        <v>130877</v>
      </c>
      <c r="L54" s="51"/>
    </row>
    <row r="55" spans="1:12">
      <c r="A55" s="76" t="str">
        <f>IF(H55&lt;0,IF(J55&gt;0,"Other Revenues (Expenses)","Other Expenses"),IF(H55&gt;0,IF(J55&gt;=0,"Other Revenues","Other Revenues (Expenses)"),IF(J55&lt;0,"Other Expenses",IF(J55&gt;0,"Other Revenues","Other Revenues (Expenses)"))))</f>
        <v>Other Revenues (Expenses)</v>
      </c>
      <c r="B55" s="35"/>
      <c r="C55" s="14"/>
      <c r="D55" s="14"/>
      <c r="E55" s="14"/>
      <c r="F55" s="35"/>
      <c r="G55" s="15"/>
      <c r="H55" s="58">
        <v>0</v>
      </c>
      <c r="I55" s="230"/>
      <c r="J55" s="58">
        <v>0</v>
      </c>
      <c r="K55" s="58">
        <f>ROUND(J55,0)+ROUND(H55,0)</f>
        <v>0</v>
      </c>
      <c r="L55" s="51"/>
    </row>
    <row r="56" spans="1:12">
      <c r="A56" s="35"/>
      <c r="B56" s="35"/>
      <c r="C56" s="14"/>
      <c r="D56" s="14"/>
      <c r="E56" s="14"/>
      <c r="F56" s="14"/>
      <c r="G56" s="15"/>
      <c r="H56" s="83"/>
      <c r="I56" s="84"/>
      <c r="J56" s="83"/>
      <c r="K56" s="83"/>
      <c r="L56" s="85"/>
    </row>
    <row r="57" spans="1:12">
      <c r="A57" s="29" t="s">
        <v>89</v>
      </c>
      <c r="B57" s="35"/>
      <c r="C57" s="35"/>
      <c r="D57" s="14"/>
      <c r="E57" s="14"/>
      <c r="F57" s="14"/>
      <c r="G57" s="15"/>
      <c r="H57" s="90">
        <f t="array" ref="H57">SUM(ROUND(H52:H55,0))</f>
        <v>7237732</v>
      </c>
      <c r="I57" s="59"/>
      <c r="J57" s="90">
        <f t="array" ref="J57">SUM(ROUND(J52:J55,0))</f>
        <v>130877</v>
      </c>
      <c r="K57" s="90">
        <f t="array" ref="K57">SUM(ROUND(K52:K55,0))</f>
        <v>7368609</v>
      </c>
      <c r="L57" s="91"/>
    </row>
    <row r="58" spans="1:12">
      <c r="A58" s="29"/>
      <c r="B58" s="35"/>
      <c r="C58" s="35"/>
      <c r="D58" s="14"/>
      <c r="E58" s="14"/>
      <c r="F58" s="14"/>
      <c r="G58" s="15"/>
      <c r="H58" s="59"/>
      <c r="I58" s="59"/>
      <c r="J58" s="59"/>
      <c r="K58" s="59"/>
      <c r="L58" s="77"/>
    </row>
    <row r="59" spans="1:12">
      <c r="A59" s="65" t="str">
        <f>IF(H59&lt;0,IF(J59&gt;0,"Increase (Decrease) in Net Position","Decrease in Net Position"),IF(H59&gt;0,IF(J59&gt;=0,"Increase in Net Position","Increase (Decrease) in Net Position"),IF(J59&lt;0,"Decrease in Net Position",IF(J59&gt;0,"Increase in Net Position","Increase (Decrease) in Net Position"))))</f>
        <v>Decrease in Net Position</v>
      </c>
      <c r="B59" s="35"/>
      <c r="C59" s="35"/>
      <c r="D59" s="14"/>
      <c r="E59" s="14"/>
      <c r="F59" s="14"/>
      <c r="G59" s="15"/>
      <c r="H59" s="90">
        <f>H50+H57</f>
        <v>-6309360</v>
      </c>
      <c r="I59" s="92"/>
      <c r="J59" s="90">
        <f>J50+J57</f>
        <v>-144195</v>
      </c>
      <c r="K59" s="90">
        <f>K50+K57</f>
        <v>-6453555</v>
      </c>
      <c r="L59" s="91"/>
    </row>
    <row r="60" spans="1:12">
      <c r="A60" s="93"/>
      <c r="B60" s="35"/>
      <c r="C60" s="35"/>
      <c r="D60" s="14"/>
      <c r="E60" s="14"/>
      <c r="F60" s="14"/>
      <c r="G60" s="15"/>
      <c r="H60" s="94"/>
      <c r="I60" s="94"/>
      <c r="J60" s="94"/>
      <c r="K60" s="94"/>
      <c r="L60" s="95"/>
    </row>
    <row r="61" spans="1:12">
      <c r="A61" s="14" t="s">
        <v>91</v>
      </c>
      <c r="B61" s="35"/>
      <c r="C61" s="14"/>
      <c r="D61" s="14"/>
      <c r="E61" s="14"/>
      <c r="F61" s="14"/>
      <c r="G61" s="15"/>
      <c r="H61" s="96">
        <f>VLOOKUP($A$1,[11]VLOOKUPS!A44:D71,2,FALSE)</f>
        <v>271686692</v>
      </c>
      <c r="I61" s="49"/>
      <c r="J61" s="96">
        <f>VLOOKUP($A$1,[11]VLOOKUPS!A44:D71,3,FALSE)</f>
        <v>46467136</v>
      </c>
      <c r="K61" s="89">
        <f>ROUND(J61,0)+ROUND(H61,0)</f>
        <v>318153828</v>
      </c>
      <c r="L61" s="97"/>
    </row>
    <row r="62" spans="1:12">
      <c r="A62" s="14" t="s">
        <v>94</v>
      </c>
      <c r="B62" s="35"/>
      <c r="C62" s="14"/>
      <c r="D62" s="14"/>
      <c r="E62" s="14"/>
      <c r="F62" s="14"/>
      <c r="G62" s="15"/>
      <c r="H62" s="82">
        <v>-43983309</v>
      </c>
      <c r="I62" s="49"/>
      <c r="J62" s="82">
        <v>0</v>
      </c>
      <c r="K62" s="82">
        <f>ROUND(J62,0)+ROUND(H62,0)</f>
        <v>-43983309</v>
      </c>
      <c r="L62" s="81"/>
    </row>
    <row r="63" spans="1:12">
      <c r="A63" s="36"/>
      <c r="B63" s="36"/>
      <c r="C63" s="36"/>
      <c r="D63" s="36"/>
      <c r="E63" s="36"/>
      <c r="F63" s="98"/>
      <c r="G63" s="36"/>
      <c r="H63" s="92"/>
      <c r="I63" s="99"/>
      <c r="J63" s="99"/>
      <c r="K63" s="99"/>
      <c r="L63" s="100"/>
    </row>
    <row r="64" spans="1:12">
      <c r="A64" s="101" t="s">
        <v>95</v>
      </c>
      <c r="B64" s="36"/>
      <c r="C64" s="36"/>
      <c r="D64" s="36"/>
      <c r="E64" s="36"/>
      <c r="F64" s="60"/>
      <c r="G64" s="60"/>
      <c r="H64" s="90">
        <f t="array" ref="H64">SUM(ROUND(H61:H62,0))</f>
        <v>227703383</v>
      </c>
      <c r="I64" s="92"/>
      <c r="J64" s="90">
        <f t="array" ref="J64">SUM(ROUND(J61:J62,0))</f>
        <v>46467136</v>
      </c>
      <c r="K64" s="90">
        <f t="array" ref="K64">SUM(ROUND(K61:K62,0))</f>
        <v>274170519</v>
      </c>
      <c r="L64" s="91"/>
    </row>
    <row r="65" spans="1:12">
      <c r="A65" s="36"/>
      <c r="B65" s="36"/>
      <c r="C65" s="36"/>
      <c r="D65" s="36"/>
      <c r="E65" s="36"/>
      <c r="F65" s="102"/>
      <c r="G65" s="36"/>
      <c r="H65" s="102"/>
      <c r="I65" s="60"/>
      <c r="J65" s="60"/>
      <c r="K65" s="60"/>
      <c r="L65" s="61"/>
    </row>
    <row r="66" spans="1:12" ht="13.5" thickBot="1">
      <c r="A66" s="29" t="s">
        <v>96</v>
      </c>
      <c r="B66" s="35"/>
      <c r="C66" s="14"/>
      <c r="D66" s="14"/>
      <c r="E66" s="14"/>
      <c r="F66" s="14"/>
      <c r="G66" s="103"/>
      <c r="H66" s="104">
        <f>H59+H64</f>
        <v>221394023</v>
      </c>
      <c r="I66" s="105"/>
      <c r="J66" s="104">
        <f>J59+J64</f>
        <v>46322941</v>
      </c>
      <c r="K66" s="104">
        <f>K59+K64</f>
        <v>267716964</v>
      </c>
      <c r="L66" s="46"/>
    </row>
    <row r="67" spans="1:12" ht="13.5" thickTop="1">
      <c r="A67" s="14"/>
      <c r="B67" s="14"/>
      <c r="C67" s="14"/>
      <c r="D67" s="14"/>
      <c r="E67" s="14"/>
      <c r="F67" s="14"/>
      <c r="G67" s="15"/>
      <c r="H67" s="107"/>
      <c r="I67" s="15"/>
      <c r="J67" s="107"/>
      <c r="K67" s="107"/>
      <c r="L67" s="108"/>
    </row>
    <row r="68" spans="1:12">
      <c r="A68" s="35" t="s">
        <v>97</v>
      </c>
      <c r="B68" s="35"/>
      <c r="C68" s="35"/>
      <c r="D68" s="35"/>
      <c r="E68" s="35"/>
      <c r="F68" s="35"/>
      <c r="G68" s="87"/>
      <c r="H68" s="35"/>
      <c r="I68" s="87"/>
      <c r="J68" s="35"/>
      <c r="K68" s="35"/>
      <c r="L68" s="37"/>
    </row>
    <row r="69" spans="1:12">
      <c r="G69" s="6"/>
      <c r="H69" s="109">
        <f>H66-[11]SNP!K119</f>
        <v>0</v>
      </c>
      <c r="I69" s="110"/>
      <c r="J69" s="111">
        <f>J66-[11]SNP!M119</f>
        <v>0</v>
      </c>
      <c r="K69" s="111">
        <f>K66-[11]SNP!N119</f>
        <v>0</v>
      </c>
      <c r="L69" s="112"/>
    </row>
    <row r="70" spans="1:12">
      <c r="G70" s="113" t="s">
        <v>98</v>
      </c>
      <c r="H70" s="114"/>
      <c r="I70" s="115"/>
      <c r="J70" s="114"/>
      <c r="K70" s="114"/>
      <c r="L70" s="114"/>
    </row>
  </sheetData>
  <sheetProtection formatColumns="0" formatRows="0"/>
  <conditionalFormatting sqref="H69 J69">
    <cfRule type="cellIs" dxfId="318" priority="14" operator="notEqual">
      <formula>0</formula>
    </cfRule>
    <cfRule type="cellIs" dxfId="317" priority="15" operator="equal">
      <formula>0</formula>
    </cfRule>
  </conditionalFormatting>
  <conditionalFormatting sqref="H11:H15 D11:E11 J24:J30 J37:J45 H37:H45 J62 H62 J17:J18 H25:H29 H17:H18 D17:E17 J11:J15 J52:J55 H52:H55">
    <cfRule type="containsBlanks" dxfId="316" priority="12">
      <formula>LEN(TRIM(D11))=0</formula>
    </cfRule>
    <cfRule type="cellIs" dxfId="315" priority="13" operator="notEqual">
      <formula>0</formula>
    </cfRule>
  </conditionalFormatting>
  <conditionalFormatting sqref="H11">
    <cfRule type="cellIs" dxfId="314" priority="11" operator="notEqual">
      <formula>H20</formula>
    </cfRule>
  </conditionalFormatting>
  <conditionalFormatting sqref="J11">
    <cfRule type="cellIs" dxfId="313" priority="10" operator="notEqual">
      <formula>J20</formula>
    </cfRule>
  </conditionalFormatting>
  <conditionalFormatting sqref="K69">
    <cfRule type="cellIs" dxfId="312" priority="8" operator="notEqual">
      <formula>0</formula>
    </cfRule>
    <cfRule type="cellIs" dxfId="311" priority="9" operator="equal">
      <formula>0</formula>
    </cfRule>
  </conditionalFormatting>
  <conditionalFormatting sqref="K24:K30 K37:K45 K62 K17:K18 K11:K15 K52:K55">
    <cfRule type="containsBlanks" dxfId="310" priority="6">
      <formula>LEN(TRIM(K11))=0</formula>
    </cfRule>
    <cfRule type="cellIs" dxfId="309" priority="7" operator="notEqual">
      <formula>0</formula>
    </cfRule>
  </conditionalFormatting>
  <conditionalFormatting sqref="K11">
    <cfRule type="cellIs" dxfId="308" priority="5" operator="notEqual">
      <formula>K20</formula>
    </cfRule>
  </conditionalFormatting>
  <conditionalFormatting sqref="H24">
    <cfRule type="containsBlanks" dxfId="307" priority="3">
      <formula>LEN(TRIM(H24))=0</formula>
    </cfRule>
    <cfRule type="cellIs" dxfId="306" priority="4" operator="notEqual">
      <formula>0</formula>
    </cfRule>
  </conditionalFormatting>
  <conditionalFormatting sqref="K61">
    <cfRule type="containsBlanks" dxfId="305" priority="1">
      <formula>LEN(TRIM(K61))=0</formula>
    </cfRule>
    <cfRule type="cellIs" dxfId="304" priority="2" operator="notEqual">
      <formula>0</formula>
    </cfRule>
  </conditionalFormatting>
  <printOptions horizontalCentered="1"/>
  <pageMargins left="0.7" right="0.7" top="0.75" bottom="0.75" header="0.5" footer="0.5"/>
  <pageSetup scale="54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2</vt:i4>
      </vt:variant>
    </vt:vector>
  </HeadingPairs>
  <TitlesOfParts>
    <vt:vector size="32" baseType="lpstr">
      <vt:lpstr>FCS SNP</vt:lpstr>
      <vt:lpstr>FCS</vt:lpstr>
      <vt:lpstr>EASTERNFL</vt:lpstr>
      <vt:lpstr>BROWARD</vt:lpstr>
      <vt:lpstr>CENTRALFL</vt:lpstr>
      <vt:lpstr>CHIPOLA</vt:lpstr>
      <vt:lpstr>DAYTONA</vt:lpstr>
      <vt:lpstr>FLORIDASW</vt:lpstr>
      <vt:lpstr>FSCJ</vt:lpstr>
      <vt:lpstr>FLKEYS</vt:lpstr>
      <vt:lpstr>GULFCOAST</vt:lpstr>
      <vt:lpstr>HILLSBOROUGH</vt:lpstr>
      <vt:lpstr>INDIANRIVER</vt:lpstr>
      <vt:lpstr>GATEWAY</vt:lpstr>
      <vt:lpstr>LAKESUMTER</vt:lpstr>
      <vt:lpstr>MANATEE</vt:lpstr>
      <vt:lpstr>MIAMIDADE</vt:lpstr>
      <vt:lpstr>NORTHFL</vt:lpstr>
      <vt:lpstr>NORTHWEST</vt:lpstr>
      <vt:lpstr>PALMBEACH</vt:lpstr>
      <vt:lpstr>PASCOHERNANDO</vt:lpstr>
      <vt:lpstr>PENSACOLA</vt:lpstr>
      <vt:lpstr>POLK</vt:lpstr>
      <vt:lpstr>STJOHNS</vt:lpstr>
      <vt:lpstr>STPETE</vt:lpstr>
      <vt:lpstr>SANTAFE</vt:lpstr>
      <vt:lpstr>SEMINOLE</vt:lpstr>
      <vt:lpstr>SOUTHFLORIDA</vt:lpstr>
      <vt:lpstr>TALLAHASSEE</vt:lpstr>
      <vt:lpstr>VALENCIA</vt:lpstr>
      <vt:lpstr>FCS!Print_Area</vt:lpstr>
      <vt:lpstr>'FCS SNP'!Print_Area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Rose</dc:creator>
  <cp:lastModifiedBy>Sisley, Dottie</cp:lastModifiedBy>
  <cp:lastPrinted>2015-12-23T19:48:17Z</cp:lastPrinted>
  <dcterms:created xsi:type="dcterms:W3CDTF">2014-12-18T21:45:41Z</dcterms:created>
  <dcterms:modified xsi:type="dcterms:W3CDTF">2020-02-13T15:27:11Z</dcterms:modified>
</cp:coreProperties>
</file>