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360" yWindow="75" windowWidth="17235" windowHeight="1131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ARRA">[1]List!$C$1:$C$2</definedName>
    <definedName name="_xlnm.Print_Area" localSheetId="2">BROWARD!$A$1:$F$53</definedName>
    <definedName name="_xlnm.Print_Area" localSheetId="3">CENTRALFL!$A$1:$F$53</definedName>
    <definedName name="_xlnm.Print_Area" localSheetId="4">CHIPOLA!$A$1:$F$53</definedName>
    <definedName name="_xlnm.Print_Area" localSheetId="5">DAYTONA!$A$1:$F$53</definedName>
    <definedName name="_xlnm.Print_Area" localSheetId="1">EASTERNFL!$A$1:$F$53</definedName>
    <definedName name="_xlnm.Print_Area" localSheetId="0">'FCS CIF'!$A$1:$F$54</definedName>
    <definedName name="_xlnm.Print_Area" localSheetId="8">FLKEYS!$A$1:$F$53</definedName>
    <definedName name="_xlnm.Print_Area" localSheetId="6">FLORIDASW!$A$1:$F$53</definedName>
    <definedName name="_xlnm.Print_Area" localSheetId="7">FSCJ!$A$1:$F$53</definedName>
    <definedName name="_xlnm.Print_Area" localSheetId="12">GATEWAY!$A$1:$F$53</definedName>
    <definedName name="_xlnm.Print_Area" localSheetId="9">GULFCOAST!$A$1:$F$53</definedName>
    <definedName name="_xlnm.Print_Area" localSheetId="10">HILLSBOROUGH!$A$1:$F$53</definedName>
    <definedName name="_xlnm.Print_Area" localSheetId="11">INDIANRIVER!$A$1:$F$53</definedName>
    <definedName name="_xlnm.Print_Area" localSheetId="13">LAKESUMTER!$A$1:$F$53</definedName>
    <definedName name="_xlnm.Print_Area" localSheetId="15">MIAMIDADE!$A$1:$F$53</definedName>
    <definedName name="_xlnm.Print_Area" localSheetId="16">NORTHFL!$A$1:$F$53</definedName>
    <definedName name="_xlnm.Print_Area" localSheetId="17">NORTHWESTFL!$A$1:$F$53</definedName>
    <definedName name="_xlnm.Print_Area" localSheetId="18">PALMBEACH!$A$1:$F$53</definedName>
    <definedName name="_xlnm.Print_Area" localSheetId="19">PASCOHERNANDO!$A$1:$F$53</definedName>
    <definedName name="_xlnm.Print_Area" localSheetId="20">PENSACOLA!$A$1:$F$53</definedName>
    <definedName name="_xlnm.Print_Area" localSheetId="21">POLK!$A$1:$F$53</definedName>
    <definedName name="_xlnm.Print_Area" localSheetId="24">SANTAFE!$A$1:$F$53</definedName>
    <definedName name="_xlnm.Print_Area" localSheetId="14">SCFMANATEE!$A$1:$F$53</definedName>
    <definedName name="_xlnm.Print_Area" localSheetId="25">SEMINOLE!$A$1:$F$53</definedName>
    <definedName name="_xlnm.Print_Area" localSheetId="26">SOUTHFL!$A$1:$F$53</definedName>
    <definedName name="_xlnm.Print_Area" localSheetId="22">STJOHNS!$A$1:$F$53</definedName>
    <definedName name="_xlnm.Print_Area" localSheetId="23">STPETE!$A$1:$F$53</definedName>
    <definedName name="_xlnm.Print_Area" localSheetId="27">TALLAHASSEE!$A$1:$F$53</definedName>
    <definedName name="_xlnm.Print_Area" localSheetId="28">VALENCIA!$A$1:$F$53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35" i="31" l="1"/>
  <c r="F32" i="31"/>
  <c r="F31" i="31"/>
  <c r="D30" i="31"/>
  <c r="F30" i="31" s="1"/>
  <c r="D29" i="31"/>
  <c r="F29" i="31" s="1"/>
  <c r="B28" i="31"/>
  <c r="B33" i="31" s="1"/>
  <c r="F27" i="31"/>
  <c r="F26" i="31"/>
  <c r="F21" i="31"/>
  <c r="F19" i="31"/>
  <c r="D17" i="31"/>
  <c r="D23" i="31" s="1"/>
  <c r="B16" i="31"/>
  <c r="F16" i="31" s="1"/>
  <c r="B15" i="31"/>
  <c r="F15" i="31" s="1"/>
  <c r="B14" i="31"/>
  <c r="F5" i="31"/>
  <c r="A1" i="31"/>
  <c r="D10" i="31" s="1"/>
  <c r="B17" i="31" l="1"/>
  <c r="B23" i="31" s="1"/>
  <c r="D33" i="31"/>
  <c r="D37" i="31" s="1"/>
  <c r="F28" i="31"/>
  <c r="F33" i="31" s="1"/>
  <c r="B10" i="31"/>
  <c r="F14" i="31"/>
  <c r="F17" i="31" l="1"/>
  <c r="F23" i="31" s="1"/>
  <c r="B37" i="31"/>
  <c r="F10" i="31"/>
  <c r="F37" i="31" l="1"/>
  <c r="F35" i="30"/>
  <c r="D33" i="30"/>
  <c r="B32" i="30"/>
  <c r="F32" i="30" s="1"/>
  <c r="F31" i="30"/>
  <c r="F30" i="30"/>
  <c r="F29" i="30"/>
  <c r="F28" i="30"/>
  <c r="F27" i="30"/>
  <c r="F26" i="30"/>
  <c r="F21" i="30"/>
  <c r="F19" i="30"/>
  <c r="D17" i="30"/>
  <c r="D23" i="30" s="1"/>
  <c r="B16" i="30"/>
  <c r="F16" i="30" s="1"/>
  <c r="B15" i="30"/>
  <c r="F15" i="30" s="1"/>
  <c r="B14" i="30"/>
  <c r="F14" i="30" s="1"/>
  <c r="F5" i="30"/>
  <c r="A1" i="30"/>
  <c r="B10" i="30" s="1"/>
  <c r="B33" i="30" l="1"/>
  <c r="F33" i="30"/>
  <c r="D10" i="30"/>
  <c r="D37" i="30" s="1"/>
  <c r="B17" i="30"/>
  <c r="F10" i="30" l="1"/>
  <c r="B23" i="30"/>
  <c r="B37" i="30" s="1"/>
  <c r="F17" i="30"/>
  <c r="F23" i="30" s="1"/>
  <c r="F37" i="30" l="1"/>
  <c r="F35" i="29"/>
  <c r="D33" i="29"/>
  <c r="F32" i="29"/>
  <c r="B31" i="29"/>
  <c r="F31" i="29" s="1"/>
  <c r="B30" i="29"/>
  <c r="F30" i="29" s="1"/>
  <c r="B29" i="29"/>
  <c r="F28" i="29"/>
  <c r="F27" i="29"/>
  <c r="F26" i="29"/>
  <c r="F21" i="29"/>
  <c r="F19" i="29"/>
  <c r="D17" i="29"/>
  <c r="D23" i="29" s="1"/>
  <c r="B16" i="29"/>
  <c r="F16" i="29" s="1"/>
  <c r="B15" i="29"/>
  <c r="F15" i="29" s="1"/>
  <c r="B14" i="29"/>
  <c r="F14" i="29" s="1"/>
  <c r="F5" i="29"/>
  <c r="A1" i="29"/>
  <c r="D10" i="29" s="1"/>
  <c r="D37" i="29" s="1"/>
  <c r="B33" i="29" l="1"/>
  <c r="F29" i="29"/>
  <c r="F33" i="29" s="1"/>
  <c r="B17" i="29"/>
  <c r="F17" i="29" s="1"/>
  <c r="F23" i="29" s="1"/>
  <c r="B10" i="29"/>
  <c r="B23" i="29" l="1"/>
  <c r="B37" i="29" s="1"/>
  <c r="F10" i="29"/>
  <c r="F37" i="29" s="1"/>
  <c r="F35" i="28" l="1"/>
  <c r="D33" i="28"/>
  <c r="B33" i="28"/>
  <c r="F32" i="28"/>
  <c r="F31" i="28"/>
  <c r="F30" i="28"/>
  <c r="F29" i="28"/>
  <c r="F28" i="28"/>
  <c r="F27" i="28"/>
  <c r="F26" i="28"/>
  <c r="F21" i="28"/>
  <c r="F19" i="28"/>
  <c r="D17" i="28"/>
  <c r="D23" i="28" s="1"/>
  <c r="B16" i="28"/>
  <c r="F16" i="28" s="1"/>
  <c r="B15" i="28"/>
  <c r="F15" i="28" s="1"/>
  <c r="B14" i="28"/>
  <c r="F14" i="28" s="1"/>
  <c r="F5" i="28"/>
  <c r="A1" i="28"/>
  <c r="D10" i="28" s="1"/>
  <c r="D37" i="28" l="1"/>
  <c r="B17" i="28"/>
  <c r="F17" i="28" s="1"/>
  <c r="F23" i="28" s="1"/>
  <c r="F33" i="28"/>
  <c r="B10" i="28"/>
  <c r="B23" i="28" l="1"/>
  <c r="B37" i="28" s="1"/>
  <c r="F10" i="28"/>
  <c r="F37" i="28" s="1"/>
  <c r="F35" i="27" l="1"/>
  <c r="D33" i="27"/>
  <c r="B33" i="27"/>
  <c r="F32" i="27"/>
  <c r="F31" i="27"/>
  <c r="F30" i="27"/>
  <c r="F29" i="27"/>
  <c r="F28" i="27"/>
  <c r="F27" i="27"/>
  <c r="F26" i="27"/>
  <c r="D23" i="27"/>
  <c r="F21" i="27"/>
  <c r="F19" i="27"/>
  <c r="D17" i="27"/>
  <c r="B16" i="27"/>
  <c r="F16" i="27" s="1"/>
  <c r="B15" i="27"/>
  <c r="F15" i="27" s="1"/>
  <c r="B14" i="27"/>
  <c r="F5" i="27"/>
  <c r="A1" i="27"/>
  <c r="D10" i="27" s="1"/>
  <c r="D37" i="27" s="1"/>
  <c r="B17" i="27" l="1"/>
  <c r="B23" i="27" s="1"/>
  <c r="F33" i="27"/>
  <c r="B10" i="27"/>
  <c r="F14" i="27"/>
  <c r="F17" i="27" l="1"/>
  <c r="F23" i="27" s="1"/>
  <c r="F10" i="27"/>
  <c r="B37" i="27"/>
  <c r="F37" i="27" l="1"/>
  <c r="F35" i="25"/>
  <c r="D33" i="25"/>
  <c r="B33" i="25"/>
  <c r="F32" i="25"/>
  <c r="F31" i="25"/>
  <c r="F30" i="25"/>
  <c r="F29" i="25"/>
  <c r="F28" i="25"/>
  <c r="F27" i="25"/>
  <c r="F26" i="25"/>
  <c r="F21" i="25"/>
  <c r="F19" i="25"/>
  <c r="D17" i="25"/>
  <c r="D23" i="25" s="1"/>
  <c r="B16" i="25"/>
  <c r="F16" i="25" s="1"/>
  <c r="B15" i="25"/>
  <c r="F15" i="25" s="1"/>
  <c r="B14" i="25"/>
  <c r="F5" i="25"/>
  <c r="A1" i="25"/>
  <c r="D10" i="25" s="1"/>
  <c r="D37" i="25" s="1"/>
  <c r="B17" i="25" l="1"/>
  <c r="B23" i="25" s="1"/>
  <c r="B10" i="25"/>
  <c r="F10" i="25" s="1"/>
  <c r="F33" i="25"/>
  <c r="F14" i="25"/>
  <c r="F17" i="25" l="1"/>
  <c r="F23" i="25" s="1"/>
  <c r="F37" i="25" s="1"/>
  <c r="B37" i="25"/>
  <c r="F35" i="24" l="1"/>
  <c r="D33" i="24"/>
  <c r="B33" i="24"/>
  <c r="F32" i="24"/>
  <c r="F31" i="24"/>
  <c r="F30" i="24"/>
  <c r="F29" i="24"/>
  <c r="F28" i="24"/>
  <c r="F27" i="24"/>
  <c r="F26" i="24"/>
  <c r="F21" i="24"/>
  <c r="F19" i="24"/>
  <c r="D17" i="24"/>
  <c r="D23" i="24" s="1"/>
  <c r="B16" i="24"/>
  <c r="F16" i="24" s="1"/>
  <c r="B15" i="24"/>
  <c r="F15" i="24" s="1"/>
  <c r="B14" i="24"/>
  <c r="F14" i="24" s="1"/>
  <c r="F5" i="24"/>
  <c r="A1" i="24"/>
  <c r="D10" i="24" s="1"/>
  <c r="D37" i="24" s="1"/>
  <c r="F33" i="24" l="1"/>
  <c r="B10" i="24"/>
  <c r="F10" i="24" s="1"/>
  <c r="B17" i="24"/>
  <c r="B23" i="24" l="1"/>
  <c r="B37" i="24" s="1"/>
  <c r="F17" i="24"/>
  <c r="F23" i="24" s="1"/>
  <c r="F37" i="24" s="1"/>
  <c r="F35" i="23" l="1"/>
  <c r="D33" i="23"/>
  <c r="B33" i="23"/>
  <c r="F32" i="23"/>
  <c r="F31" i="23"/>
  <c r="F30" i="23"/>
  <c r="F29" i="23"/>
  <c r="F28" i="23"/>
  <c r="F27" i="23"/>
  <c r="F26" i="23"/>
  <c r="F21" i="23"/>
  <c r="F19" i="23"/>
  <c r="D17" i="23"/>
  <c r="D23" i="23" s="1"/>
  <c r="B16" i="23"/>
  <c r="F16" i="23" s="1"/>
  <c r="B15" i="23"/>
  <c r="F15" i="23" s="1"/>
  <c r="B14" i="23"/>
  <c r="F5" i="23"/>
  <c r="A1" i="23"/>
  <c r="D10" i="23" s="1"/>
  <c r="D37" i="23" s="1"/>
  <c r="F33" i="23" l="1"/>
  <c r="B17" i="23"/>
  <c r="B23" i="23" s="1"/>
  <c r="F17" i="23"/>
  <c r="F23" i="23" s="1"/>
  <c r="B10" i="23"/>
  <c r="F14" i="23"/>
  <c r="F10" i="23" l="1"/>
  <c r="F37" i="23" s="1"/>
  <c r="B37" i="23"/>
  <c r="F35" i="22" l="1"/>
  <c r="D33" i="22"/>
  <c r="F32" i="22"/>
  <c r="F31" i="22"/>
  <c r="F30" i="22"/>
  <c r="F29" i="22"/>
  <c r="B28" i="22"/>
  <c r="B33" i="22" s="1"/>
  <c r="F27" i="22"/>
  <c r="F26" i="22"/>
  <c r="F21" i="22"/>
  <c r="D19" i="22"/>
  <c r="F19" i="22" s="1"/>
  <c r="D17" i="22"/>
  <c r="D23" i="22" s="1"/>
  <c r="B16" i="22"/>
  <c r="F16" i="22" s="1"/>
  <c r="B15" i="22"/>
  <c r="F15" i="22" s="1"/>
  <c r="B14" i="22"/>
  <c r="F5" i="22"/>
  <c r="A1" i="22"/>
  <c r="D10" i="22" s="1"/>
  <c r="D37" i="22" l="1"/>
  <c r="B10" i="22"/>
  <c r="F10" i="22" s="1"/>
  <c r="B17" i="22"/>
  <c r="B23" i="22" s="1"/>
  <c r="F14" i="22"/>
  <c r="F28" i="22"/>
  <c r="F33" i="22" s="1"/>
  <c r="F17" i="22" l="1"/>
  <c r="F23" i="22" s="1"/>
  <c r="F37" i="22" s="1"/>
  <c r="B37" i="22"/>
  <c r="F35" i="21" l="1"/>
  <c r="D33" i="21"/>
  <c r="B33" i="21"/>
  <c r="F32" i="21"/>
  <c r="F31" i="21"/>
  <c r="F30" i="21"/>
  <c r="F29" i="21"/>
  <c r="F28" i="21"/>
  <c r="F27" i="21"/>
  <c r="F26" i="21"/>
  <c r="F21" i="21"/>
  <c r="F19" i="21"/>
  <c r="D17" i="21"/>
  <c r="D23" i="21" s="1"/>
  <c r="B16" i="21"/>
  <c r="F16" i="21" s="1"/>
  <c r="B15" i="21"/>
  <c r="F15" i="21" s="1"/>
  <c r="B14" i="21"/>
  <c r="F5" i="21"/>
  <c r="A1" i="21"/>
  <c r="D10" i="21" s="1"/>
  <c r="F33" i="21" l="1"/>
  <c r="B17" i="21"/>
  <c r="D37" i="21"/>
  <c r="B23" i="21"/>
  <c r="F17" i="21"/>
  <c r="F23" i="21" s="1"/>
  <c r="B10" i="21"/>
  <c r="F14" i="21"/>
  <c r="F10" i="21" l="1"/>
  <c r="F37" i="21" s="1"/>
  <c r="B37" i="21"/>
  <c r="F35" i="20" l="1"/>
  <c r="D33" i="20"/>
  <c r="B33" i="20"/>
  <c r="F32" i="20"/>
  <c r="F31" i="20"/>
  <c r="F30" i="20"/>
  <c r="F29" i="20"/>
  <c r="F28" i="20"/>
  <c r="F27" i="20"/>
  <c r="F26" i="20"/>
  <c r="F21" i="20"/>
  <c r="F19" i="20"/>
  <c r="D17" i="20"/>
  <c r="D23" i="20" s="1"/>
  <c r="B16" i="20"/>
  <c r="F16" i="20" s="1"/>
  <c r="B15" i="20"/>
  <c r="F15" i="20" s="1"/>
  <c r="B14" i="20"/>
  <c r="F5" i="20"/>
  <c r="A1" i="20"/>
  <c r="D10" i="20" s="1"/>
  <c r="D37" i="20" s="1"/>
  <c r="B17" i="20" l="1"/>
  <c r="F17" i="20" s="1"/>
  <c r="F23" i="20" s="1"/>
  <c r="F33" i="20"/>
  <c r="B10" i="20"/>
  <c r="F14" i="20"/>
  <c r="B23" i="20" l="1"/>
  <c r="B37" i="20" s="1"/>
  <c r="F10" i="20"/>
  <c r="F37" i="20" s="1"/>
  <c r="F35" i="19" l="1"/>
  <c r="D33" i="19"/>
  <c r="F32" i="19"/>
  <c r="B31" i="19"/>
  <c r="F31" i="19" s="1"/>
  <c r="B30" i="19"/>
  <c r="F30" i="19" s="1"/>
  <c r="F29" i="19"/>
  <c r="F28" i="19"/>
  <c r="F27" i="19"/>
  <c r="B26" i="19"/>
  <c r="F21" i="19"/>
  <c r="F19" i="19"/>
  <c r="D17" i="19"/>
  <c r="D23" i="19" s="1"/>
  <c r="B16" i="19"/>
  <c r="F16" i="19" s="1"/>
  <c r="B15" i="19"/>
  <c r="F15" i="19" s="1"/>
  <c r="B14" i="19"/>
  <c r="F5" i="19"/>
  <c r="A1" i="19"/>
  <c r="D10" i="19" s="1"/>
  <c r="B33" i="19" l="1"/>
  <c r="B17" i="19"/>
  <c r="B23" i="19" s="1"/>
  <c r="D37" i="19"/>
  <c r="B10" i="19"/>
  <c r="F10" i="19" s="1"/>
  <c r="F14" i="19"/>
  <c r="F17" i="19"/>
  <c r="F23" i="19" s="1"/>
  <c r="F26" i="19"/>
  <c r="F33" i="19" s="1"/>
  <c r="B37" i="19" l="1"/>
  <c r="F37" i="19"/>
  <c r="F35" i="18" l="1"/>
  <c r="D33" i="18"/>
  <c r="F32" i="18"/>
  <c r="F31" i="18"/>
  <c r="B30" i="18"/>
  <c r="F30" i="18" s="1"/>
  <c r="B29" i="18"/>
  <c r="F29" i="18" s="1"/>
  <c r="F28" i="18"/>
  <c r="F27" i="18"/>
  <c r="F26" i="18"/>
  <c r="F21" i="18"/>
  <c r="F19" i="18"/>
  <c r="D17" i="18"/>
  <c r="D23" i="18" s="1"/>
  <c r="B16" i="18"/>
  <c r="F16" i="18" s="1"/>
  <c r="B15" i="18"/>
  <c r="F15" i="18" s="1"/>
  <c r="B14" i="18"/>
  <c r="F14" i="18" s="1"/>
  <c r="F5" i="18"/>
  <c r="A1" i="18"/>
  <c r="B10" i="18" s="1"/>
  <c r="F33" i="18" l="1"/>
  <c r="B33" i="18"/>
  <c r="D10" i="18"/>
  <c r="D37" i="18" s="1"/>
  <c r="B17" i="18"/>
  <c r="F10" i="18" l="1"/>
  <c r="F17" i="18"/>
  <c r="F23" i="18" s="1"/>
  <c r="B23" i="18"/>
  <c r="B37" i="18" s="1"/>
  <c r="F37" i="18" l="1"/>
  <c r="F35" i="17" l="1"/>
  <c r="D33" i="17"/>
  <c r="F32" i="17"/>
  <c r="F31" i="17"/>
  <c r="B30" i="17"/>
  <c r="B29" i="17"/>
  <c r="F29" i="17" s="1"/>
  <c r="F28" i="17"/>
  <c r="B27" i="17"/>
  <c r="F27" i="17" s="1"/>
  <c r="B26" i="17"/>
  <c r="F26" i="17" s="1"/>
  <c r="F21" i="17"/>
  <c r="D19" i="17"/>
  <c r="F19" i="17" s="1"/>
  <c r="D17" i="17"/>
  <c r="B16" i="17"/>
  <c r="F16" i="17" s="1"/>
  <c r="B15" i="17"/>
  <c r="F15" i="17" s="1"/>
  <c r="B14" i="17"/>
  <c r="F14" i="17" s="1"/>
  <c r="F5" i="17"/>
  <c r="A1" i="17"/>
  <c r="B10" i="17" s="1"/>
  <c r="D23" i="17" l="1"/>
  <c r="D10" i="17"/>
  <c r="D37" i="17" s="1"/>
  <c r="B33" i="17"/>
  <c r="B17" i="17"/>
  <c r="F30" i="17"/>
  <c r="F33" i="17" s="1"/>
  <c r="F35" i="16"/>
  <c r="D33" i="16"/>
  <c r="B33" i="16"/>
  <c r="F32" i="16"/>
  <c r="F31" i="16"/>
  <c r="F30" i="16"/>
  <c r="F29" i="16"/>
  <c r="F28" i="16"/>
  <c r="F27" i="16"/>
  <c r="F26" i="16"/>
  <c r="F21" i="16"/>
  <c r="F19" i="16"/>
  <c r="D17" i="16"/>
  <c r="D23" i="16" s="1"/>
  <c r="B16" i="16"/>
  <c r="F16" i="16" s="1"/>
  <c r="B15" i="16"/>
  <c r="F15" i="16" s="1"/>
  <c r="B14" i="16"/>
  <c r="F14" i="16" s="1"/>
  <c r="F5" i="16"/>
  <c r="A1" i="16"/>
  <c r="D10" i="16" s="1"/>
  <c r="D37" i="16" s="1"/>
  <c r="F10" i="17" l="1"/>
  <c r="B23" i="17"/>
  <c r="B37" i="17" s="1"/>
  <c r="F17" i="17"/>
  <c r="F23" i="17" s="1"/>
  <c r="F37" i="17" s="1"/>
  <c r="F33" i="16"/>
  <c r="B17" i="16"/>
  <c r="B10" i="16"/>
  <c r="B23" i="16" l="1"/>
  <c r="B37" i="16" s="1"/>
  <c r="F17" i="16"/>
  <c r="F23" i="16" s="1"/>
  <c r="F10" i="16"/>
  <c r="F37" i="16" l="1"/>
  <c r="F35" i="15" l="1"/>
  <c r="D33" i="15"/>
  <c r="B33" i="15"/>
  <c r="F32" i="15"/>
  <c r="F31" i="15"/>
  <c r="F30" i="15"/>
  <c r="F29" i="15"/>
  <c r="F28" i="15"/>
  <c r="F27" i="15"/>
  <c r="F26" i="15"/>
  <c r="F21" i="15"/>
  <c r="F19" i="15"/>
  <c r="D17" i="15"/>
  <c r="D23" i="15" s="1"/>
  <c r="B16" i="15"/>
  <c r="F16" i="15" s="1"/>
  <c r="B15" i="15"/>
  <c r="F15" i="15" s="1"/>
  <c r="B14" i="15"/>
  <c r="F5" i="15"/>
  <c r="A1" i="15"/>
  <c r="D10" i="15" s="1"/>
  <c r="D37" i="15" s="1"/>
  <c r="B17" i="15" l="1"/>
  <c r="B23" i="15" s="1"/>
  <c r="F33" i="15"/>
  <c r="B10" i="15"/>
  <c r="F14" i="15"/>
  <c r="F17" i="15" l="1"/>
  <c r="F23" i="15" s="1"/>
  <c r="F10" i="15"/>
  <c r="F37" i="15" s="1"/>
  <c r="B37" i="15"/>
  <c r="F35" i="14" l="1"/>
  <c r="D33" i="14"/>
  <c r="B33" i="14"/>
  <c r="F32" i="14"/>
  <c r="F31" i="14"/>
  <c r="F30" i="14"/>
  <c r="F29" i="14"/>
  <c r="F28" i="14"/>
  <c r="F27" i="14"/>
  <c r="F26" i="14"/>
  <c r="F21" i="14"/>
  <c r="F19" i="14"/>
  <c r="D17" i="14"/>
  <c r="D23" i="14" s="1"/>
  <c r="B16" i="14"/>
  <c r="F16" i="14" s="1"/>
  <c r="B15" i="14"/>
  <c r="F15" i="14" s="1"/>
  <c r="B14" i="14"/>
  <c r="F5" i="14"/>
  <c r="A1" i="14"/>
  <c r="D10" i="14" s="1"/>
  <c r="D37" i="14" s="1"/>
  <c r="B17" i="14" l="1"/>
  <c r="F33" i="14"/>
  <c r="B23" i="14"/>
  <c r="F17" i="14"/>
  <c r="F23" i="14" s="1"/>
  <c r="B10" i="14"/>
  <c r="F14" i="14"/>
  <c r="F10" i="14" l="1"/>
  <c r="F37" i="14" s="1"/>
  <c r="B37" i="14"/>
  <c r="F35" i="13" l="1"/>
  <c r="F32" i="13"/>
  <c r="D31" i="13"/>
  <c r="F31" i="13" s="1"/>
  <c r="B31" i="13"/>
  <c r="F30" i="13"/>
  <c r="D29" i="13"/>
  <c r="B29" i="13"/>
  <c r="D28" i="13"/>
  <c r="B28" i="13"/>
  <c r="F28" i="13" s="1"/>
  <c r="D27" i="13"/>
  <c r="B27" i="13"/>
  <c r="F26" i="13"/>
  <c r="F21" i="13"/>
  <c r="F19" i="13"/>
  <c r="D16" i="13"/>
  <c r="B16" i="13"/>
  <c r="F16" i="13" s="1"/>
  <c r="D15" i="13"/>
  <c r="B15" i="13"/>
  <c r="D14" i="13"/>
  <c r="B14" i="13"/>
  <c r="F5" i="13"/>
  <c r="A1" i="13"/>
  <c r="D10" i="13" s="1"/>
  <c r="D33" i="13" l="1"/>
  <c r="D17" i="13"/>
  <c r="D23" i="13" s="1"/>
  <c r="D37" i="13" s="1"/>
  <c r="B17" i="13"/>
  <c r="B23" i="13" s="1"/>
  <c r="B33" i="13"/>
  <c r="F29" i="13"/>
  <c r="F27" i="13"/>
  <c r="B10" i="13"/>
  <c r="F15" i="13"/>
  <c r="F14" i="13"/>
  <c r="F33" i="13" l="1"/>
  <c r="F17" i="13"/>
  <c r="F23" i="13" s="1"/>
  <c r="B37" i="13"/>
  <c r="F10" i="13"/>
  <c r="F37" i="13" l="1"/>
  <c r="F35" i="12"/>
  <c r="D33" i="12"/>
  <c r="B33" i="12"/>
  <c r="F32" i="12"/>
  <c r="F31" i="12"/>
  <c r="F30" i="12"/>
  <c r="F29" i="12"/>
  <c r="F28" i="12"/>
  <c r="F27" i="12"/>
  <c r="F26" i="12"/>
  <c r="F21" i="12"/>
  <c r="F19" i="12"/>
  <c r="D17" i="12"/>
  <c r="D23" i="12" s="1"/>
  <c r="B16" i="12"/>
  <c r="F16" i="12" s="1"/>
  <c r="B15" i="12"/>
  <c r="F15" i="12" s="1"/>
  <c r="B14" i="12"/>
  <c r="F14" i="12" s="1"/>
  <c r="F5" i="12"/>
  <c r="A1" i="12"/>
  <c r="B10" i="12" s="1"/>
  <c r="F33" i="12" l="1"/>
  <c r="D10" i="12"/>
  <c r="D37" i="12" s="1"/>
  <c r="B17" i="12"/>
  <c r="F10" i="12" l="1"/>
  <c r="B23" i="12"/>
  <c r="B37" i="12" s="1"/>
  <c r="F17" i="12"/>
  <c r="F23" i="12" s="1"/>
  <c r="F37" i="12" s="1"/>
  <c r="F35" i="11" l="1"/>
  <c r="D33" i="11"/>
  <c r="B33" i="11"/>
  <c r="F32" i="11"/>
  <c r="F31" i="11"/>
  <c r="F30" i="11"/>
  <c r="F29" i="11"/>
  <c r="F28" i="11"/>
  <c r="F27" i="11"/>
  <c r="F26" i="11"/>
  <c r="F21" i="11"/>
  <c r="F19" i="11"/>
  <c r="D17" i="11"/>
  <c r="D23" i="11" s="1"/>
  <c r="B16" i="11"/>
  <c r="F16" i="11" s="1"/>
  <c r="B15" i="11"/>
  <c r="F15" i="11" s="1"/>
  <c r="B14" i="11"/>
  <c r="F14" i="11" s="1"/>
  <c r="F5" i="11"/>
  <c r="A1" i="11"/>
  <c r="B10" i="11" s="1"/>
  <c r="F33" i="11" l="1"/>
  <c r="D10" i="11"/>
  <c r="D37" i="11" s="1"/>
  <c r="B17" i="11"/>
  <c r="F10" i="11" l="1"/>
  <c r="B23" i="11"/>
  <c r="B37" i="11" s="1"/>
  <c r="F17" i="11"/>
  <c r="F23" i="11" s="1"/>
  <c r="F37" i="11" l="1"/>
  <c r="F35" i="10"/>
  <c r="D33" i="10"/>
  <c r="B33" i="10"/>
  <c r="F32" i="10"/>
  <c r="F31" i="10"/>
  <c r="F30" i="10"/>
  <c r="F29" i="10"/>
  <c r="F28" i="10"/>
  <c r="F27" i="10"/>
  <c r="F26" i="10"/>
  <c r="F21" i="10"/>
  <c r="F19" i="10"/>
  <c r="D17" i="10"/>
  <c r="D23" i="10" s="1"/>
  <c r="B16" i="10"/>
  <c r="F16" i="10" s="1"/>
  <c r="B15" i="10"/>
  <c r="F15" i="10" s="1"/>
  <c r="B14" i="10"/>
  <c r="F14" i="10" s="1"/>
  <c r="F5" i="10"/>
  <c r="A1" i="10"/>
  <c r="B10" i="10" s="1"/>
  <c r="F33" i="10" l="1"/>
  <c r="D10" i="10"/>
  <c r="D37" i="10" s="1"/>
  <c r="B17" i="10"/>
  <c r="F10" i="10" l="1"/>
  <c r="B23" i="10"/>
  <c r="B37" i="10" s="1"/>
  <c r="F17" i="10"/>
  <c r="F23" i="10" s="1"/>
  <c r="F37" i="10" l="1"/>
  <c r="F35" i="9"/>
  <c r="D33" i="9"/>
  <c r="B33" i="9"/>
  <c r="F32" i="9"/>
  <c r="F31" i="9"/>
  <c r="F30" i="9"/>
  <c r="F29" i="9"/>
  <c r="F28" i="9"/>
  <c r="F27" i="9"/>
  <c r="F26" i="9"/>
  <c r="F21" i="9"/>
  <c r="F19" i="9"/>
  <c r="D17" i="9"/>
  <c r="D23" i="9" s="1"/>
  <c r="B16" i="9"/>
  <c r="F16" i="9" s="1"/>
  <c r="B15" i="9"/>
  <c r="F15" i="9" s="1"/>
  <c r="B14" i="9"/>
  <c r="F14" i="9" s="1"/>
  <c r="F5" i="9"/>
  <c r="A1" i="9"/>
  <c r="B10" i="9" s="1"/>
  <c r="D10" i="9" l="1"/>
  <c r="F10" i="9" s="1"/>
  <c r="F33" i="9"/>
  <c r="B17" i="9"/>
  <c r="D37" i="9" l="1"/>
  <c r="B23" i="9"/>
  <c r="B37" i="9" s="1"/>
  <c r="F17" i="9"/>
  <c r="F23" i="9" s="1"/>
  <c r="F37" i="9" s="1"/>
  <c r="F35" i="8" l="1"/>
  <c r="D33" i="8"/>
  <c r="B33" i="8"/>
  <c r="F32" i="8"/>
  <c r="F31" i="8"/>
  <c r="F30" i="8"/>
  <c r="F29" i="8"/>
  <c r="F28" i="8"/>
  <c r="F27" i="8"/>
  <c r="F26" i="8"/>
  <c r="F21" i="8"/>
  <c r="F19" i="8"/>
  <c r="D17" i="8"/>
  <c r="D23" i="8" s="1"/>
  <c r="B16" i="8"/>
  <c r="F16" i="8" s="1"/>
  <c r="B15" i="8"/>
  <c r="F15" i="8" s="1"/>
  <c r="B14" i="8"/>
  <c r="F14" i="8" s="1"/>
  <c r="D10" i="8"/>
  <c r="F5" i="8"/>
  <c r="A1" i="8"/>
  <c r="B10" i="8" s="1"/>
  <c r="F10" i="8" l="1"/>
  <c r="F33" i="8"/>
  <c r="D37" i="8"/>
  <c r="B17" i="8"/>
  <c r="F17" i="8" l="1"/>
  <c r="F23" i="8" s="1"/>
  <c r="F37" i="8" s="1"/>
  <c r="B23" i="8"/>
  <c r="B37" i="8" s="1"/>
  <c r="F35" i="7" l="1"/>
  <c r="D33" i="7"/>
  <c r="B33" i="7"/>
  <c r="F32" i="7"/>
  <c r="F31" i="7"/>
  <c r="F30" i="7"/>
  <c r="F29" i="7"/>
  <c r="F28" i="7"/>
  <c r="F27" i="7"/>
  <c r="F26" i="7"/>
  <c r="F21" i="7"/>
  <c r="F19" i="7"/>
  <c r="D17" i="7"/>
  <c r="D23" i="7" s="1"/>
  <c r="B16" i="7"/>
  <c r="F16" i="7" s="1"/>
  <c r="B15" i="7"/>
  <c r="F15" i="7" s="1"/>
  <c r="B14" i="7"/>
  <c r="F14" i="7" s="1"/>
  <c r="F5" i="7"/>
  <c r="A1" i="7"/>
  <c r="B10" i="7" s="1"/>
  <c r="D10" i="7" l="1"/>
  <c r="D37" i="7" s="1"/>
  <c r="F33" i="7"/>
  <c r="B17" i="7"/>
  <c r="F10" i="7" l="1"/>
  <c r="B23" i="7"/>
  <c r="B37" i="7" s="1"/>
  <c r="F17" i="7"/>
  <c r="F23" i="7" s="1"/>
  <c r="F37" i="7" s="1"/>
  <c r="F35" i="6" l="1"/>
  <c r="D33" i="6"/>
  <c r="B33" i="6"/>
  <c r="F32" i="6"/>
  <c r="F31" i="6"/>
  <c r="F30" i="6"/>
  <c r="F29" i="6"/>
  <c r="F28" i="6"/>
  <c r="F27" i="6"/>
  <c r="F26" i="6"/>
  <c r="F21" i="6"/>
  <c r="F19" i="6"/>
  <c r="D17" i="6"/>
  <c r="D23" i="6" s="1"/>
  <c r="B16" i="6"/>
  <c r="F16" i="6" s="1"/>
  <c r="B15" i="6"/>
  <c r="F15" i="6" s="1"/>
  <c r="B14" i="6"/>
  <c r="F14" i="6" s="1"/>
  <c r="F5" i="6"/>
  <c r="A1" i="6"/>
  <c r="B10" i="6" s="1"/>
  <c r="D10" i="6" l="1"/>
  <c r="D37" i="6" s="1"/>
  <c r="F33" i="6"/>
  <c r="B17" i="6"/>
  <c r="F10" i="6" l="1"/>
  <c r="B23" i="6"/>
  <c r="B37" i="6" s="1"/>
  <c r="F17" i="6"/>
  <c r="F23" i="6" s="1"/>
  <c r="F37" i="6" l="1"/>
  <c r="F35" i="5" l="1"/>
  <c r="D33" i="5"/>
  <c r="B33" i="5"/>
  <c r="F32" i="5"/>
  <c r="F31" i="5"/>
  <c r="F30" i="5"/>
  <c r="F29" i="5"/>
  <c r="F28" i="5"/>
  <c r="F27" i="5"/>
  <c r="F26" i="5"/>
  <c r="F21" i="5"/>
  <c r="F19" i="5"/>
  <c r="D17" i="5"/>
  <c r="D23" i="5" s="1"/>
  <c r="B16" i="5"/>
  <c r="F16" i="5" s="1"/>
  <c r="B15" i="5"/>
  <c r="F15" i="5" s="1"/>
  <c r="B14" i="5"/>
  <c r="F14" i="5" s="1"/>
  <c r="F5" i="5"/>
  <c r="A1" i="5"/>
  <c r="D10" i="5" s="1"/>
  <c r="F33" i="5" l="1"/>
  <c r="D37" i="5"/>
  <c r="B17" i="5"/>
  <c r="F17" i="5" s="1"/>
  <c r="F23" i="5" s="1"/>
  <c r="B10" i="5"/>
  <c r="B23" i="5" l="1"/>
  <c r="B37" i="5"/>
  <c r="F10" i="5"/>
  <c r="F37" i="5" s="1"/>
  <c r="F35" i="4" l="1"/>
  <c r="D33" i="4"/>
  <c r="B33" i="4"/>
  <c r="F32" i="4"/>
  <c r="F31" i="4"/>
  <c r="F30" i="4"/>
  <c r="F29" i="4"/>
  <c r="F28" i="4"/>
  <c r="F27" i="4"/>
  <c r="F26" i="4"/>
  <c r="F21" i="4"/>
  <c r="F19" i="4"/>
  <c r="D17" i="4"/>
  <c r="D23" i="4" s="1"/>
  <c r="B16" i="4"/>
  <c r="F16" i="4" s="1"/>
  <c r="B15" i="4"/>
  <c r="F15" i="4" s="1"/>
  <c r="B14" i="4"/>
  <c r="F14" i="4" s="1"/>
  <c r="F5" i="4"/>
  <c r="A1" i="4"/>
  <c r="D10" i="4" s="1"/>
  <c r="D37" i="4" s="1"/>
  <c r="B10" i="4" l="1"/>
  <c r="F10" i="4" s="1"/>
  <c r="F33" i="4"/>
  <c r="B17" i="4"/>
  <c r="F17" i="4" l="1"/>
  <c r="F23" i="4" s="1"/>
  <c r="F37" i="4" s="1"/>
  <c r="B23" i="4"/>
  <c r="B37" i="4" s="1"/>
  <c r="F35" i="1" l="1"/>
  <c r="D33" i="1"/>
  <c r="B33" i="1"/>
  <c r="F32" i="1"/>
  <c r="F31" i="1"/>
  <c r="F30" i="1"/>
  <c r="F29" i="1"/>
  <c r="F28" i="1"/>
  <c r="F27" i="1"/>
  <c r="F26" i="1"/>
  <c r="D23" i="1"/>
  <c r="F21" i="1"/>
  <c r="F19" i="1"/>
  <c r="D17" i="1"/>
  <c r="B16" i="1"/>
  <c r="F16" i="1" s="1"/>
  <c r="B15" i="1"/>
  <c r="F15" i="1" s="1"/>
  <c r="B14" i="1"/>
  <c r="F5" i="1"/>
  <c r="A1" i="1"/>
  <c r="B10" i="1" s="1"/>
  <c r="D10" i="1" l="1"/>
  <c r="D37" i="1" s="1"/>
  <c r="B17" i="1"/>
  <c r="B23" i="1" s="1"/>
  <c r="B37" i="1" s="1"/>
  <c r="F33" i="1"/>
  <c r="F14" i="1"/>
  <c r="F10" i="1" l="1"/>
  <c r="F17" i="1"/>
  <c r="F23" i="1" s="1"/>
  <c r="F37" i="1" l="1"/>
  <c r="D35" i="2"/>
  <c r="B35" i="2"/>
  <c r="B27" i="2"/>
  <c r="D27" i="2"/>
  <c r="B28" i="2"/>
  <c r="D28" i="2"/>
  <c r="B29" i="2"/>
  <c r="D29" i="2"/>
  <c r="B30" i="2"/>
  <c r="D30" i="2"/>
  <c r="B31" i="2"/>
  <c r="D31" i="2"/>
  <c r="B32" i="2"/>
  <c r="D32" i="2"/>
  <c r="D26" i="2"/>
  <c r="B26" i="2"/>
  <c r="D21" i="2"/>
  <c r="F32" i="2" l="1"/>
  <c r="D19" i="2"/>
  <c r="F19" i="2"/>
  <c r="B19" i="2"/>
  <c r="D15" i="2"/>
  <c r="D16" i="2"/>
  <c r="D14" i="2"/>
  <c r="B16" i="2" l="1"/>
  <c r="B14" i="2" l="1"/>
  <c r="F16" i="2"/>
  <c r="F14" i="2"/>
  <c r="F15" i="2"/>
  <c r="B15" i="2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F35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10" i="2" l="1"/>
  <c r="B37" i="2" s="1"/>
  <c r="F33" i="2"/>
  <c r="D10" i="2"/>
  <c r="D37" i="2" s="1"/>
  <c r="F17" i="2"/>
  <c r="F23" i="2" s="1"/>
  <c r="F10" i="2" l="1"/>
  <c r="F37" i="2" s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<sst xmlns="http://schemas.openxmlformats.org/spreadsheetml/2006/main" count="1212" uniqueCount="65">
  <si>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</si>
  <si>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</si>
  <si>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</si>
  <si>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</si>
  <si>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</si>
  <si>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</si>
  <si>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</si>
  <si>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</si>
  <si>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</si>
  <si>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</si>
  <si>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</si>
  <si>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Beginning Fund Balance 07-01-2013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</si>
  <si>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</si>
  <si>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</si>
  <si>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</si>
  <si>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</si>
  <si>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</si>
  <si>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</si>
  <si>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</si>
  <si>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</si>
  <si>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</si>
  <si>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</si>
  <si>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</si>
  <si>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</si>
  <si>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</si>
  <si>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</si>
  <si>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</si>
  <si>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</si>
  <si>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</si>
  <si>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</si>
  <si>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</si>
  <si>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</si>
  <si>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</si>
  <si>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</si>
  <si>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</si>
  <si>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</si>
  <si>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</si>
  <si>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</si>
  <si>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</si>
  <si>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</si>
  <si>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</si>
  <si>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For the 2014-15 Fiscal Year</t>
  </si>
  <si>
    <t>2015.v01</t>
  </si>
  <si>
    <t>ENDING BALANCE AS OF  06-30-2015</t>
  </si>
  <si>
    <t>Beginning Fund Balance 07-01-2014</t>
  </si>
  <si>
    <t>Return of unused project funds to CIF control account (i.e. transfer-in).</t>
  </si>
  <si>
    <t>Non-Mandatory transfers in due to project cancellations.</t>
  </si>
  <si>
    <t>The College uses the revenue to repay debt.  Per Florida Statutes, 1009.22 (6)(a), capital improvement fees may be used to repay debt.</t>
  </si>
  <si>
    <t>Mandatory transfer fo Fund 8 to make payment for capital improvement fee bonds 2008A and 2012A</t>
  </si>
  <si>
    <t>Expenditures incurred for child care center</t>
  </si>
  <si>
    <t>Chiller Loan Payment $228,422.70 / Technical Services $139,929.99 / Professional Services $18,984.00 / E-Resources $64,986.90</t>
  </si>
  <si>
    <t>Technology Services, Data Software, Minor Equipment, Furniture and Equipment</t>
  </si>
  <si>
    <t>Unrealized loss recorded</t>
  </si>
  <si>
    <t>Bond</t>
  </si>
  <si>
    <t xml:space="preserve">Reimbursement of L&amp; F Bldg Phase 1 Project paid by Capital Improvement Fees.  </t>
  </si>
  <si>
    <t>Net of Bond administration costs.</t>
  </si>
  <si>
    <t>Freight - $1,882.85; Telecommunications - $121.50; Prior Year Corrections - $2,215.52</t>
  </si>
  <si>
    <t>Hillsborough, Palm Beach, Pasco-Hernando, Polk, St. Johns River, Santa Fe, Seminole, Tallahassee</t>
  </si>
  <si>
    <t>Daytona, Florida Southwestern, Hillsborough, St. Petersburg, Seminole</t>
  </si>
  <si>
    <t>The College used CIF funds for the purchase of equipment from vendors, and there was a rebate promotion occurring at the time of purchase.  The college received two rebate checks for $300 each, totalling $600.</t>
  </si>
  <si>
    <t xml:space="preserve">Note:  Section 1009.23(11),F.S.,  establishes a separate fee for capital improvements, technology enhancements, </t>
  </si>
  <si>
    <t xml:space="preserve">or equipping student buildings.  It provides that the fees collected must be deposited in a separate account.  Fees </t>
  </si>
  <si>
    <t xml:space="preserve">collected for capital projects may be expended only to construct and equip, maintain, improve, or enhance the </t>
  </si>
  <si>
    <t xml:space="preserve">educational facilities of the college.  Capitalprojects funded through the use of the Capital Improvement Fee shall </t>
  </si>
  <si>
    <t>meet the survey and construction requirements of Chapter 1013, Florida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</si>
</sst>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7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71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2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9" borderId="2" xfId="2" applyFont="1" applyFill="1" applyBorder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8" fillId="15" borderId="0" xfId="4" applyNumberFormat="1" applyFont="1" applyFill="1" applyAlignment="1" applyProtection="1">
      <alignment horizontal="left" wrapText="1"/>
    </xf>
    <xf numFmtId="0" fontId="36" fillId="0" borderId="0" xfId="3" applyNumberFormat="1" applyFont="1" applyAlignment="1"/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wrapText="1"/>
    </xf>
    <xf numFmtId="0" fontId="35" fillId="24" borderId="0" xfId="3" applyNumberFormat="1" applyFont="1" applyFill="1" applyAlignment="1" applyProtection="1">
      <alignment vertical="top" wrapText="1"/>
      <protection locked="0"/>
    </xf>
    <xf numFmtId="0" fontId="38" fillId="15" borderId="0" xfId="4" applyNumberFormat="1" applyFont="1" applyFill="1" applyAlignment="1" applyProtection="1">
      <alignment horizontal="left"/>
    </xf>
  </cellXfs>
  <cellStyles count="1267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61" Type="http://schemas.openxmlformats.org/officeDocument/2006/relationships/externalLink" Target="externalLinks/externalLink3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REVISED%20(did%20not%20send%20to%20DFS)%20%2011.24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scedu\rivernet\Reporting\Annual%20Financial%20Report%20(AFR)\2015%20AFR\State%20Forms\FY15%20Cap%20Improve%20Fee%20Report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REVISED%20FINAL%2011.23.15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LBA\D.Almeda\AFR%202014-2015\AFR,%20SEFA%20Docs\2015-1111%20-%20Final%20AFR%201415\CIF%20REPORT%20AND%20SCHEDULES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sco%20Hernando%20FINAL%2011.23.15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ensacola%20FINAL%2011.23.15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olk%20FINAL%2011.23.15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Johns%20River%20FINAL%2011.23.15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Petersburg%20FINAL%2011.23.15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anta%20Fe%20FINAL%2011.24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eminole%20REVISED%20(did%20not%20send%20to%20DFS)%2011.24.15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outh%20Florida%20FINAL%2011.23.15%20-%20TDR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Tallahassee%20FINAL%2011.23.15%20-%20TDR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Valencia%20FINAL%2011.23.15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Florida%20Southwestern/Originals/AFR%20Workbook%202015%20FSW%20updated%2011.12.15%20136PM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/>
      <sheetData sheetId="4">
        <row r="215">
          <cell r="O215">
            <v>4372389.0999999996</v>
          </cell>
        </row>
        <row r="216">
          <cell r="O216">
            <v>77363.11</v>
          </cell>
        </row>
        <row r="217">
          <cell r="O217">
            <v>463956.45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/>
      <sheetData sheetId="4">
        <row r="215">
          <cell r="O215">
            <v>280709.36</v>
          </cell>
        </row>
        <row r="216">
          <cell r="O216">
            <v>4055.59</v>
          </cell>
        </row>
        <row r="217">
          <cell r="O217">
            <v>0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/>
      <sheetData sheetId="4">
        <row r="215">
          <cell r="O215">
            <v>760121.56</v>
          </cell>
        </row>
        <row r="216">
          <cell r="O216">
            <v>15995.53</v>
          </cell>
        </row>
        <row r="217">
          <cell r="O217">
            <v>14735.57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 refreshError="1"/>
      <sheetData sheetId="4">
        <row r="215">
          <cell r="O215">
            <v>4682995.8099999996</v>
          </cell>
        </row>
        <row r="216">
          <cell r="O216">
            <v>26685.75</v>
          </cell>
        </row>
        <row r="217">
          <cell r="O21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215">
          <cell r="O215">
            <v>2400024.79</v>
          </cell>
        </row>
        <row r="216">
          <cell r="O216">
            <v>27162.26</v>
          </cell>
        </row>
        <row r="217">
          <cell r="O217">
            <v>450032.22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 "/>
      <sheetName val="exp detail"/>
    </sheetNames>
    <sheetDataSet>
      <sheetData sheetId="0" refreshError="1">
        <row r="1153">
          <cell r="T1153">
            <v>-50480.678253549653</v>
          </cell>
        </row>
        <row r="1930">
          <cell r="T1930">
            <v>-571.31464367051842</v>
          </cell>
        </row>
        <row r="2742">
          <cell r="T2742">
            <v>-9465.7071027798138</v>
          </cell>
        </row>
      </sheetData>
      <sheetData sheetId="1" refreshError="1">
        <row r="13">
          <cell r="T13">
            <v>1831.8947878242586</v>
          </cell>
          <cell r="U13">
            <v>202680.77521217577</v>
          </cell>
        </row>
        <row r="213">
          <cell r="T213">
            <v>5576.1536649441687</v>
          </cell>
          <cell r="U213">
            <v>616945.44633505563</v>
          </cell>
        </row>
        <row r="284">
          <cell r="T284">
            <v>5722.219009910119</v>
          </cell>
          <cell r="U284">
            <v>633106.1109900896</v>
          </cell>
        </row>
        <row r="671">
          <cell r="T671">
            <v>47387.432537321431</v>
          </cell>
          <cell r="U671">
            <v>5242943.8774626786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215">
          <cell r="O215">
            <v>304764.61</v>
          </cell>
        </row>
        <row r="216">
          <cell r="O216">
            <v>25367.9</v>
          </cell>
        </row>
        <row r="217">
          <cell r="O217">
            <v>4902.12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/>
      <sheetData sheetId="4">
        <row r="215">
          <cell r="O215">
            <v>647519.37</v>
          </cell>
        </row>
        <row r="216">
          <cell r="O216">
            <v>0</v>
          </cell>
        </row>
        <row r="217">
          <cell r="O217">
            <v>14294.81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/>
      <sheetData sheetId="4">
        <row r="215">
          <cell r="O215">
            <v>1782719.16</v>
          </cell>
        </row>
        <row r="216">
          <cell r="O216">
            <v>0</v>
          </cell>
        </row>
        <row r="217">
          <cell r="O217">
            <v>80453.279999999999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/>
      <sheetData sheetId="4">
        <row r="215">
          <cell r="O215">
            <v>20081836.010000002</v>
          </cell>
        </row>
        <row r="216">
          <cell r="O216">
            <v>80914.990000000005</v>
          </cell>
        </row>
        <row r="217">
          <cell r="O217">
            <v>855809.4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"/>
      <sheetName val="Income"/>
      <sheetName val="Expense"/>
    </sheetNames>
    <sheetDataSet>
      <sheetData sheetId="0" refreshError="1">
        <row r="19">
          <cell r="D19">
            <v>1074906.3400000001</v>
          </cell>
        </row>
      </sheetData>
      <sheetData sheetId="1" refreshError="1"/>
      <sheetData sheetId="2" refreshError="1">
        <row r="24">
          <cell r="Q24">
            <v>0</v>
          </cell>
          <cell r="R24">
            <v>6015297.4100000001</v>
          </cell>
          <cell r="S24">
            <v>991476.88</v>
          </cell>
          <cell r="T24">
            <v>2917369.5599999996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/>
      <sheetData sheetId="4">
        <row r="215">
          <cell r="O215">
            <v>181195.15</v>
          </cell>
        </row>
        <row r="216">
          <cell r="O216">
            <v>0</v>
          </cell>
        </row>
        <row r="217">
          <cell r="O217">
            <v>0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/>
      <sheetData sheetId="4">
        <row r="215">
          <cell r="O215">
            <v>1496437.85</v>
          </cell>
        </row>
        <row r="216">
          <cell r="O216">
            <v>58231.68</v>
          </cell>
        </row>
        <row r="217">
          <cell r="O217">
            <v>157377.78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215">
          <cell r="O215">
            <v>4759030.2300000004</v>
          </cell>
        </row>
        <row r="216">
          <cell r="O216">
            <v>99918.99</v>
          </cell>
        </row>
        <row r="217">
          <cell r="O217">
            <v>202904.1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PASCO-HERNANDO STATE COLLEGE</v>
          </cell>
        </row>
      </sheetData>
      <sheetData sheetId="3"/>
      <sheetData sheetId="4">
        <row r="215">
          <cell r="O215">
            <v>2736037.63</v>
          </cell>
        </row>
        <row r="216">
          <cell r="O216">
            <v>43215.66</v>
          </cell>
        </row>
        <row r="217">
          <cell r="O217">
            <v>46404.03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PENSACOLA STATE COLLEGE</v>
          </cell>
        </row>
      </sheetData>
      <sheetData sheetId="3"/>
      <sheetData sheetId="4">
        <row r="215">
          <cell r="O215">
            <v>1813970.5799999998</v>
          </cell>
        </row>
        <row r="216">
          <cell r="O216">
            <v>40531.380000000005</v>
          </cell>
        </row>
        <row r="217">
          <cell r="O217">
            <v>77950.92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VLOOKUPS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POLK STATE COLLEGE</v>
          </cell>
        </row>
      </sheetData>
      <sheetData sheetId="3"/>
      <sheetData sheetId="4">
        <row r="215">
          <cell r="O215">
            <v>1991408.68</v>
          </cell>
        </row>
        <row r="216">
          <cell r="O216">
            <v>11264.2</v>
          </cell>
        </row>
        <row r="217">
          <cell r="O217">
            <v>268287.21999999997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JOHNS RIVER STATE COLLEGE</v>
          </cell>
        </row>
      </sheetData>
      <sheetData sheetId="3"/>
      <sheetData sheetId="4">
        <row r="215">
          <cell r="O215">
            <v>1400216.8</v>
          </cell>
        </row>
        <row r="216">
          <cell r="O216">
            <v>8299.1</v>
          </cell>
        </row>
        <row r="217">
          <cell r="O217">
            <v>0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PETERSBURG COLLEGE</v>
          </cell>
        </row>
      </sheetData>
      <sheetData sheetId="3"/>
      <sheetData sheetId="4">
        <row r="215">
          <cell r="O215">
            <v>6776857.6100000003</v>
          </cell>
        </row>
        <row r="216">
          <cell r="O216">
            <v>22220.61</v>
          </cell>
        </row>
        <row r="217">
          <cell r="O217">
            <v>857493.74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SANTA FE COLLEGE</v>
          </cell>
        </row>
      </sheetData>
      <sheetData sheetId="3"/>
      <sheetData sheetId="4">
        <row r="215">
          <cell r="O215">
            <v>2922618.35</v>
          </cell>
        </row>
        <row r="216">
          <cell r="O216">
            <v>0</v>
          </cell>
        </row>
        <row r="217">
          <cell r="O217">
            <v>144460.60999999999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SEMINOLE STATE COLLEGE OF FLORIDA</v>
          </cell>
        </row>
      </sheetData>
      <sheetData sheetId="3"/>
      <sheetData sheetId="4">
        <row r="215">
          <cell r="O215">
            <v>2753614.42</v>
          </cell>
        </row>
        <row r="216">
          <cell r="O216">
            <v>25589.809999999998</v>
          </cell>
        </row>
        <row r="217">
          <cell r="O217">
            <v>158311.16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SOUTH FLORIDA STATE COLLEGE</v>
          </cell>
        </row>
      </sheetData>
      <sheetData sheetId="3"/>
      <sheetData sheetId="4">
        <row r="215">
          <cell r="O215">
            <v>293489.27</v>
          </cell>
        </row>
        <row r="216">
          <cell r="O216">
            <v>25378.6</v>
          </cell>
        </row>
        <row r="217">
          <cell r="O217">
            <v>26410.86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VLOOKUPS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TALLAHASSEE COMMUNITY COLLEGE</v>
          </cell>
        </row>
      </sheetData>
      <sheetData sheetId="3"/>
      <sheetData sheetId="4">
        <row r="215">
          <cell r="O215">
            <v>3309889.39</v>
          </cell>
        </row>
        <row r="216">
          <cell r="O216">
            <v>29010.59</v>
          </cell>
        </row>
        <row r="217">
          <cell r="O217">
            <v>0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VALENCIA COLLEGE</v>
          </cell>
        </row>
      </sheetData>
      <sheetData sheetId="3"/>
      <sheetData sheetId="4">
        <row r="215">
          <cell r="O215">
            <v>5544985.9699999997</v>
          </cell>
        </row>
        <row r="216">
          <cell r="O216">
            <v>27187.05</v>
          </cell>
        </row>
        <row r="217">
          <cell r="O217">
            <v>25458.3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215">
          <cell r="O215">
            <v>2698415.09</v>
          </cell>
        </row>
        <row r="216">
          <cell r="O216">
            <v>41629.49</v>
          </cell>
        </row>
        <row r="217">
          <cell r="O217">
            <v>169496.79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215">
          <cell r="O215">
            <v>9495540.3200000003</v>
          </cell>
        </row>
        <row r="216">
          <cell r="O216">
            <v>0</v>
          </cell>
        </row>
        <row r="217">
          <cell r="O217">
            <v>371139.53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/>
      <sheetData sheetId="4">
        <row r="215">
          <cell r="O215">
            <v>1882099.46</v>
          </cell>
        </row>
        <row r="216">
          <cell r="O216">
            <v>15734.1</v>
          </cell>
        </row>
        <row r="217">
          <cell r="O217">
            <v>117189.68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215">
          <cell r="O215">
            <v>235759.85</v>
          </cell>
        </row>
        <row r="216">
          <cell r="O216">
            <v>0</v>
          </cell>
        </row>
        <row r="217">
          <cell r="O217">
            <v>29136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215">
          <cell r="O215">
            <v>2624627.15</v>
          </cell>
        </row>
        <row r="216">
          <cell r="O216">
            <v>0</v>
          </cell>
        </row>
        <row r="217">
          <cell r="O217">
            <v>0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4">
          <cell r="A44" t="str">
            <v>EASTERN FLORIDA STATE COLLEGE</v>
          </cell>
        </row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 refreshError="1"/>
      <sheetData sheetId="4">
        <row r="215">
          <cell r="O215">
            <v>3452743.66</v>
          </cell>
        </row>
        <row r="216">
          <cell r="O216">
            <v>0</v>
          </cell>
        </row>
        <row r="217">
          <cell r="O217">
            <v>224935.24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79">
          <cell r="A79" t="str">
            <v>EASTERN FLORIDA STATE COLLEGE</v>
          </cell>
          <cell r="B79">
            <v>1144522.6100000001</v>
          </cell>
          <cell r="C79">
            <v>0</v>
          </cell>
          <cell r="D79">
            <v>1144522.6100000001</v>
          </cell>
        </row>
        <row r="80">
          <cell r="A80" t="str">
            <v>BROWARD COLLEGE</v>
          </cell>
          <cell r="B80">
            <v>24281115.969999999</v>
          </cell>
          <cell r="C80">
            <v>5854.98</v>
          </cell>
          <cell r="D80">
            <v>24286970.949999999</v>
          </cell>
        </row>
        <row r="81">
          <cell r="A81" t="str">
            <v>COLLEGE OF CENTRAL FLORIDA</v>
          </cell>
          <cell r="B81">
            <v>2635831.2000000002</v>
          </cell>
          <cell r="C81">
            <v>477668.98</v>
          </cell>
          <cell r="D81">
            <v>3113500.18</v>
          </cell>
        </row>
        <row r="82">
          <cell r="A82" t="str">
            <v>CHIPOLA COLLEGE</v>
          </cell>
          <cell r="B82">
            <v>556711.68999999994</v>
          </cell>
          <cell r="C82">
            <v>0</v>
          </cell>
          <cell r="D82">
            <v>556711.68999999994</v>
          </cell>
        </row>
        <row r="83">
          <cell r="A83" t="str">
            <v>DAYTONA STATE COLLEGE</v>
          </cell>
          <cell r="B83">
            <v>1649663.26</v>
          </cell>
          <cell r="C83">
            <v>19844.03</v>
          </cell>
          <cell r="D83">
            <v>1669507.29</v>
          </cell>
        </row>
        <row r="84">
          <cell r="A84" t="str">
            <v>FLORIDA SOUTHWESTERN STATE COLLEGE</v>
          </cell>
          <cell r="B84">
            <v>5929262.54</v>
          </cell>
          <cell r="C84">
            <v>1166196.1299999999</v>
          </cell>
          <cell r="D84">
            <v>7095458.6699999999</v>
          </cell>
        </row>
        <row r="85">
          <cell r="A85" t="str">
            <v>FLORIDA STATE COLLEGE AT JACKSONVILLE</v>
          </cell>
          <cell r="B85">
            <v>14397415.66</v>
          </cell>
          <cell r="C85">
            <v>0</v>
          </cell>
          <cell r="D85">
            <v>14397415.66</v>
          </cell>
        </row>
        <row r="86">
          <cell r="A86" t="str">
            <v>FLORIDA KEYS COMMUNITY COLLEGE</v>
          </cell>
          <cell r="B86">
            <v>93960.3</v>
          </cell>
          <cell r="C86">
            <v>699.79</v>
          </cell>
          <cell r="D86">
            <v>94660.09</v>
          </cell>
        </row>
        <row r="87">
          <cell r="A87" t="str">
            <v>GULF COAST STATE COLLEGE</v>
          </cell>
          <cell r="B87">
            <v>50951.3</v>
          </cell>
          <cell r="C87">
            <v>0</v>
          </cell>
          <cell r="D87">
            <v>50951.3</v>
          </cell>
        </row>
        <row r="88">
          <cell r="A88" t="str">
            <v>HILLSBOROUGH COMMUNITY COLLEGE</v>
          </cell>
          <cell r="B88">
            <v>3554377.75</v>
          </cell>
          <cell r="C88">
            <v>259862.74</v>
          </cell>
          <cell r="D88">
            <v>3814240.49</v>
          </cell>
        </row>
        <row r="89">
          <cell r="A89" t="str">
            <v>INDIAN RIVER STATE COLLEGE</v>
          </cell>
          <cell r="B89">
            <v>7144873.1200000001</v>
          </cell>
          <cell r="C89">
            <v>0</v>
          </cell>
          <cell r="D89">
            <v>7144873.1200000001</v>
          </cell>
        </row>
        <row r="90">
          <cell r="A90" t="str">
            <v>FLORIDA GATEWAY COLLEGE</v>
          </cell>
          <cell r="B90">
            <v>798838.09</v>
          </cell>
          <cell r="C90">
            <v>1765</v>
          </cell>
          <cell r="D90">
            <v>800603.09</v>
          </cell>
        </row>
        <row r="91">
          <cell r="A91" t="str">
            <v>LAKE-SUMTER STATE COLLEGE</v>
          </cell>
          <cell r="B91">
            <v>1006306.33</v>
          </cell>
          <cell r="C91">
            <v>0</v>
          </cell>
          <cell r="D91">
            <v>1006306.33</v>
          </cell>
        </row>
        <row r="92">
          <cell r="A92" t="str">
            <v>STATE COLLEGE OF FLORIDA, MANATEE-SARASOTA</v>
          </cell>
          <cell r="B92">
            <v>5737824.1299999999</v>
          </cell>
          <cell r="C92">
            <v>42968.07</v>
          </cell>
          <cell r="D92">
            <v>5780792.2000000002</v>
          </cell>
        </row>
        <row r="93">
          <cell r="A93" t="str">
            <v>MIAMI DADE COLLEGE</v>
          </cell>
          <cell r="B93">
            <v>67634575.890000001</v>
          </cell>
          <cell r="C93">
            <v>9284680.6600000001</v>
          </cell>
          <cell r="D93">
            <v>76919256.549999997</v>
          </cell>
        </row>
        <row r="94">
          <cell r="A94" t="str">
            <v>NORTH FLORIDA COMMUNITY COLLEGE</v>
          </cell>
          <cell r="B94">
            <v>179002.05</v>
          </cell>
          <cell r="C94">
            <v>3320.32</v>
          </cell>
          <cell r="D94">
            <v>182322.37</v>
          </cell>
        </row>
        <row r="95">
          <cell r="A95" t="str">
            <v>NORTHWEST FLORIDA STATE COLLEGE</v>
          </cell>
          <cell r="B95">
            <v>2799641.62</v>
          </cell>
          <cell r="C95">
            <v>0</v>
          </cell>
          <cell r="D95">
            <v>2799641.62</v>
          </cell>
        </row>
        <row r="96">
          <cell r="A96" t="str">
            <v>PALM BEACH STATE COLLEGE</v>
          </cell>
          <cell r="B96">
            <v>11457245.119999999</v>
          </cell>
          <cell r="C96">
            <v>1385678.99</v>
          </cell>
          <cell r="D96">
            <v>12842924.109999999</v>
          </cell>
        </row>
        <row r="97">
          <cell r="A97" t="str">
            <v>PASCO-HERNANDO STATE COLLEGE</v>
          </cell>
          <cell r="B97">
            <v>3484807.97</v>
          </cell>
          <cell r="C97">
            <v>306080.71000000002</v>
          </cell>
          <cell r="D97">
            <v>3790888.68</v>
          </cell>
        </row>
        <row r="98">
          <cell r="A98" t="str">
            <v>PENSACOLA STATE COLLEGE</v>
          </cell>
          <cell r="B98">
            <v>5484670.9000000004</v>
          </cell>
          <cell r="C98">
            <v>245701.39</v>
          </cell>
          <cell r="D98">
            <v>5730372.29</v>
          </cell>
        </row>
        <row r="99">
          <cell r="A99" t="str">
            <v>POLK STATE COLLEGE</v>
          </cell>
          <cell r="B99">
            <v>1991052.85</v>
          </cell>
          <cell r="C99">
            <v>0</v>
          </cell>
          <cell r="D99">
            <v>1991052.85</v>
          </cell>
        </row>
        <row r="100">
          <cell r="A100" t="str">
            <v>ST. JOHNS RIVER STATE COLLEGE</v>
          </cell>
          <cell r="B100">
            <v>2778140.43</v>
          </cell>
          <cell r="C100">
            <v>0</v>
          </cell>
          <cell r="D100">
            <v>2778140.43</v>
          </cell>
        </row>
        <row r="101">
          <cell r="A101" t="str">
            <v>ST. PETERSBURG COLLEGE</v>
          </cell>
          <cell r="B101">
            <v>2724138.86</v>
          </cell>
          <cell r="C101">
            <v>-26944.79</v>
          </cell>
          <cell r="D101">
            <v>2697194.07</v>
          </cell>
        </row>
        <row r="102">
          <cell r="A102" t="str">
            <v>SANTA FE COLLEGE</v>
          </cell>
          <cell r="B102">
            <v>7084519.7000000002</v>
          </cell>
          <cell r="C102">
            <v>997310.4</v>
          </cell>
          <cell r="D102">
            <v>8081830.1000000006</v>
          </cell>
        </row>
        <row r="103">
          <cell r="A103" t="str">
            <v>SEMINOLE STATE COLLEGE OF FLORIDA</v>
          </cell>
          <cell r="B103">
            <v>4443927.75</v>
          </cell>
          <cell r="C103">
            <v>406094.3</v>
          </cell>
          <cell r="D103">
            <v>4850022.05</v>
          </cell>
        </row>
        <row r="104">
          <cell r="A104" t="str">
            <v>SOUTH FLORIDA STATE COLLEGE</v>
          </cell>
          <cell r="B104">
            <v>684821.64</v>
          </cell>
          <cell r="C104">
            <v>0</v>
          </cell>
          <cell r="D104">
            <v>684821.64</v>
          </cell>
        </row>
        <row r="105">
          <cell r="A105" t="str">
            <v>TALLAHASSEE COMMUNITY COLLEGE</v>
          </cell>
          <cell r="B105">
            <v>9024866.0399999991</v>
          </cell>
          <cell r="C105">
            <v>0</v>
          </cell>
          <cell r="D105">
            <v>9024866.0399999991</v>
          </cell>
        </row>
        <row r="106">
          <cell r="A106" t="str">
            <v>VALENCIA COLLEGE</v>
          </cell>
          <cell r="B106">
            <v>10614721.560000001</v>
          </cell>
          <cell r="C106">
            <v>2875801.46</v>
          </cell>
          <cell r="D106">
            <v>13490523.02</v>
          </cell>
        </row>
      </sheetData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">
        <v>40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11</v>
      </c>
      <c r="B10" s="31">
        <f>SUM(EASTERNFL:VALENCIA!B10)</f>
        <v>199367786.33000001</v>
      </c>
      <c r="C10" s="31"/>
      <c r="D10" s="31">
        <f>SUM(EASTERNFL:VALENCIA!D10)</f>
        <v>17452583.160000004</v>
      </c>
      <c r="E10" s="31"/>
      <c r="F10" s="31">
        <f>SUM(EASTERNFL:VALENCIA!F10)</f>
        <v>216820369.48999998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SUM(EASTERNFL:VALENCIA!B14)</f>
        <v>91682017.229999989</v>
      </c>
      <c r="C14" s="40"/>
      <c r="D14" s="40">
        <f>SUM(EASTERNFL:VALENCIA!D14)</f>
        <v>52090.678253549653</v>
      </c>
      <c r="E14" s="40"/>
      <c r="F14" s="40">
        <f>SUM(EASTERNFL:VALENCIA!F14)</f>
        <v>91734107.908253536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SUM(EASTERNFL:VALENCIA!B15)</f>
        <v>705756.3899999999</v>
      </c>
      <c r="C15" s="40"/>
      <c r="D15" s="40">
        <f>SUM(EASTERNFL:VALENCIA!D15)</f>
        <v>761.31464367051842</v>
      </c>
      <c r="E15" s="40"/>
      <c r="F15" s="40">
        <f>SUM(EASTERNFL:VALENCIA!F15)</f>
        <v>706517.70464367047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SUM(EASTERNFL:VALENCIA!B16)</f>
        <v>4761139.8100000005</v>
      </c>
      <c r="C16" s="40"/>
      <c r="D16" s="41">
        <f>SUM(EASTERNFL:VALENCIA!D16)</f>
        <v>9465.7071027798138</v>
      </c>
      <c r="E16" s="40"/>
      <c r="F16" s="41">
        <f>SUM(EASTERNFL:VALENCIA!F16)</f>
        <v>4770605.5171027808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97148913.429999992</v>
      </c>
      <c r="C17" s="43"/>
      <c r="D17" s="44">
        <f>SUM(D14:D16)</f>
        <v>62317.69999999999</v>
      </c>
      <c r="E17" s="43"/>
      <c r="F17" s="44">
        <f>B17+D17</f>
        <v>97211231.129999995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f>SUM(EASTERNFL:VALENCIA!B19)</f>
        <v>29745.07</v>
      </c>
      <c r="C19" s="44"/>
      <c r="D19" s="47">
        <f>SUM(EASTERNFL:VALENCIA!D19)</f>
        <v>1534984.2000000004</v>
      </c>
      <c r="E19" s="47"/>
      <c r="F19" s="47">
        <f>SUM(EASTERNFL:VALENCIA!F19)</f>
        <v>1564729.2700000005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f>SUM(EASTERNFL:VALENCIA!D21)</f>
        <v>6370949.1300000008</v>
      </c>
      <c r="E21" s="46"/>
      <c r="F21" s="51">
        <f>D21</f>
        <v>6370949.1300000008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97178658.499999985</v>
      </c>
      <c r="C23" s="43"/>
      <c r="D23" s="53">
        <f>D17+D19+D21</f>
        <v>7968251.0300000012</v>
      </c>
      <c r="E23" s="46"/>
      <c r="F23" s="53">
        <f>F17+F19+F21</f>
        <v>105146909.52999999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f>SUM(EASTERNFL:VALENCIA!B26)</f>
        <v>30770981.559999999</v>
      </c>
      <c r="C26" s="44"/>
      <c r="D26" s="50">
        <f>SUM(EASTERNFL:VALENCIA!D26)</f>
        <v>31955.27</v>
      </c>
      <c r="E26" s="46"/>
      <c r="F26" s="51">
        <f t="shared" ref="F26:F31" si="0">B26+D26</f>
        <v>30802936.829999998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f>SUM(EASTERNFL:VALENCIA!B27)</f>
        <v>10299312.426335055</v>
      </c>
      <c r="C27" s="44"/>
      <c r="D27" s="50">
        <f>SUM(EASTERNFL:VALENCIA!D27)</f>
        <v>48381.253664944168</v>
      </c>
      <c r="E27" s="54"/>
      <c r="F27" s="44">
        <f t="shared" si="0"/>
        <v>10347693.68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f>SUM(EASTERNFL:VALENCIA!B28)</f>
        <v>10945429.39099009</v>
      </c>
      <c r="C28" s="44"/>
      <c r="D28" s="50">
        <f>SUM(EASTERNFL:VALENCIA!D28)</f>
        <v>3149081.0690099103</v>
      </c>
      <c r="E28" s="54"/>
      <c r="F28" s="44">
        <f t="shared" si="0"/>
        <v>14094510.460000001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f>SUM(EASTERNFL:VALENCIA!B29)</f>
        <v>12124279.005212178</v>
      </c>
      <c r="C29" s="44"/>
      <c r="D29" s="50">
        <f>SUM(EASTERNFL:VALENCIA!D29)</f>
        <v>151494.58478782422</v>
      </c>
      <c r="E29" s="54"/>
      <c r="F29" s="44">
        <f t="shared" si="0"/>
        <v>12275773.590000004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f>SUM(EASTERNFL:VALENCIA!B30)</f>
        <v>10217309.970000001</v>
      </c>
      <c r="C30" s="44"/>
      <c r="D30" s="50">
        <f>SUM(EASTERNFL:VALENCIA!D30)</f>
        <v>3673598.9600000009</v>
      </c>
      <c r="E30" s="55"/>
      <c r="F30" s="51">
        <f t="shared" si="0"/>
        <v>13890908.930000002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f>SUM(EASTERNFL:VALENCIA!B31)</f>
        <v>15266678.66746268</v>
      </c>
      <c r="C31" s="44"/>
      <c r="D31" s="50">
        <f>SUM(EASTERNFL:VALENCIA!D31)</f>
        <v>128324.22253732142</v>
      </c>
      <c r="E31" s="55"/>
      <c r="F31" s="51">
        <f t="shared" si="0"/>
        <v>15395002.890000002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f>SUM(EASTERNFL:VALENCIA!B32)</f>
        <v>3813745.2099999995</v>
      </c>
      <c r="C32" s="44"/>
      <c r="D32" s="56">
        <f>SUM(EASTERNFL:VALENCIA!D32)</f>
        <v>1092.5</v>
      </c>
      <c r="E32" s="55"/>
      <c r="F32" s="57">
        <f>B32+D32</f>
        <v>3814837.7099999995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93437736.230000004</v>
      </c>
      <c r="C33" s="43"/>
      <c r="D33" s="53">
        <f>SUM(D26:D32)</f>
        <v>7183927.8600000003</v>
      </c>
      <c r="E33" s="46"/>
      <c r="F33" s="53">
        <f>SUM(F26:F32)</f>
        <v>100621664.09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f>SUM(EASTERNFL:VALENCIA!B35)</f>
        <v>6424498.5</v>
      </c>
      <c r="C35" s="40"/>
      <c r="D35" s="59">
        <f>SUM(EASTERNFL:VALENCIA!D35)</f>
        <v>0</v>
      </c>
      <c r="E35" s="33"/>
      <c r="F35" s="40">
        <f>+B35+D35</f>
        <v>6424498.5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196684210.09999996</v>
      </c>
      <c r="C37" s="43"/>
      <c r="D37" s="60">
        <f>+D10+D23-D33-D35</f>
        <v>18236906.330000006</v>
      </c>
      <c r="E37" s="46"/>
      <c r="F37" s="60">
        <f>+F10+F23-F33-F35</f>
        <v>214921116.42999998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58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57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 t="s">
        <v>34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35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36</v>
      </c>
      <c r="B79" s="9" t="s">
        <v>37</v>
      </c>
      <c r="C79" s="5"/>
      <c r="D79" s="9" t="s">
        <v>38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>
        <v>24216554.940000001</v>
      </c>
      <c r="C80" s="5"/>
      <c r="D80" s="11">
        <v>5854.98</v>
      </c>
      <c r="E80" s="1"/>
      <c r="F80" s="1" t="s">
        <v>39</v>
      </c>
      <c r="G80" s="5"/>
    </row>
    <row r="81" spans="1:7" ht="15" hidden="1" customHeight="1">
      <c r="A81" s="10" t="str">
        <f>'[3]Contact Information'!A46</f>
        <v>CHIPOLA COLLEGE</v>
      </c>
      <c r="B81" s="11">
        <v>529356.43999999994</v>
      </c>
      <c r="C81" s="5"/>
      <c r="D81" s="11">
        <v>0</v>
      </c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>
        <v>1100116.47</v>
      </c>
      <c r="C82" s="5"/>
      <c r="D82" s="11">
        <v>473454.69</v>
      </c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>
        <v>3287257.84</v>
      </c>
      <c r="C83" s="5"/>
      <c r="D83" s="11">
        <v>14505.78</v>
      </c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>
        <v>1760588.11</v>
      </c>
      <c r="C84" s="5"/>
      <c r="D84" s="13">
        <v>0</v>
      </c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>
        <v>5574992</v>
      </c>
      <c r="C85" s="5"/>
      <c r="D85" s="13">
        <v>1166196.1299999999</v>
      </c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>
        <v>702662.54</v>
      </c>
      <c r="C86" s="5"/>
      <c r="D86" s="13">
        <v>0</v>
      </c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>
        <v>71738.880000000005</v>
      </c>
      <c r="C87" s="5"/>
      <c r="D87" s="13">
        <v>0</v>
      </c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>
        <v>15369535.08</v>
      </c>
      <c r="C88" s="5"/>
      <c r="D88" s="13">
        <v>0</v>
      </c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>
        <v>-77390.350000000006</v>
      </c>
      <c r="C89" s="5"/>
      <c r="D89" s="13">
        <v>0</v>
      </c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>
        <v>2464460.2599999998</v>
      </c>
      <c r="C90" s="5"/>
      <c r="D90" s="13">
        <v>253171.95</v>
      </c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>
        <v>5554173.9900000002</v>
      </c>
      <c r="C91" s="5"/>
      <c r="D91" s="13">
        <v>0</v>
      </c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>
        <v>883968.32</v>
      </c>
      <c r="C92" s="5"/>
      <c r="D92" s="13">
        <v>0</v>
      </c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>
        <v>68080272.060000002</v>
      </c>
      <c r="C93" s="5"/>
      <c r="D93" s="13">
        <v>8407689.4100000001</v>
      </c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>
        <v>350694.68</v>
      </c>
      <c r="C94" s="5"/>
      <c r="D94" s="13">
        <v>3320.32</v>
      </c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>
        <v>2818540.78</v>
      </c>
      <c r="C95" s="5"/>
      <c r="D95" s="13">
        <v>0</v>
      </c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>
        <v>9756102.0399999991</v>
      </c>
      <c r="C96" s="5"/>
      <c r="D96" s="13">
        <v>636002.48</v>
      </c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>
        <v>4042239.76</v>
      </c>
      <c r="C97" s="5"/>
      <c r="D97" s="13">
        <v>266411.59999999998</v>
      </c>
    </row>
    <row r="98" spans="1:4" ht="15" hidden="1" customHeight="1">
      <c r="A98" s="12" t="str">
        <f>'[3]Contact Information'!A63</f>
        <v>PENSACOLA STATE COLLEGE</v>
      </c>
      <c r="B98" s="13">
        <v>4785703.62</v>
      </c>
      <c r="C98" s="5"/>
      <c r="D98" s="13">
        <v>2055021.798</v>
      </c>
    </row>
    <row r="99" spans="1:4" ht="15" hidden="1" customHeight="1">
      <c r="A99" s="12" t="str">
        <f>'[3]Contact Information'!A64</f>
        <v>POLK STATE COLLEGE</v>
      </c>
      <c r="B99" s="13">
        <v>1228776.51</v>
      </c>
      <c r="C99" s="5"/>
      <c r="D99" s="13">
        <v>0</v>
      </c>
    </row>
    <row r="100" spans="1:4" ht="15" hidden="1" customHeight="1">
      <c r="A100" s="12" t="str">
        <f>'[3]Contact Information'!A65</f>
        <v>SANTA FE COLLEGE</v>
      </c>
      <c r="B100" s="13">
        <v>5804909.2999999998</v>
      </c>
      <c r="C100" s="5"/>
      <c r="D100" s="13">
        <v>997856.65</v>
      </c>
    </row>
    <row r="101" spans="1:4" ht="15" hidden="1" customHeight="1">
      <c r="A101" s="12" t="str">
        <f>'[3]Contact Information'!A66</f>
        <v>SEMINOLE STATE COLLEGE OF FLORIDA</v>
      </c>
      <c r="B101" s="13">
        <v>2732093.05</v>
      </c>
      <c r="C101" s="5"/>
      <c r="D101" s="13">
        <v>386581.89</v>
      </c>
    </row>
    <row r="102" spans="1:4" ht="15" hidden="1" customHeight="1">
      <c r="A102" s="12" t="str">
        <f>'[3]Contact Information'!A67</f>
        <v>SOUTH FLORIDA STATE COLLEGE</v>
      </c>
      <c r="B102" s="13">
        <v>698910.79</v>
      </c>
      <c r="C102" s="5"/>
      <c r="D102" s="13">
        <v>0</v>
      </c>
    </row>
    <row r="103" spans="1:4" ht="15" hidden="1" customHeight="1">
      <c r="A103" s="12" t="str">
        <f>'[3]Contact Information'!A68</f>
        <v>ST. JOHNS RIVER STATE COLLEGE</v>
      </c>
      <c r="B103" s="13">
        <v>2100071.42</v>
      </c>
      <c r="C103" s="5"/>
      <c r="D103" s="13">
        <v>0</v>
      </c>
    </row>
    <row r="104" spans="1:4" ht="15" hidden="1" customHeight="1">
      <c r="A104" s="12" t="str">
        <f>'[3]Contact Information'!A69</f>
        <v>ST. PETERSBURG COLLEGE</v>
      </c>
      <c r="B104" s="13">
        <v>3140124.54</v>
      </c>
      <c r="C104" s="5"/>
      <c r="D104" s="13">
        <v>-430565.35</v>
      </c>
    </row>
    <row r="105" spans="1:4" ht="15" hidden="1" customHeight="1">
      <c r="A105" s="12" t="str">
        <f>'[3]Contact Information'!A70</f>
        <v>STATE COLLEGE OF FLORIDA, MANATEE-SARASOTA</v>
      </c>
      <c r="B105" s="13">
        <v>5142438.95</v>
      </c>
      <c r="C105" s="5"/>
      <c r="D105" s="13">
        <v>33683.440000000002</v>
      </c>
    </row>
    <row r="106" spans="1:4" ht="15" hidden="1" customHeight="1">
      <c r="A106" s="12" t="str">
        <f>'[3]Contact Information'!A71</f>
        <v>TALLAHASSEE COMMUNITY COLLEGE</v>
      </c>
      <c r="B106" s="13">
        <v>7727577.29</v>
      </c>
      <c r="C106" s="5"/>
      <c r="D106" s="13">
        <v>0</v>
      </c>
    </row>
    <row r="107" spans="1:4" ht="15" hidden="1" customHeight="1">
      <c r="A107" s="12" t="str">
        <f>'[3]Contact Information'!A72</f>
        <v>VALENCIA COLLEGE</v>
      </c>
      <c r="B107" s="13">
        <v>5084812.1399999997</v>
      </c>
      <c r="C107" s="5"/>
      <c r="D107" s="13">
        <v>1606443.53</v>
      </c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73" priority="8">
      <formula>$F32&lt;&gt;0</formula>
    </cfRule>
  </conditionalFormatting>
  <conditionalFormatting sqref="A21">
    <cfRule type="expression" dxfId="172" priority="7">
      <formula>$F21&lt;&gt;0</formula>
    </cfRule>
  </conditionalFormatting>
  <conditionalFormatting sqref="A45">
    <cfRule type="expression" dxfId="171" priority="5">
      <formula>$F$21&lt;&gt;0</formula>
    </cfRule>
  </conditionalFormatting>
  <conditionalFormatting sqref="A50">
    <cfRule type="expression" dxfId="170" priority="3">
      <formula>$F$32&lt;&gt;0</formula>
    </cfRule>
  </conditionalFormatting>
  <conditionalFormatting sqref="A51">
    <cfRule type="expression" dxfId="169" priority="2">
      <formula>$F$21&lt;&gt;0</formula>
    </cfRule>
  </conditionalFormatting>
  <conditionalFormatting sqref="A46">
    <cfRule type="expression" dxfId="168" priority="1">
      <formula>$F$21&lt;&gt;0</formula>
    </cfRule>
  </conditionalFormatting>
  <printOptions horizontalCentered="1"/>
  <pageMargins left="0.7" right="0.7" top="0.75" bottom="0.75" header="0.5" footer="0.5"/>
  <pageSetup scale="71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'[12]Contact Information'!C5</f>
        <v>GULF COAST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'[12]Contact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VLOOKUP($A$1,[12]VLOOKUPS!A79:D106,2,FALSE)</f>
        <v>50951.3</v>
      </c>
      <c r="C10" s="31"/>
      <c r="D10" s="31">
        <f>VLOOKUP($A$1,[12]VLOOKUPS!A79:D106,3,FALSE)</f>
        <v>0</v>
      </c>
      <c r="E10" s="31"/>
      <c r="F10" s="31">
        <f>B10+D10</f>
        <v>50951.3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'[12]Accounts by GL'!O215</f>
        <v>760121.56</v>
      </c>
      <c r="C14" s="40"/>
      <c r="D14" s="40">
        <v>0</v>
      </c>
      <c r="E14" s="40"/>
      <c r="F14" s="40">
        <f>B14+D14</f>
        <v>760121.56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'[12]Accounts by GL'!O216</f>
        <v>15995.53</v>
      </c>
      <c r="C15" s="40"/>
      <c r="D15" s="40">
        <v>0</v>
      </c>
      <c r="E15" s="40"/>
      <c r="F15" s="40">
        <f>B15+D15</f>
        <v>15995.53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'[12]Accounts by GL'!O217</f>
        <v>14735.57</v>
      </c>
      <c r="C16" s="40"/>
      <c r="D16" s="41">
        <v>0</v>
      </c>
      <c r="E16" s="40"/>
      <c r="F16" s="41">
        <f>B16+D16</f>
        <v>14735.57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790852.66</v>
      </c>
      <c r="C17" s="43"/>
      <c r="D17" s="44">
        <f>SUM(D14:D16)</f>
        <v>0</v>
      </c>
      <c r="E17" s="43"/>
      <c r="F17" s="44">
        <f>B17+D17</f>
        <v>790852.66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790852.66</v>
      </c>
      <c r="C23" s="43"/>
      <c r="D23" s="53">
        <f>D17+D19+D21</f>
        <v>0</v>
      </c>
      <c r="E23" s="46"/>
      <c r="F23" s="53">
        <f>F17+F19+F21</f>
        <v>790852.66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254050.57</v>
      </c>
      <c r="C28" s="44"/>
      <c r="D28" s="50">
        <v>0</v>
      </c>
      <c r="E28" s="54"/>
      <c r="F28" s="44">
        <f t="shared" si="0"/>
        <v>254050.57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123065.89</v>
      </c>
      <c r="C29" s="44"/>
      <c r="D29" s="50">
        <v>0</v>
      </c>
      <c r="E29" s="54"/>
      <c r="F29" s="44">
        <f t="shared" si="0"/>
        <v>123065.89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377116.46</v>
      </c>
      <c r="C33" s="43"/>
      <c r="D33" s="53">
        <f>SUM(D26:D32)</f>
        <v>0</v>
      </c>
      <c r="E33" s="46"/>
      <c r="F33" s="53">
        <f>SUM(F26:F32)</f>
        <v>377116.46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464687.5</v>
      </c>
      <c r="C35" s="40"/>
      <c r="D35" s="59">
        <v>0</v>
      </c>
      <c r="E35" s="33"/>
      <c r="F35" s="40">
        <f>+B35+D35</f>
        <v>464687.5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0</v>
      </c>
      <c r="C37" s="43"/>
      <c r="D37" s="60">
        <f>+D10+D23-D33-D35</f>
        <v>0</v>
      </c>
      <c r="E37" s="46"/>
      <c r="F37" s="60">
        <f>+F10+F23-F33-F35</f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19" priority="6">
      <formula>$F32&lt;&gt;0</formula>
    </cfRule>
  </conditionalFormatting>
  <conditionalFormatting sqref="A21">
    <cfRule type="expression" dxfId="118" priority="5">
      <formula>$F21&lt;&gt;0</formula>
    </cfRule>
  </conditionalFormatting>
  <conditionalFormatting sqref="A46">
    <cfRule type="expression" dxfId="117" priority="1">
      <formula>$F$21&lt;&gt;0</formula>
    </cfRule>
  </conditionalFormatting>
  <conditionalFormatting sqref="A45">
    <cfRule type="expression" dxfId="116" priority="4">
      <formula>$F$21&lt;&gt;0</formula>
    </cfRule>
  </conditionalFormatting>
  <conditionalFormatting sqref="A50">
    <cfRule type="expression" dxfId="115" priority="3">
      <formula>$F$32&lt;&gt;0</formula>
    </cfRule>
  </conditionalFormatting>
  <conditionalFormatting sqref="A51">
    <cfRule type="expression" dxfId="114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'[13]Contact Information'!C5</f>
        <v>HILLSBOROUGH COMMUNITY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'[13]Contact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VLOOKUP($A$1,[13]VLOOKUPS!A79:D106,2,FALSE)</f>
        <v>3554377.75</v>
      </c>
      <c r="C10" s="31"/>
      <c r="D10" s="31">
        <f>VLOOKUP($A$1,[13]VLOOKUPS!A79:D106,3,FALSE)</f>
        <v>259862.74</v>
      </c>
      <c r="E10" s="31"/>
      <c r="F10" s="31">
        <f>B10+D10</f>
        <v>3814240.49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'[13]Accounts by GL'!O215</f>
        <v>4682995.8099999996</v>
      </c>
      <c r="C14" s="40"/>
      <c r="D14" s="40">
        <v>0</v>
      </c>
      <c r="E14" s="40"/>
      <c r="F14" s="40">
        <f>B14+D14</f>
        <v>4682995.8099999996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'[13]Accounts by GL'!O216</f>
        <v>26685.75</v>
      </c>
      <c r="C15" s="40"/>
      <c r="D15" s="40">
        <v>0</v>
      </c>
      <c r="E15" s="40"/>
      <c r="F15" s="40">
        <f>B15+D15</f>
        <v>26685.75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'[13]Accounts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4709681.5599999996</v>
      </c>
      <c r="C17" s="43"/>
      <c r="D17" s="44">
        <f>SUM(D14:D16)</f>
        <v>0</v>
      </c>
      <c r="E17" s="43"/>
      <c r="F17" s="44">
        <f>B17+D17</f>
        <v>4709681.5599999996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6694.45</v>
      </c>
      <c r="E19" s="47"/>
      <c r="F19" s="47">
        <f>B19+D19</f>
        <v>6694.45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600</v>
      </c>
      <c r="E21" s="46"/>
      <c r="F21" s="51">
        <f>D21</f>
        <v>600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4709681.5599999996</v>
      </c>
      <c r="C23" s="43"/>
      <c r="D23" s="53">
        <f>D17+D19+D21</f>
        <v>7294.45</v>
      </c>
      <c r="E23" s="46"/>
      <c r="F23" s="53">
        <f>F17+F19+F21</f>
        <v>4716976.01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1685074.12</v>
      </c>
      <c r="C29" s="44"/>
      <c r="D29" s="50">
        <v>0</v>
      </c>
      <c r="E29" s="54"/>
      <c r="F29" s="44">
        <f t="shared" si="0"/>
        <v>1685074.12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488742.84</v>
      </c>
      <c r="C30" s="44"/>
      <c r="D30" s="50">
        <v>0</v>
      </c>
      <c r="E30" s="55"/>
      <c r="F30" s="51">
        <f t="shared" si="0"/>
        <v>488742.84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368462.06</v>
      </c>
      <c r="C31" s="44"/>
      <c r="D31" s="50">
        <v>0</v>
      </c>
      <c r="E31" s="55"/>
      <c r="F31" s="51">
        <f t="shared" si="0"/>
        <v>368462.06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1722720</v>
      </c>
      <c r="C32" s="44"/>
      <c r="D32" s="56">
        <v>0</v>
      </c>
      <c r="E32" s="55"/>
      <c r="F32" s="57">
        <f t="shared" si="0"/>
        <v>1722720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4264999.0199999996</v>
      </c>
      <c r="C33" s="43"/>
      <c r="D33" s="53">
        <f>SUM(D26:D32)</f>
        <v>0</v>
      </c>
      <c r="E33" s="46"/>
      <c r="F33" s="53">
        <f>SUM(F26:F32)</f>
        <v>4264999.0199999996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3999060.29</v>
      </c>
      <c r="C37" s="43"/>
      <c r="D37" s="60">
        <f>+D10+D23-D33-D35</f>
        <v>267157.19</v>
      </c>
      <c r="E37" s="46"/>
      <c r="F37" s="60">
        <f>+F10+F23-F33-F35</f>
        <v>4266217.4800000004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59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47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13" priority="6">
      <formula>$F32&lt;&gt;0</formula>
    </cfRule>
  </conditionalFormatting>
  <conditionalFormatting sqref="A21">
    <cfRule type="expression" dxfId="112" priority="5">
      <formula>$F21&lt;&gt;0</formula>
    </cfRule>
  </conditionalFormatting>
  <conditionalFormatting sqref="A46">
    <cfRule type="expression" dxfId="111" priority="1">
      <formula>$F$21&lt;&gt;0</formula>
    </cfRule>
  </conditionalFormatting>
  <conditionalFormatting sqref="A45">
    <cfRule type="expression" dxfId="110" priority="4">
      <formula>$F$21&lt;&gt;0</formula>
    </cfRule>
  </conditionalFormatting>
  <conditionalFormatting sqref="A50">
    <cfRule type="expression" dxfId="109" priority="3">
      <formula>$F$32&lt;&gt;0</formula>
    </cfRule>
  </conditionalFormatting>
  <conditionalFormatting sqref="A51">
    <cfRule type="expression" dxfId="108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'[14]Contact Information'!C5</f>
        <v>INDIAN RIVER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'[14]Contact Information'!C3</f>
        <v>2015.v03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VLOOKUP($A$1,[14]VLOOKUPS!A79:D106,2,FALSE)</f>
        <v>7144873.1200000001</v>
      </c>
      <c r="C10" s="31"/>
      <c r="D10" s="31">
        <f>VLOOKUP($A$1,[14]VLOOKUPS!A79:D106,3,FALSE)</f>
        <v>0</v>
      </c>
      <c r="E10" s="31"/>
      <c r="F10" s="31">
        <f>B10+D10</f>
        <v>7144873.1200000001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'[14]Accounts by GL'!O215</f>
        <v>2400024.79</v>
      </c>
      <c r="C14" s="40"/>
      <c r="D14" s="40">
        <f>-'[15]Rev '!$T$1153</f>
        <v>50480.678253549653</v>
      </c>
      <c r="E14" s="40"/>
      <c r="F14" s="40">
        <f>B14+D14</f>
        <v>2450505.4682535497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'[14]Accounts by GL'!O216</f>
        <v>27162.26</v>
      </c>
      <c r="C15" s="40"/>
      <c r="D15" s="40">
        <f>-'[15]Rev '!$T$1930</f>
        <v>571.31464367051842</v>
      </c>
      <c r="E15" s="40"/>
      <c r="F15" s="40">
        <f>B15+D15</f>
        <v>27733.574643670516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'[14]Accounts by GL'!O217</f>
        <v>450032.22</v>
      </c>
      <c r="C16" s="40"/>
      <c r="D16" s="41">
        <f>-'[15]Rev '!$T$2742</f>
        <v>9465.7071027798138</v>
      </c>
      <c r="E16" s="40"/>
      <c r="F16" s="41">
        <f>B16+D16</f>
        <v>459497.92710277979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2877219.2699999996</v>
      </c>
      <c r="C17" s="43"/>
      <c r="D17" s="44">
        <f>SUM(D14:D16)</f>
        <v>60517.69999999999</v>
      </c>
      <c r="E17" s="43"/>
      <c r="F17" s="44">
        <f>B17+D17</f>
        <v>2937736.9699999997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2877219.2699999996</v>
      </c>
      <c r="C23" s="43"/>
      <c r="D23" s="53">
        <f>D17+D19+D21</f>
        <v>60517.69999999999</v>
      </c>
      <c r="E23" s="46"/>
      <c r="F23" s="53">
        <f>F17+F19+F21</f>
        <v>2937736.9699999997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f>'[15]exp detail'!$U$213</f>
        <v>616945.44633505563</v>
      </c>
      <c r="C27" s="44"/>
      <c r="D27" s="50">
        <f>'[15]exp detail'!$T$213</f>
        <v>5576.1536649441687</v>
      </c>
      <c r="E27" s="54"/>
      <c r="F27" s="44">
        <f t="shared" si="0"/>
        <v>622521.59999999974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f>'[15]exp detail'!$U$284</f>
        <v>633106.1109900896</v>
      </c>
      <c r="C28" s="44"/>
      <c r="D28" s="50">
        <f>'[15]exp detail'!$T$284</f>
        <v>5722.219009910119</v>
      </c>
      <c r="E28" s="54"/>
      <c r="F28" s="44">
        <f t="shared" si="0"/>
        <v>638828.32999999973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f>'[15]exp detail'!$U$13</f>
        <v>202680.77521217577</v>
      </c>
      <c r="C29" s="44"/>
      <c r="D29" s="50">
        <f>'[15]exp detail'!$T$13</f>
        <v>1831.8947878242586</v>
      </c>
      <c r="E29" s="54"/>
      <c r="F29" s="44">
        <f t="shared" si="0"/>
        <v>204512.67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f>'[15]exp detail'!$U$671</f>
        <v>5242943.8774626786</v>
      </c>
      <c r="C31" s="44"/>
      <c r="D31" s="50">
        <f>'[15]exp detail'!$T$671</f>
        <v>47387.432537321431</v>
      </c>
      <c r="E31" s="55"/>
      <c r="F31" s="51">
        <f t="shared" si="0"/>
        <v>5290331.3099999996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6695676.209999999</v>
      </c>
      <c r="C33" s="43"/>
      <c r="D33" s="53">
        <f>SUM(D26:D32)</f>
        <v>60517.699999999975</v>
      </c>
      <c r="E33" s="46"/>
      <c r="F33" s="53">
        <f>SUM(F26:F32)</f>
        <v>6756193.9099999992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3326416.1800000016</v>
      </c>
      <c r="C37" s="43"/>
      <c r="D37" s="60">
        <f>+D10+D23-D33-D35</f>
        <v>1.4551915228366852E-11</v>
      </c>
      <c r="E37" s="46"/>
      <c r="F37" s="60">
        <f>+F10+F23-F33-F35</f>
        <v>3326416.1800000006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07" priority="6">
      <formula>$F32&lt;&gt;0</formula>
    </cfRule>
  </conditionalFormatting>
  <conditionalFormatting sqref="A21">
    <cfRule type="expression" dxfId="106" priority="5">
      <formula>$F21&lt;&gt;0</formula>
    </cfRule>
  </conditionalFormatting>
  <conditionalFormatting sqref="A46">
    <cfRule type="expression" dxfId="105" priority="1">
      <formula>$F$21&lt;&gt;0</formula>
    </cfRule>
  </conditionalFormatting>
  <conditionalFormatting sqref="A45">
    <cfRule type="expression" dxfId="104" priority="4">
      <formula>$F$21&lt;&gt;0</formula>
    </cfRule>
  </conditionalFormatting>
  <conditionalFormatting sqref="A50">
    <cfRule type="expression" dxfId="103" priority="3">
      <formula>$F$32&lt;&gt;0</formula>
    </cfRule>
  </conditionalFormatting>
  <conditionalFormatting sqref="A51">
    <cfRule type="expression" dxfId="10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'[16]Contact Information'!C5</f>
        <v>FLORIDA GATEWAY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'[16]Contact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VLOOKUP($A$1,[16]VLOOKUPS!A79:D106,2,FALSE)</f>
        <v>798838.09</v>
      </c>
      <c r="C10" s="31"/>
      <c r="D10" s="31">
        <f>VLOOKUP($A$1,[16]VLOOKUPS!A79:D106,3,FALSE)</f>
        <v>1765</v>
      </c>
      <c r="E10" s="31"/>
      <c r="F10" s="31">
        <f>B10+D10</f>
        <v>800603.09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'[16]Accounts by GL'!O215</f>
        <v>304764.61</v>
      </c>
      <c r="C14" s="40"/>
      <c r="D14" s="40">
        <v>1610</v>
      </c>
      <c r="E14" s="40"/>
      <c r="F14" s="40">
        <f>B14+D14</f>
        <v>306374.61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'[16]Accounts by GL'!O216</f>
        <v>25367.9</v>
      </c>
      <c r="C15" s="40"/>
      <c r="D15" s="40">
        <v>190</v>
      </c>
      <c r="E15" s="40"/>
      <c r="F15" s="40">
        <f>B15+D15</f>
        <v>25557.9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'[16]Accounts by GL'!O217</f>
        <v>4902.12</v>
      </c>
      <c r="C16" s="40"/>
      <c r="D16" s="41">
        <v>0</v>
      </c>
      <c r="E16" s="40"/>
      <c r="F16" s="41">
        <f>B16+D16</f>
        <v>4902.12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335034.63</v>
      </c>
      <c r="C17" s="43"/>
      <c r="D17" s="44">
        <f>SUM(D14:D16)</f>
        <v>1800</v>
      </c>
      <c r="E17" s="43"/>
      <c r="F17" s="44">
        <f>B17+D17</f>
        <v>336834.63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335034.63</v>
      </c>
      <c r="C23" s="43"/>
      <c r="D23" s="53">
        <f>D17+D19+D21</f>
        <v>1800</v>
      </c>
      <c r="E23" s="46"/>
      <c r="F23" s="53">
        <f>F17+F19+F21</f>
        <v>336834.63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233974.8</v>
      </c>
      <c r="C27" s="44"/>
      <c r="D27" s="50">
        <v>0</v>
      </c>
      <c r="E27" s="54"/>
      <c r="F27" s="44">
        <f t="shared" si="0"/>
        <v>233974.8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13047.84</v>
      </c>
      <c r="C29" s="44"/>
      <c r="D29" s="50">
        <v>0</v>
      </c>
      <c r="E29" s="54"/>
      <c r="F29" s="44">
        <f t="shared" si="0"/>
        <v>13047.84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12682.45</v>
      </c>
      <c r="C30" s="44"/>
      <c r="D30" s="50">
        <v>0</v>
      </c>
      <c r="E30" s="55"/>
      <c r="F30" s="51">
        <f t="shared" si="0"/>
        <v>12682.45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259705.09</v>
      </c>
      <c r="C33" s="43"/>
      <c r="D33" s="53">
        <f>SUM(D26:D32)</f>
        <v>0</v>
      </c>
      <c r="E33" s="46"/>
      <c r="F33" s="53">
        <f>SUM(F26:F32)</f>
        <v>259705.09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874167.63</v>
      </c>
      <c r="C37" s="43"/>
      <c r="D37" s="60">
        <f>+D10+D23-D33-D35</f>
        <v>3565</v>
      </c>
      <c r="E37" s="46"/>
      <c r="F37" s="60">
        <f>+F10+F23-F33-F35</f>
        <v>877732.63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01" priority="6">
      <formula>$F32&lt;&gt;0</formula>
    </cfRule>
  </conditionalFormatting>
  <conditionalFormatting sqref="A21">
    <cfRule type="expression" dxfId="100" priority="5">
      <formula>$F21&lt;&gt;0</formula>
    </cfRule>
  </conditionalFormatting>
  <conditionalFormatting sqref="A46">
    <cfRule type="expression" dxfId="99" priority="1">
      <formula>$F$21&lt;&gt;0</formula>
    </cfRule>
  </conditionalFormatting>
  <conditionalFormatting sqref="A45">
    <cfRule type="expression" dxfId="98" priority="4">
      <formula>$F$21&lt;&gt;0</formula>
    </cfRule>
  </conditionalFormatting>
  <conditionalFormatting sqref="A50">
    <cfRule type="expression" dxfId="97" priority="3">
      <formula>$F$32&lt;&gt;0</formula>
    </cfRule>
  </conditionalFormatting>
  <conditionalFormatting sqref="A51">
    <cfRule type="expression" dxfId="9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'[17]Contact Information'!C5</f>
        <v>LAKE-SUMTER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'[17]Contact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VLOOKUP($A$1,[17]VLOOKUPS!A79:D106,2,FALSE)</f>
        <v>1006306.33</v>
      </c>
      <c r="C10" s="31"/>
      <c r="D10" s="31">
        <f>VLOOKUP($A$1,[17]VLOOKUPS!A79:D106,3,FALSE)</f>
        <v>0</v>
      </c>
      <c r="E10" s="31"/>
      <c r="F10" s="31">
        <f>B10+D10</f>
        <v>1006306.33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'[17]Accounts by GL'!O215</f>
        <v>647519.37</v>
      </c>
      <c r="C14" s="40"/>
      <c r="D14" s="40">
        <v>0</v>
      </c>
      <c r="E14" s="40"/>
      <c r="F14" s="40">
        <f>B14+D14</f>
        <v>647519.37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'[17]Accounts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'[17]Accounts by GL'!O217</f>
        <v>14294.81</v>
      </c>
      <c r="C16" s="40"/>
      <c r="D16" s="41">
        <v>0</v>
      </c>
      <c r="E16" s="40"/>
      <c r="F16" s="41">
        <f>B16+D16</f>
        <v>14294.81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661814.18000000005</v>
      </c>
      <c r="C17" s="43"/>
      <c r="D17" s="44">
        <f>SUM(D14:D16)</f>
        <v>0</v>
      </c>
      <c r="E17" s="43"/>
      <c r="F17" s="44">
        <f>B17+D17</f>
        <v>661814.18000000005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661814.18000000005</v>
      </c>
      <c r="C23" s="43"/>
      <c r="D23" s="53">
        <f>D17+D19+D21</f>
        <v>0</v>
      </c>
      <c r="E23" s="46"/>
      <c r="F23" s="53">
        <f>F17+F19+F21</f>
        <v>661814.18000000005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0</v>
      </c>
      <c r="C33" s="43"/>
      <c r="D33" s="53">
        <f>SUM(D26:D32)</f>
        <v>0</v>
      </c>
      <c r="E33" s="46"/>
      <c r="F33" s="53">
        <f>SUM(F26:F32)</f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1668120.51</v>
      </c>
      <c r="C37" s="43"/>
      <c r="D37" s="60">
        <f>+D10+D23-D33-D35</f>
        <v>0</v>
      </c>
      <c r="E37" s="46"/>
      <c r="F37" s="60">
        <f>+F10+F23-F33-F35</f>
        <v>1668120.51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95" priority="6">
      <formula>$F32&lt;&gt;0</formula>
    </cfRule>
  </conditionalFormatting>
  <conditionalFormatting sqref="A21">
    <cfRule type="expression" dxfId="94" priority="5">
      <formula>$F21&lt;&gt;0</formula>
    </cfRule>
  </conditionalFormatting>
  <conditionalFormatting sqref="A46">
    <cfRule type="expression" dxfId="93" priority="1">
      <formula>$F$21&lt;&gt;0</formula>
    </cfRule>
  </conditionalFormatting>
  <conditionalFormatting sqref="A45">
    <cfRule type="expression" dxfId="92" priority="4">
      <formula>$F$21&lt;&gt;0</formula>
    </cfRule>
  </conditionalFormatting>
  <conditionalFormatting sqref="A50">
    <cfRule type="expression" dxfId="91" priority="3">
      <formula>$F$32&lt;&gt;0</formula>
    </cfRule>
  </conditionalFormatting>
  <conditionalFormatting sqref="A51">
    <cfRule type="expression" dxfId="90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'[18]Contact Information'!C5</f>
        <v>STATE COLLEGE OF FLORIDA, MANATEE-SARASOTA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'[18]Contact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VLOOKUP($A$1,[18]VLOOKUPS!A79:D106,2,FALSE)</f>
        <v>5737824.1299999999</v>
      </c>
      <c r="C10" s="31"/>
      <c r="D10" s="31">
        <f>VLOOKUP($A$1,[18]VLOOKUPS!A79:D106,3,FALSE)</f>
        <v>42968.07</v>
      </c>
      <c r="E10" s="31"/>
      <c r="F10" s="31">
        <f>B10+D10</f>
        <v>5780792.2000000002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'[18]Accounts by GL'!O215</f>
        <v>1782719.16</v>
      </c>
      <c r="C14" s="40"/>
      <c r="D14" s="40">
        <v>0</v>
      </c>
      <c r="E14" s="40"/>
      <c r="F14" s="40">
        <f>B14+D14</f>
        <v>1782719.16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'[18]Accounts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'[18]Accounts by GL'!O217</f>
        <v>80453.279999999999</v>
      </c>
      <c r="C16" s="40"/>
      <c r="D16" s="41">
        <v>0</v>
      </c>
      <c r="E16" s="40"/>
      <c r="F16" s="41">
        <f>B16+D16</f>
        <v>80453.279999999999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1863172.44</v>
      </c>
      <c r="C17" s="43"/>
      <c r="D17" s="44">
        <f>SUM(D14:D16)</f>
        <v>0</v>
      </c>
      <c r="E17" s="43"/>
      <c r="F17" s="44">
        <f>B17+D17</f>
        <v>1863172.44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11165.46</v>
      </c>
      <c r="E19" s="47"/>
      <c r="F19" s="47">
        <f>B19+D19</f>
        <v>11165.46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1863172.44</v>
      </c>
      <c r="C23" s="43"/>
      <c r="D23" s="53">
        <f>D17+D19+D21</f>
        <v>11165.46</v>
      </c>
      <c r="E23" s="46"/>
      <c r="F23" s="53">
        <f>F17+F19+F21</f>
        <v>1874337.9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311812.25</v>
      </c>
      <c r="C27" s="44"/>
      <c r="D27" s="50">
        <v>0</v>
      </c>
      <c r="E27" s="54"/>
      <c r="F27" s="44">
        <f t="shared" si="0"/>
        <v>311812.25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116035.2</v>
      </c>
      <c r="C28" s="44"/>
      <c r="D28" s="50">
        <v>0</v>
      </c>
      <c r="E28" s="54"/>
      <c r="F28" s="44">
        <f t="shared" si="0"/>
        <v>116035.2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674826.58</v>
      </c>
      <c r="C29" s="44"/>
      <c r="D29" s="50">
        <v>0</v>
      </c>
      <c r="E29" s="54"/>
      <c r="F29" s="44">
        <f t="shared" si="0"/>
        <v>674826.58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150556.06</v>
      </c>
      <c r="C30" s="44"/>
      <c r="D30" s="50">
        <v>0</v>
      </c>
      <c r="E30" s="55"/>
      <c r="F30" s="51">
        <f t="shared" si="0"/>
        <v>150556.06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1253230.0900000001</v>
      </c>
      <c r="C33" s="43"/>
      <c r="D33" s="53">
        <f>SUM(D26:D32)</f>
        <v>0</v>
      </c>
      <c r="E33" s="46"/>
      <c r="F33" s="53">
        <f>SUM(F26:F32)</f>
        <v>1253230.0900000001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6347766.4800000004</v>
      </c>
      <c r="C37" s="43"/>
      <c r="D37" s="60">
        <f>+D10+D23-D33-D35</f>
        <v>54133.53</v>
      </c>
      <c r="E37" s="46"/>
      <c r="F37" s="60">
        <f>+F10+F23-F33-F35</f>
        <v>6401900.0099999998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89" priority="6">
      <formula>$F32&lt;&gt;0</formula>
    </cfRule>
  </conditionalFormatting>
  <conditionalFormatting sqref="A21">
    <cfRule type="expression" dxfId="88" priority="5">
      <formula>$F21&lt;&gt;0</formula>
    </cfRule>
  </conditionalFormatting>
  <conditionalFormatting sqref="A46">
    <cfRule type="expression" dxfId="87" priority="1">
      <formula>$F$21&lt;&gt;0</formula>
    </cfRule>
  </conditionalFormatting>
  <conditionalFormatting sqref="A45">
    <cfRule type="expression" dxfId="86" priority="4">
      <formula>$F$21&lt;&gt;0</formula>
    </cfRule>
  </conditionalFormatting>
  <conditionalFormatting sqref="A50">
    <cfRule type="expression" dxfId="85" priority="3">
      <formula>$F$32&lt;&gt;0</formula>
    </cfRule>
  </conditionalFormatting>
  <conditionalFormatting sqref="A51">
    <cfRule type="expression" dxfId="84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'[19]Contact Information'!C5</f>
        <v>MIAMI DADE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'[19]Contact Information'!C3</f>
        <v>2015.v04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VLOOKUP($A$1,[19]VLOOKUPS!A79:D106,2,FALSE)</f>
        <v>67634575.890000001</v>
      </c>
      <c r="C10" s="31"/>
      <c r="D10" s="31">
        <f>VLOOKUP($A$1,[19]VLOOKUPS!A79:D106,3,FALSE)</f>
        <v>9284680.6600000001</v>
      </c>
      <c r="E10" s="31"/>
      <c r="F10" s="31">
        <f>B10+D10</f>
        <v>76919256.549999997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'[19]Accounts by GL'!O215</f>
        <v>20081836.010000002</v>
      </c>
      <c r="C14" s="40"/>
      <c r="D14" s="40">
        <v>0</v>
      </c>
      <c r="E14" s="40"/>
      <c r="F14" s="40">
        <f>B14+D14</f>
        <v>20081836.010000002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'[19]Accounts by GL'!O216</f>
        <v>80914.990000000005</v>
      </c>
      <c r="C15" s="40"/>
      <c r="D15" s="40">
        <v>0</v>
      </c>
      <c r="E15" s="40"/>
      <c r="F15" s="40">
        <f>B15+D15</f>
        <v>80914.990000000005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'[19]Accounts by GL'!O217</f>
        <v>855809.4</v>
      </c>
      <c r="C16" s="40"/>
      <c r="D16" s="41">
        <v>0</v>
      </c>
      <c r="E16" s="40"/>
      <c r="F16" s="41">
        <f>B16+D16</f>
        <v>855809.4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21018560.399999999</v>
      </c>
      <c r="C17" s="43"/>
      <c r="D17" s="44">
        <f>SUM(D14:D16)</f>
        <v>0</v>
      </c>
      <c r="E17" s="43"/>
      <c r="F17" s="44">
        <f>B17+D17</f>
        <v>21018560.399999999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f>+[20]CIF!$D$19</f>
        <v>1074906.3400000001</v>
      </c>
      <c r="E19" s="47"/>
      <c r="F19" s="47">
        <f>B19+D19</f>
        <v>1074906.3400000001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21018560.399999999</v>
      </c>
      <c r="C23" s="43"/>
      <c r="D23" s="53">
        <f>D17+D19+D21</f>
        <v>1074906.3400000001</v>
      </c>
      <c r="E23" s="46"/>
      <c r="F23" s="53">
        <f>F17+F19+F21</f>
        <v>22093466.739999998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f>+[20]Expense!Q24</f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f>+[20]Expense!R24</f>
        <v>6015297.4100000001</v>
      </c>
      <c r="C27" s="44"/>
      <c r="D27" s="50">
        <v>0</v>
      </c>
      <c r="E27" s="54"/>
      <c r="F27" s="44">
        <f t="shared" si="0"/>
        <v>6015297.4100000001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f>+[20]Expense!T24</f>
        <v>2917369.5599999996</v>
      </c>
      <c r="C29" s="44"/>
      <c r="D29" s="50">
        <v>0</v>
      </c>
      <c r="E29" s="54"/>
      <c r="F29" s="44">
        <f t="shared" si="0"/>
        <v>2917369.5599999996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f>+[20]Expense!S24</f>
        <v>991476.88</v>
      </c>
      <c r="C30" s="44"/>
      <c r="D30" s="50">
        <v>0</v>
      </c>
      <c r="E30" s="55"/>
      <c r="F30" s="51">
        <f t="shared" si="0"/>
        <v>991476.88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9924143.8499999996</v>
      </c>
      <c r="C33" s="43"/>
      <c r="D33" s="53">
        <f>SUM(D26:D32)</f>
        <v>0</v>
      </c>
      <c r="E33" s="46"/>
      <c r="F33" s="53">
        <f>SUM(F26:F32)</f>
        <v>9924143.8499999996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78728992.439999998</v>
      </c>
      <c r="C37" s="43"/>
      <c r="D37" s="60">
        <f>+D10+D23-D33-D35</f>
        <v>10359587</v>
      </c>
      <c r="E37" s="46"/>
      <c r="F37" s="60">
        <f>+F10+F23-F33-F35</f>
        <v>89088579.439999998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83" priority="6">
      <formula>$F32&lt;&gt;0</formula>
    </cfRule>
  </conditionalFormatting>
  <conditionalFormatting sqref="A21">
    <cfRule type="expression" dxfId="82" priority="5">
      <formula>$F21&lt;&gt;0</formula>
    </cfRule>
  </conditionalFormatting>
  <conditionalFormatting sqref="A46">
    <cfRule type="expression" dxfId="81" priority="1">
      <formula>$F$21&lt;&gt;0</formula>
    </cfRule>
  </conditionalFormatting>
  <conditionalFormatting sqref="A45">
    <cfRule type="expression" dxfId="80" priority="4">
      <formula>$F$21&lt;&gt;0</formula>
    </cfRule>
  </conditionalFormatting>
  <conditionalFormatting sqref="A50">
    <cfRule type="expression" dxfId="79" priority="3">
      <formula>$F$32&lt;&gt;0</formula>
    </cfRule>
  </conditionalFormatting>
  <conditionalFormatting sqref="A51">
    <cfRule type="expression" dxfId="78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'[21]Contact Information'!C5</f>
        <v>NORTH FLORIDA COMMUNITY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'[21]Contact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VLOOKUP($A$1,[21]VLOOKUPS!A79:D106,2,FALSE)</f>
        <v>179002.05</v>
      </c>
      <c r="C10" s="31"/>
      <c r="D10" s="31">
        <f>VLOOKUP($A$1,[21]VLOOKUPS!A79:D106,3,FALSE)</f>
        <v>3320.32</v>
      </c>
      <c r="E10" s="31"/>
      <c r="F10" s="31">
        <f>B10+D10</f>
        <v>182322.37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'[21]Accounts by GL'!O215</f>
        <v>181195.15</v>
      </c>
      <c r="C14" s="40"/>
      <c r="D14" s="40">
        <v>0</v>
      </c>
      <c r="E14" s="40"/>
      <c r="F14" s="40">
        <f>B14+D14</f>
        <v>181195.15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'[21]Accounts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'[21]Accounts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181195.15</v>
      </c>
      <c r="C17" s="43"/>
      <c r="D17" s="44">
        <f>SUM(D14:D16)</f>
        <v>0</v>
      </c>
      <c r="E17" s="43"/>
      <c r="F17" s="44">
        <f>B17+D17</f>
        <v>181195.15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181195.15</v>
      </c>
      <c r="C23" s="43"/>
      <c r="D23" s="53">
        <f>D17+D19+D21</f>
        <v>0</v>
      </c>
      <c r="E23" s="46"/>
      <c r="F23" s="53">
        <f>F17+F19+F21</f>
        <v>181195.15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110535.21</v>
      </c>
      <c r="C28" s="44"/>
      <c r="D28" s="50">
        <v>0</v>
      </c>
      <c r="E28" s="54"/>
      <c r="F28" s="44">
        <f t="shared" si="0"/>
        <v>110535.21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f>9715.32+28202.96+65121.59+22190.18</f>
        <v>125230.04999999999</v>
      </c>
      <c r="C29" s="44"/>
      <c r="D29" s="50">
        <v>0</v>
      </c>
      <c r="E29" s="54"/>
      <c r="F29" s="44">
        <f t="shared" si="0"/>
        <v>125230.04999999999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f>34.9+31108.1+1130.9+2112+2520+4650.68</f>
        <v>41556.58</v>
      </c>
      <c r="C30" s="44"/>
      <c r="D30" s="50">
        <v>0</v>
      </c>
      <c r="E30" s="55"/>
      <c r="F30" s="51">
        <f t="shared" si="0"/>
        <v>41556.58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277321.84000000003</v>
      </c>
      <c r="C33" s="43"/>
      <c r="D33" s="53">
        <f>SUM(D26:D32)</f>
        <v>0</v>
      </c>
      <c r="E33" s="46"/>
      <c r="F33" s="53">
        <f>SUM(F26:F32)</f>
        <v>277321.84000000003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82875.359999999928</v>
      </c>
      <c r="C37" s="43"/>
      <c r="D37" s="60">
        <f>+D10+D23-D33-D35</f>
        <v>3320.32</v>
      </c>
      <c r="E37" s="46"/>
      <c r="F37" s="60">
        <f>+F10+F23-F33-F35</f>
        <v>86195.68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77" priority="6">
      <formula>$F32&lt;&gt;0</formula>
    </cfRule>
  </conditionalFormatting>
  <conditionalFormatting sqref="A21">
    <cfRule type="expression" dxfId="76" priority="5">
      <formula>$F21&lt;&gt;0</formula>
    </cfRule>
  </conditionalFormatting>
  <conditionalFormatting sqref="A46">
    <cfRule type="expression" dxfId="75" priority="1">
      <formula>$F$21&lt;&gt;0</formula>
    </cfRule>
  </conditionalFormatting>
  <conditionalFormatting sqref="A45">
    <cfRule type="expression" dxfId="74" priority="4">
      <formula>$F$21&lt;&gt;0</formula>
    </cfRule>
  </conditionalFormatting>
  <conditionalFormatting sqref="A50">
    <cfRule type="expression" dxfId="73" priority="3">
      <formula>$F$32&lt;&gt;0</formula>
    </cfRule>
  </conditionalFormatting>
  <conditionalFormatting sqref="A51">
    <cfRule type="expression" dxfId="7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'[22]Contact Information'!C5</f>
        <v>NORTHWEST FLORIDA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'[22]Contact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VLOOKUP($A$1,[22]VLOOKUPS!A79:D106,2,FALSE)</f>
        <v>2799641.62</v>
      </c>
      <c r="C10" s="31"/>
      <c r="D10" s="31">
        <f>VLOOKUP($A$1,[22]VLOOKUPS!A79:D106,3,FALSE)</f>
        <v>0</v>
      </c>
      <c r="E10" s="31"/>
      <c r="F10" s="31">
        <f>B10+D10</f>
        <v>2799641.62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'[22]Accounts by GL'!O215</f>
        <v>1496437.85</v>
      </c>
      <c r="C14" s="40"/>
      <c r="D14" s="40">
        <v>0</v>
      </c>
      <c r="E14" s="40"/>
      <c r="F14" s="40">
        <f>B14+D14</f>
        <v>1496437.85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'[22]Accounts by GL'!O216</f>
        <v>58231.68</v>
      </c>
      <c r="C15" s="40"/>
      <c r="D15" s="40">
        <v>0</v>
      </c>
      <c r="E15" s="40"/>
      <c r="F15" s="40">
        <f>B15+D15</f>
        <v>58231.68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'[22]Accounts by GL'!O217</f>
        <v>157377.78</v>
      </c>
      <c r="C16" s="40"/>
      <c r="D16" s="41">
        <v>0</v>
      </c>
      <c r="E16" s="40"/>
      <c r="F16" s="41">
        <f>B16+D16</f>
        <v>157377.78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1712047.31</v>
      </c>
      <c r="C17" s="43"/>
      <c r="D17" s="44">
        <f>SUM(D14:D16)</f>
        <v>0</v>
      </c>
      <c r="E17" s="43"/>
      <c r="F17" s="44">
        <f>B17+D17</f>
        <v>1712047.31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1712047.31</v>
      </c>
      <c r="C23" s="43"/>
      <c r="D23" s="53">
        <f>D17+D19+D21</f>
        <v>0</v>
      </c>
      <c r="E23" s="46"/>
      <c r="F23" s="53">
        <f>F17+F19+F21</f>
        <v>1712047.31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f>69871.98+378588.29</f>
        <v>448460.26999999996</v>
      </c>
      <c r="C26" s="44"/>
      <c r="D26" s="50">
        <v>0</v>
      </c>
      <c r="E26" s="46"/>
      <c r="F26" s="51">
        <f t="shared" ref="F26:F32" si="0">B26+D26</f>
        <v>448460.26999999996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10615.38</v>
      </c>
      <c r="C29" s="44"/>
      <c r="D29" s="50">
        <v>0</v>
      </c>
      <c r="E29" s="54"/>
      <c r="F29" s="44">
        <f t="shared" si="0"/>
        <v>10615.38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f>8554.2+5750</f>
        <v>14304.2</v>
      </c>
      <c r="C30" s="44"/>
      <c r="D30" s="50">
        <v>0</v>
      </c>
      <c r="E30" s="55"/>
      <c r="F30" s="51">
        <f t="shared" si="0"/>
        <v>14304.2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f>759569.72+1748121.74</f>
        <v>2507691.46</v>
      </c>
      <c r="C31" s="44"/>
      <c r="D31" s="50">
        <v>0</v>
      </c>
      <c r="E31" s="55"/>
      <c r="F31" s="51">
        <f t="shared" si="0"/>
        <v>2507691.46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2981071.31</v>
      </c>
      <c r="C33" s="43"/>
      <c r="D33" s="53">
        <f>SUM(D26:D32)</f>
        <v>0</v>
      </c>
      <c r="E33" s="46"/>
      <c r="F33" s="53">
        <f>SUM(F26:F32)</f>
        <v>2981071.31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1530617.6199999996</v>
      </c>
      <c r="C37" s="43"/>
      <c r="D37" s="60">
        <f>+D10+D23-D33-D35</f>
        <v>0</v>
      </c>
      <c r="E37" s="46"/>
      <c r="F37" s="60">
        <f>+F10+F23-F33-F35</f>
        <v>1530617.6199999996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71" priority="6">
      <formula>$F32&lt;&gt;0</formula>
    </cfRule>
  </conditionalFormatting>
  <conditionalFormatting sqref="A21">
    <cfRule type="expression" dxfId="70" priority="5">
      <formula>$F21&lt;&gt;0</formula>
    </cfRule>
  </conditionalFormatting>
  <conditionalFormatting sqref="A46">
    <cfRule type="expression" dxfId="69" priority="1">
      <formula>$F$21&lt;&gt;0</formula>
    </cfRule>
  </conditionalFormatting>
  <conditionalFormatting sqref="A45">
    <cfRule type="expression" dxfId="68" priority="4">
      <formula>$F$21&lt;&gt;0</formula>
    </cfRule>
  </conditionalFormatting>
  <conditionalFormatting sqref="A50">
    <cfRule type="expression" dxfId="67" priority="3">
      <formula>$F$32&lt;&gt;0</formula>
    </cfRule>
  </conditionalFormatting>
  <conditionalFormatting sqref="A51">
    <cfRule type="expression" dxfId="6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'[23]Contact Information'!C5</f>
        <v>PALM BEACH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'[23]Contact Information'!C3</f>
        <v>2015.v03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VLOOKUP($A$1,[23]VLOOKUPS!A79:D106,2,FALSE)</f>
        <v>11457245.119999999</v>
      </c>
      <c r="C10" s="31"/>
      <c r="D10" s="31">
        <f>VLOOKUP($A$1,[23]VLOOKUPS!A79:D106,3,FALSE)</f>
        <v>1385678.99</v>
      </c>
      <c r="E10" s="31"/>
      <c r="F10" s="31">
        <f>B10+D10</f>
        <v>12842924.109999999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'[23]Accounts by GL'!O215</f>
        <v>4759030.2300000004</v>
      </c>
      <c r="C14" s="40"/>
      <c r="D14" s="40">
        <v>0</v>
      </c>
      <c r="E14" s="40"/>
      <c r="F14" s="40">
        <f>B14+D14</f>
        <v>4759030.2300000004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'[23]Accounts by GL'!O216</f>
        <v>99918.99</v>
      </c>
      <c r="C15" s="40"/>
      <c r="D15" s="40">
        <v>0</v>
      </c>
      <c r="E15" s="40"/>
      <c r="F15" s="40">
        <f>B15+D15</f>
        <v>99918.99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'[23]Accounts by GL'!O217</f>
        <v>202904.1</v>
      </c>
      <c r="C16" s="40"/>
      <c r="D16" s="41">
        <v>0</v>
      </c>
      <c r="E16" s="40"/>
      <c r="F16" s="41">
        <f>B16+D16</f>
        <v>202904.1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5061853.32</v>
      </c>
      <c r="C17" s="43"/>
      <c r="D17" s="44">
        <f>SUM(D14:D16)</f>
        <v>0</v>
      </c>
      <c r="E17" s="43"/>
      <c r="F17" s="44">
        <f>B17+D17</f>
        <v>5061853.32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118823.03999999999</v>
      </c>
      <c r="E19" s="47"/>
      <c r="F19" s="47">
        <f>B19+D19</f>
        <v>118823.03999999999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5061853.32</v>
      </c>
      <c r="C23" s="43"/>
      <c r="D23" s="53">
        <f>D17+D19+D21</f>
        <v>118823.03999999999</v>
      </c>
      <c r="E23" s="46"/>
      <c r="F23" s="53">
        <f>F17+F19+F21</f>
        <v>5180676.3600000003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444213.64</v>
      </c>
      <c r="C26" s="44"/>
      <c r="D26" s="50">
        <v>0</v>
      </c>
      <c r="E26" s="46"/>
      <c r="F26" s="51">
        <f t="shared" ref="F26:F32" si="0">B26+D26</f>
        <v>444213.64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1366725.26</v>
      </c>
      <c r="C32" s="44"/>
      <c r="D32" s="56">
        <v>0</v>
      </c>
      <c r="E32" s="55"/>
      <c r="F32" s="57">
        <f t="shared" si="0"/>
        <v>1366725.26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1810938.9</v>
      </c>
      <c r="C33" s="43"/>
      <c r="D33" s="53">
        <f>SUM(D26:D32)</f>
        <v>0</v>
      </c>
      <c r="E33" s="46"/>
      <c r="F33" s="53">
        <f>SUM(F26:F32)</f>
        <v>1810938.9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14708159.539999999</v>
      </c>
      <c r="C37" s="43"/>
      <c r="D37" s="60">
        <f>+D10+D23-D33-D35</f>
        <v>1504502.03</v>
      </c>
      <c r="E37" s="46"/>
      <c r="F37" s="60">
        <f>+F10+F23-F33-F35</f>
        <v>16212661.569999998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48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65" priority="6">
      <formula>$F32&lt;&gt;0</formula>
    </cfRule>
  </conditionalFormatting>
  <conditionalFormatting sqref="A21">
    <cfRule type="expression" dxfId="64" priority="5">
      <formula>$F21&lt;&gt;0</formula>
    </cfRule>
  </conditionalFormatting>
  <conditionalFormatting sqref="A46">
    <cfRule type="expression" dxfId="63" priority="1">
      <formula>$F$21&lt;&gt;0</formula>
    </cfRule>
  </conditionalFormatting>
  <conditionalFormatting sqref="A45">
    <cfRule type="expression" dxfId="62" priority="4">
      <formula>$F$21&lt;&gt;0</formula>
    </cfRule>
  </conditionalFormatting>
  <conditionalFormatting sqref="A50">
    <cfRule type="expression" dxfId="61" priority="3">
      <formula>$F$32&lt;&gt;0</formula>
    </cfRule>
  </conditionalFormatting>
  <conditionalFormatting sqref="A51">
    <cfRule type="expression" dxfId="60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'[4]Contact Information'!C5</f>
        <v>EASTERN FLORIDA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'[4]Contact Information'!C3</f>
        <v>2015.v03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VLOOKUP($A$1,[4]VLOOKUPS!A79:D106,2,FALSE)</f>
        <v>1144522.6100000001</v>
      </c>
      <c r="C10" s="31"/>
      <c r="D10" s="31">
        <f>VLOOKUP($A$1,[4]VLOOKUPS!A79:D106,3,FALSE)</f>
        <v>0</v>
      </c>
      <c r="E10" s="31"/>
      <c r="F10" s="31">
        <f>B10+D10</f>
        <v>1144522.6100000001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'[4]Accounts by GL'!O215</f>
        <v>2698415.09</v>
      </c>
      <c r="C14" s="40"/>
      <c r="D14" s="40">
        <v>0</v>
      </c>
      <c r="E14" s="40"/>
      <c r="F14" s="40">
        <f>B14+D14</f>
        <v>2698415.09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'[4]Accounts by GL'!O216</f>
        <v>41629.49</v>
      </c>
      <c r="C15" s="40"/>
      <c r="D15" s="40">
        <v>0</v>
      </c>
      <c r="E15" s="40"/>
      <c r="F15" s="40">
        <f>B15+D15</f>
        <v>41629.49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'[4]Accounts by GL'!O217</f>
        <v>169496.79</v>
      </c>
      <c r="C16" s="40"/>
      <c r="D16" s="41">
        <v>0</v>
      </c>
      <c r="E16" s="40"/>
      <c r="F16" s="41">
        <f>B16+D16</f>
        <v>169496.79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2909541.37</v>
      </c>
      <c r="C17" s="43"/>
      <c r="D17" s="44">
        <f>SUM(D14:D16)</f>
        <v>0</v>
      </c>
      <c r="E17" s="43"/>
      <c r="F17" s="44">
        <f>B17+D17</f>
        <v>2909541.37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2909541.37</v>
      </c>
      <c r="C23" s="43"/>
      <c r="D23" s="53">
        <f>D17+D19+D21</f>
        <v>0</v>
      </c>
      <c r="E23" s="46"/>
      <c r="F23" s="53">
        <f>F17+F19+F21</f>
        <v>2909541.37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1770535.72</v>
      </c>
      <c r="C26" s="44"/>
      <c r="D26" s="50">
        <v>0</v>
      </c>
      <c r="E26" s="46"/>
      <c r="F26" s="51">
        <f t="shared" ref="F26:F32" si="0">B26+D26</f>
        <v>1770535.72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215567.22</v>
      </c>
      <c r="C27" s="44"/>
      <c r="D27" s="50">
        <v>0</v>
      </c>
      <c r="E27" s="54"/>
      <c r="F27" s="44">
        <f t="shared" si="0"/>
        <v>215567.22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418440.29</v>
      </c>
      <c r="C28" s="44"/>
      <c r="D28" s="50">
        <v>0</v>
      </c>
      <c r="E28" s="54"/>
      <c r="F28" s="44">
        <f t="shared" si="0"/>
        <v>418440.29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38091.980000000003</v>
      </c>
      <c r="C29" s="44"/>
      <c r="D29" s="50">
        <v>0</v>
      </c>
      <c r="E29" s="54"/>
      <c r="F29" s="44">
        <f t="shared" si="0"/>
        <v>38091.980000000003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342985.83</v>
      </c>
      <c r="C30" s="44"/>
      <c r="D30" s="50">
        <v>0</v>
      </c>
      <c r="E30" s="55"/>
      <c r="F30" s="51">
        <f t="shared" si="0"/>
        <v>342985.83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30899.25</v>
      </c>
      <c r="C31" s="44"/>
      <c r="D31" s="50">
        <v>0</v>
      </c>
      <c r="E31" s="55"/>
      <c r="F31" s="51">
        <f t="shared" si="0"/>
        <v>30899.25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2816520.29</v>
      </c>
      <c r="C33" s="43"/>
      <c r="D33" s="53">
        <f>SUM(D26:D32)</f>
        <v>0</v>
      </c>
      <c r="E33" s="46"/>
      <c r="F33" s="53">
        <f>SUM(F26:F32)</f>
        <v>2816520.29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1237543.6900000004</v>
      </c>
      <c r="C37" s="43"/>
      <c r="D37" s="60">
        <f>+D10+D23-D33-D35</f>
        <v>0</v>
      </c>
      <c r="E37" s="46"/>
      <c r="F37" s="60">
        <f>+F10+F23-F33-F35</f>
        <v>1237543.6900000004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67" priority="6">
      <formula>$F32&lt;&gt;0</formula>
    </cfRule>
  </conditionalFormatting>
  <conditionalFormatting sqref="A21">
    <cfRule type="expression" dxfId="166" priority="5">
      <formula>$F21&lt;&gt;0</formula>
    </cfRule>
  </conditionalFormatting>
  <conditionalFormatting sqref="A46">
    <cfRule type="expression" dxfId="165" priority="1">
      <formula>$F$21&lt;&gt;0</formula>
    </cfRule>
  </conditionalFormatting>
  <conditionalFormatting sqref="A45">
    <cfRule type="expression" dxfId="164" priority="4">
      <formula>$F$21&lt;&gt;0</formula>
    </cfRule>
  </conditionalFormatting>
  <conditionalFormatting sqref="A50">
    <cfRule type="expression" dxfId="163" priority="3">
      <formula>$F$32&lt;&gt;0</formula>
    </cfRule>
  </conditionalFormatting>
  <conditionalFormatting sqref="A51">
    <cfRule type="expression" dxfId="16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'[24]Contact Information'!C5</f>
        <v>PASCO-HERNANDO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'[24]Contact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VLOOKUP($A$1,[24]VLOOKUPS!A79:D106,2,FALSE)</f>
        <v>3484807.97</v>
      </c>
      <c r="C10" s="31"/>
      <c r="D10" s="31">
        <f>VLOOKUP($A$1,[24]VLOOKUPS!A79:D106,3,FALSE)</f>
        <v>306080.71000000002</v>
      </c>
      <c r="E10" s="31"/>
      <c r="F10" s="31">
        <f>B10+D10</f>
        <v>3790888.68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'[24]Accounts by GL'!O215</f>
        <v>2736037.63</v>
      </c>
      <c r="C14" s="40"/>
      <c r="D14" s="40">
        <v>0</v>
      </c>
      <c r="E14" s="40"/>
      <c r="F14" s="40">
        <f>B14+D14</f>
        <v>2736037.63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'[24]Accounts by GL'!O216</f>
        <v>43215.66</v>
      </c>
      <c r="C15" s="40"/>
      <c r="D15" s="40">
        <v>0</v>
      </c>
      <c r="E15" s="40"/>
      <c r="F15" s="40">
        <f>B15+D15</f>
        <v>43215.66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'[24]Accounts by GL'!O217</f>
        <v>46404.03</v>
      </c>
      <c r="C16" s="40"/>
      <c r="D16" s="41">
        <v>0</v>
      </c>
      <c r="E16" s="40"/>
      <c r="F16" s="41">
        <f>B16+D16</f>
        <v>46404.03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2825657.32</v>
      </c>
      <c r="C17" s="43"/>
      <c r="D17" s="44">
        <f>SUM(D14:D16)</f>
        <v>0</v>
      </c>
      <c r="E17" s="43"/>
      <c r="F17" s="44">
        <f>B17+D17</f>
        <v>2825657.32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110313.5</v>
      </c>
      <c r="E19" s="47"/>
      <c r="F19" s="47">
        <f>B19+D19</f>
        <v>110313.5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2825657.32</v>
      </c>
      <c r="C23" s="43"/>
      <c r="D23" s="53">
        <f>D17+D19+D21</f>
        <v>110313.5</v>
      </c>
      <c r="E23" s="46"/>
      <c r="F23" s="53">
        <f>F17+F19+F21</f>
        <v>2935970.82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269694.09999999998</v>
      </c>
      <c r="C26" s="44"/>
      <c r="D26" s="50">
        <v>0</v>
      </c>
      <c r="E26" s="46"/>
      <c r="F26" s="51">
        <f t="shared" ref="F26:F32" si="0">B26+D26</f>
        <v>269694.09999999998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63800.24</v>
      </c>
      <c r="C27" s="44"/>
      <c r="D27" s="50">
        <v>0</v>
      </c>
      <c r="E27" s="54"/>
      <c r="F27" s="44">
        <f t="shared" si="0"/>
        <v>63800.24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4424937.5</v>
      </c>
      <c r="C28" s="44"/>
      <c r="D28" s="50">
        <v>0</v>
      </c>
      <c r="E28" s="54"/>
      <c r="F28" s="44">
        <f t="shared" si="0"/>
        <v>4424937.5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193104.78</v>
      </c>
      <c r="C29" s="44"/>
      <c r="D29" s="50">
        <v>0</v>
      </c>
      <c r="E29" s="54"/>
      <c r="F29" s="44">
        <f t="shared" si="0"/>
        <v>193104.78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69185.820000000007</v>
      </c>
      <c r="C30" s="44"/>
      <c r="D30" s="50">
        <v>0</v>
      </c>
      <c r="E30" s="55"/>
      <c r="F30" s="51">
        <f t="shared" si="0"/>
        <v>69185.820000000007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122344.61</v>
      </c>
      <c r="C32" s="44"/>
      <c r="D32" s="56">
        <v>0</v>
      </c>
      <c r="E32" s="55"/>
      <c r="F32" s="57">
        <f t="shared" si="0"/>
        <v>122344.61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5143067.0500000007</v>
      </c>
      <c r="C33" s="43"/>
      <c r="D33" s="53">
        <f>SUM(D26:D32)</f>
        <v>0</v>
      </c>
      <c r="E33" s="46"/>
      <c r="F33" s="53">
        <f>SUM(F26:F32)</f>
        <v>5143067.0500000007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1167398.2399999993</v>
      </c>
      <c r="C37" s="43"/>
      <c r="D37" s="60">
        <f>+D10+D23-D33-D35</f>
        <v>416394.21</v>
      </c>
      <c r="E37" s="46"/>
      <c r="F37" s="60">
        <f>+F10+F23-F33-F35</f>
        <v>1583792.4499999993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49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59" priority="6">
      <formula>$F32&lt;&gt;0</formula>
    </cfRule>
  </conditionalFormatting>
  <conditionalFormatting sqref="A21">
    <cfRule type="expression" dxfId="58" priority="5">
      <formula>$F21&lt;&gt;0</formula>
    </cfRule>
  </conditionalFormatting>
  <conditionalFormatting sqref="A46">
    <cfRule type="expression" dxfId="57" priority="1">
      <formula>$F$21&lt;&gt;0</formula>
    </cfRule>
  </conditionalFormatting>
  <conditionalFormatting sqref="A45">
    <cfRule type="expression" dxfId="56" priority="4">
      <formula>$F$21&lt;&gt;0</formula>
    </cfRule>
  </conditionalFormatting>
  <conditionalFormatting sqref="A50">
    <cfRule type="expression" dxfId="55" priority="3">
      <formula>$F$32&lt;&gt;0</formula>
    </cfRule>
  </conditionalFormatting>
  <conditionalFormatting sqref="A51">
    <cfRule type="expression" dxfId="54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'[25]Contact Information'!C5</f>
        <v>PENSACOLA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'[25]Contact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VLOOKUP($A$1,[25]VLOOKUPS!A79:D106,2,FALSE)</f>
        <v>5484670.9000000004</v>
      </c>
      <c r="C10" s="31"/>
      <c r="D10" s="31">
        <f>VLOOKUP($A$1,[25]VLOOKUPS!A79:D106,3,FALSE)</f>
        <v>245701.39</v>
      </c>
      <c r="E10" s="31"/>
      <c r="F10" s="31">
        <f>B10+D10</f>
        <v>5730372.29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'[25]Accounts by GL'!O215</f>
        <v>1813970.5799999998</v>
      </c>
      <c r="C14" s="40"/>
      <c r="D14" s="40">
        <v>0</v>
      </c>
      <c r="E14" s="40"/>
      <c r="F14" s="40">
        <f>B14+D14</f>
        <v>1813970.5799999998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'[25]Accounts by GL'!O216</f>
        <v>40531.380000000005</v>
      </c>
      <c r="C15" s="40"/>
      <c r="D15" s="40">
        <v>0</v>
      </c>
      <c r="E15" s="40"/>
      <c r="F15" s="40">
        <f>B15+D15</f>
        <v>40531.380000000005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'[25]Accounts by GL'!O217</f>
        <v>77950.92</v>
      </c>
      <c r="C16" s="40"/>
      <c r="D16" s="41">
        <v>0</v>
      </c>
      <c r="E16" s="40"/>
      <c r="F16" s="41">
        <f>B16+D16</f>
        <v>77950.92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1932452.88</v>
      </c>
      <c r="C17" s="43"/>
      <c r="D17" s="44">
        <f>SUM(D14:D16)</f>
        <v>0</v>
      </c>
      <c r="E17" s="43"/>
      <c r="F17" s="44">
        <f>B17+D17</f>
        <v>1932452.88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f>11664.16+268.15</f>
        <v>11932.31</v>
      </c>
      <c r="E19" s="47"/>
      <c r="F19" s="47">
        <f>B19+D19</f>
        <v>11932.31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1932452.88</v>
      </c>
      <c r="C23" s="43"/>
      <c r="D23" s="53">
        <f>D17+D19+D21</f>
        <v>11932.31</v>
      </c>
      <c r="E23" s="46"/>
      <c r="F23" s="53">
        <f>F17+F19+F21</f>
        <v>1944385.19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4706</v>
      </c>
      <c r="C27" s="44"/>
      <c r="D27" s="50">
        <v>0</v>
      </c>
      <c r="E27" s="54"/>
      <c r="F27" s="44">
        <f t="shared" si="0"/>
        <v>4706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f>230098.69+3610</f>
        <v>233708.69</v>
      </c>
      <c r="C28" s="44"/>
      <c r="D28" s="50">
        <v>0</v>
      </c>
      <c r="E28" s="54"/>
      <c r="F28" s="44">
        <f t="shared" si="0"/>
        <v>233708.69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3434</v>
      </c>
      <c r="C29" s="44"/>
      <c r="D29" s="50">
        <v>0</v>
      </c>
      <c r="E29" s="54"/>
      <c r="F29" s="44">
        <f t="shared" si="0"/>
        <v>3434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241848.69</v>
      </c>
      <c r="C33" s="43"/>
      <c r="D33" s="53">
        <f>SUM(D26:D32)</f>
        <v>0</v>
      </c>
      <c r="E33" s="46"/>
      <c r="F33" s="53">
        <f>SUM(F26:F32)</f>
        <v>241848.69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7175275.0899999999</v>
      </c>
      <c r="C37" s="43"/>
      <c r="D37" s="60">
        <f>+D10+D23-D33-D35</f>
        <v>257633.7</v>
      </c>
      <c r="E37" s="46"/>
      <c r="F37" s="60">
        <f>+F10+F23-F33-F35</f>
        <v>7432908.79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">
    <cfRule type="expression" dxfId="51" priority="1">
      <formula>$F$21&lt;&gt;0</formula>
    </cfRule>
  </conditionalFormatting>
  <conditionalFormatting sqref="A45">
    <cfRule type="expression" dxfId="50" priority="4">
      <formula>$F$21&lt;&gt;0</formula>
    </cfRule>
  </conditionalFormatting>
  <conditionalFormatting sqref="A50">
    <cfRule type="expression" dxfId="49" priority="3">
      <formula>$F$32&lt;&gt;0</formula>
    </cfRule>
  </conditionalFormatting>
  <conditionalFormatting sqref="A51">
    <cfRule type="expression" dxfId="48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'[26]Contact Information'!C5</f>
        <v>POLK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'[26]Contact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VLOOKUP($A$1,[26]VLOOKUPS!A79:D106,2,FALSE)</f>
        <v>1991052.85</v>
      </c>
      <c r="C10" s="31"/>
      <c r="D10" s="31">
        <f>VLOOKUP($A$1,[26]VLOOKUPS!A79:D106,3,FALSE)</f>
        <v>0</v>
      </c>
      <c r="E10" s="31"/>
      <c r="F10" s="31">
        <f>B10+D10</f>
        <v>1991052.85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'[26]Accounts by GL'!O215</f>
        <v>1991408.68</v>
      </c>
      <c r="C14" s="40"/>
      <c r="D14" s="40">
        <v>0</v>
      </c>
      <c r="E14" s="40"/>
      <c r="F14" s="40">
        <f>B14+D14</f>
        <v>1991408.68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'[26]Accounts by GL'!O216</f>
        <v>11264.2</v>
      </c>
      <c r="C15" s="40"/>
      <c r="D15" s="40">
        <v>0</v>
      </c>
      <c r="E15" s="40"/>
      <c r="F15" s="40">
        <f>B15+D15</f>
        <v>11264.2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'[26]Accounts by GL'!O217</f>
        <v>268287.21999999997</v>
      </c>
      <c r="C16" s="40"/>
      <c r="D16" s="41">
        <v>0</v>
      </c>
      <c r="E16" s="40"/>
      <c r="F16" s="41">
        <f>B16+D16</f>
        <v>268287.21999999997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2270960.0999999996</v>
      </c>
      <c r="C17" s="43"/>
      <c r="D17" s="44">
        <f>SUM(D14:D16)</f>
        <v>0</v>
      </c>
      <c r="E17" s="43"/>
      <c r="F17" s="44">
        <f>B17+D17</f>
        <v>2270960.0999999996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2270960.0999999996</v>
      </c>
      <c r="C23" s="43"/>
      <c r="D23" s="53">
        <f>D17+D19+D21</f>
        <v>0</v>
      </c>
      <c r="E23" s="46"/>
      <c r="F23" s="53">
        <f>F17+F19+F21</f>
        <v>2270960.0999999996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716913.93</v>
      </c>
      <c r="C29" s="44"/>
      <c r="D29" s="50">
        <v>0</v>
      </c>
      <c r="E29" s="54"/>
      <c r="F29" s="44">
        <f t="shared" si="0"/>
        <v>716913.93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301991.98</v>
      </c>
      <c r="C30" s="44"/>
      <c r="D30" s="50">
        <v>0</v>
      </c>
      <c r="E30" s="55"/>
      <c r="F30" s="51">
        <f t="shared" si="0"/>
        <v>301991.98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452323.59</v>
      </c>
      <c r="C32" s="44"/>
      <c r="D32" s="56">
        <v>0</v>
      </c>
      <c r="E32" s="55"/>
      <c r="F32" s="57">
        <f t="shared" si="0"/>
        <v>452323.59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1471229.5</v>
      </c>
      <c r="C33" s="43"/>
      <c r="D33" s="53">
        <f>SUM(D26:D32)</f>
        <v>0</v>
      </c>
      <c r="E33" s="46"/>
      <c r="F33" s="53">
        <f>SUM(F26:F32)</f>
        <v>1471229.5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2790783.4499999993</v>
      </c>
      <c r="C37" s="43"/>
      <c r="D37" s="60">
        <f>+D10+D23-D33-D35</f>
        <v>0</v>
      </c>
      <c r="E37" s="46"/>
      <c r="F37" s="60">
        <f>+F10+F23-F33-F35</f>
        <v>2790783.4499999993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50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">
    <cfRule type="expression" dxfId="45" priority="1">
      <formula>$F$21&lt;&gt;0</formula>
    </cfRule>
  </conditionalFormatting>
  <conditionalFormatting sqref="A45">
    <cfRule type="expression" dxfId="44" priority="4">
      <formula>$F$21&lt;&gt;0</formula>
    </cfRule>
  </conditionalFormatting>
  <conditionalFormatting sqref="A50">
    <cfRule type="expression" dxfId="43" priority="3">
      <formula>$F$32&lt;&gt;0</formula>
    </cfRule>
  </conditionalFormatting>
  <conditionalFormatting sqref="A51">
    <cfRule type="expression" dxfId="4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'[27]Contact Information'!C5</f>
        <v>ST. JOHNS RIVER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'[27]Contact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VLOOKUP($A$1,[27]VLOOKUPS!A79:D106,2,FALSE)</f>
        <v>2778140.43</v>
      </c>
      <c r="C10" s="31"/>
      <c r="D10" s="31">
        <f>VLOOKUP($A$1,[27]VLOOKUPS!A79:D106,3,FALSE)</f>
        <v>0</v>
      </c>
      <c r="E10" s="31"/>
      <c r="F10" s="31">
        <f>B10+D10</f>
        <v>2778140.43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'[27]Accounts by GL'!O215</f>
        <v>1400216.8</v>
      </c>
      <c r="C14" s="40"/>
      <c r="D14" s="40">
        <v>0</v>
      </c>
      <c r="E14" s="40"/>
      <c r="F14" s="40">
        <f>B14+D14</f>
        <v>1400216.8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'[27]Accounts by GL'!O216</f>
        <v>8299.1</v>
      </c>
      <c r="C15" s="40"/>
      <c r="D15" s="40">
        <v>0</v>
      </c>
      <c r="E15" s="40"/>
      <c r="F15" s="40">
        <f>B15+D15</f>
        <v>8299.1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'[27]Accounts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1408515.9000000001</v>
      </c>
      <c r="C17" s="43"/>
      <c r="D17" s="44">
        <f>SUM(D14:D16)</f>
        <v>0</v>
      </c>
      <c r="E17" s="43"/>
      <c r="F17" s="44">
        <f>B17+D17</f>
        <v>1408515.9000000001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1408515.9000000001</v>
      </c>
      <c r="C23" s="43"/>
      <c r="D23" s="53">
        <f>D17+D19+D21</f>
        <v>0</v>
      </c>
      <c r="E23" s="46"/>
      <c r="F23" s="53">
        <f>F17+F19+F21</f>
        <v>1408515.9000000001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853592.71</v>
      </c>
      <c r="C29" s="44"/>
      <c r="D29" s="50">
        <v>0</v>
      </c>
      <c r="E29" s="54"/>
      <c r="F29" s="44">
        <f t="shared" si="0"/>
        <v>853592.71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145040.38</v>
      </c>
      <c r="C32" s="44"/>
      <c r="D32" s="56">
        <v>0</v>
      </c>
      <c r="E32" s="55"/>
      <c r="F32" s="57">
        <f t="shared" si="0"/>
        <v>145040.38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998633.09</v>
      </c>
      <c r="C33" s="43"/>
      <c r="D33" s="53">
        <f>SUM(D26:D32)</f>
        <v>0</v>
      </c>
      <c r="E33" s="46"/>
      <c r="F33" s="53">
        <f>SUM(F26:F32)</f>
        <v>998633.09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3188023.24</v>
      </c>
      <c r="C37" s="43"/>
      <c r="D37" s="60">
        <f>+D10+D23-D33-D35</f>
        <v>0</v>
      </c>
      <c r="E37" s="46"/>
      <c r="F37" s="60">
        <f>+F10+F23-F33-F35</f>
        <v>3188023.24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51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">
    <cfRule type="expression" dxfId="39" priority="1">
      <formula>$F$21&lt;&gt;0</formula>
    </cfRule>
  </conditionalFormatting>
  <conditionalFormatting sqref="A45">
    <cfRule type="expression" dxfId="38" priority="4">
      <formula>$F$21&lt;&gt;0</formula>
    </cfRule>
  </conditionalFormatting>
  <conditionalFormatting sqref="A50">
    <cfRule type="expression" dxfId="37" priority="3">
      <formula>$F$32&lt;&gt;0</formula>
    </cfRule>
  </conditionalFormatting>
  <conditionalFormatting sqref="A51">
    <cfRule type="expression" dxfId="3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'[28]Contact Information'!C5</f>
        <v>ST. PETERSBURG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'[28]Contact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VLOOKUP($A$1,[28]VLOOKUPS!A79:D106,2,FALSE)</f>
        <v>2724138.86</v>
      </c>
      <c r="C10" s="31"/>
      <c r="D10" s="31">
        <f>VLOOKUP($A$1,[28]VLOOKUPS!A79:D106,3,FALSE)</f>
        <v>-26944.79</v>
      </c>
      <c r="E10" s="31"/>
      <c r="F10" s="31">
        <f>B10+D10</f>
        <v>2697194.07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'[28]Accounts by GL'!O215</f>
        <v>6776857.6100000003</v>
      </c>
      <c r="C14" s="40"/>
      <c r="D14" s="40">
        <v>0</v>
      </c>
      <c r="E14" s="40"/>
      <c r="F14" s="40">
        <f>B14+D14</f>
        <v>6776857.6100000003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'[28]Accounts by GL'!O216</f>
        <v>22220.61</v>
      </c>
      <c r="C15" s="40"/>
      <c r="D15" s="40">
        <v>0</v>
      </c>
      <c r="E15" s="40"/>
      <c r="F15" s="40">
        <f>B15+D15</f>
        <v>22220.61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'[28]Accounts by GL'!O217</f>
        <v>857493.74</v>
      </c>
      <c r="C16" s="40"/>
      <c r="D16" s="41">
        <v>0</v>
      </c>
      <c r="E16" s="40"/>
      <c r="F16" s="41">
        <f>B16+D16</f>
        <v>857493.74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7656571.9600000009</v>
      </c>
      <c r="C17" s="43"/>
      <c r="D17" s="44">
        <f>SUM(D14:D16)</f>
        <v>0</v>
      </c>
      <c r="E17" s="43"/>
      <c r="F17" s="44">
        <f>B17+D17</f>
        <v>7656571.9600000009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95872.34</v>
      </c>
      <c r="E19" s="47"/>
      <c r="F19" s="47">
        <f>B19+D19</f>
        <v>95872.34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-216541.74</v>
      </c>
      <c r="E21" s="46"/>
      <c r="F21" s="51">
        <f>D21</f>
        <v>-216541.74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7656571.9600000009</v>
      </c>
      <c r="C23" s="43"/>
      <c r="D23" s="53">
        <f>D17+D19+D21</f>
        <v>-120669.4</v>
      </c>
      <c r="E23" s="46"/>
      <c r="F23" s="53">
        <f>F17+F19+F21</f>
        <v>7535902.5600000005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6093.97</v>
      </c>
      <c r="C26" s="44"/>
      <c r="D26" s="50">
        <v>0</v>
      </c>
      <c r="E26" s="46"/>
      <c r="F26" s="51">
        <f t="shared" ref="F26:F32" si="0">B26+D26</f>
        <v>6093.97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653990.81000000006</v>
      </c>
      <c r="C27" s="44"/>
      <c r="D27" s="50">
        <v>0</v>
      </c>
      <c r="E27" s="54"/>
      <c r="F27" s="44">
        <f t="shared" si="0"/>
        <v>653990.81000000006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1325566.93</v>
      </c>
      <c r="C28" s="44"/>
      <c r="D28" s="50">
        <v>0</v>
      </c>
      <c r="E28" s="54"/>
      <c r="F28" s="44">
        <f t="shared" si="0"/>
        <v>1325566.93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1392220.02</v>
      </c>
      <c r="C29" s="44"/>
      <c r="D29" s="50">
        <v>0</v>
      </c>
      <c r="E29" s="54"/>
      <c r="F29" s="44">
        <f t="shared" si="0"/>
        <v>1392220.02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321167.59999999998</v>
      </c>
      <c r="C30" s="44"/>
      <c r="D30" s="50">
        <v>0</v>
      </c>
      <c r="E30" s="55"/>
      <c r="F30" s="51">
        <f t="shared" si="0"/>
        <v>321167.59999999998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1658508.06</v>
      </c>
      <c r="C31" s="44"/>
      <c r="D31" s="50">
        <v>0</v>
      </c>
      <c r="E31" s="55"/>
      <c r="F31" s="51">
        <f t="shared" si="0"/>
        <v>1658508.06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5357547.3900000006</v>
      </c>
      <c r="C33" s="43"/>
      <c r="D33" s="53">
        <f>SUM(D26:D32)</f>
        <v>0</v>
      </c>
      <c r="E33" s="46"/>
      <c r="F33" s="53">
        <f>SUM(F26:F32)</f>
        <v>5357547.3900000006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2270913</v>
      </c>
      <c r="C35" s="40"/>
      <c r="D35" s="59">
        <v>0</v>
      </c>
      <c r="E35" s="33"/>
      <c r="F35" s="40">
        <f>+B35+D35</f>
        <v>2270913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2752250.4299999997</v>
      </c>
      <c r="C37" s="43"/>
      <c r="D37" s="60">
        <f>+D10+D23-D33-D35</f>
        <v>-147614.19</v>
      </c>
      <c r="E37" s="46"/>
      <c r="F37" s="60">
        <f>+F10+F23-F33-F35</f>
        <v>2604636.2400000002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52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">
    <cfRule type="expression" dxfId="33" priority="1">
      <formula>$F$21&lt;&gt;0</formula>
    </cfRule>
  </conditionalFormatting>
  <conditionalFormatting sqref="A45">
    <cfRule type="expression" dxfId="32" priority="4">
      <formula>$F$21&lt;&gt;0</formula>
    </cfRule>
  </conditionalFormatting>
  <conditionalFormatting sqref="A50">
    <cfRule type="expression" dxfId="31" priority="3">
      <formula>$F$32&lt;&gt;0</formula>
    </cfRule>
  </conditionalFormatting>
  <conditionalFormatting sqref="A51">
    <cfRule type="expression" dxfId="30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'[29]Contact Information'!C5</f>
        <v>SANTA FE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'[29]Contact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VLOOKUP($A$1,[29]VLOOKUPS!A79:D106,2,FALSE)</f>
        <v>7084519.7000000002</v>
      </c>
      <c r="C10" s="31"/>
      <c r="D10" s="31">
        <f>VLOOKUP($A$1,[29]VLOOKUPS!A79:D106,3,FALSE)</f>
        <v>997310.4</v>
      </c>
      <c r="E10" s="31"/>
      <c r="F10" s="31">
        <f>B10+D10</f>
        <v>8081830.1000000006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'[29]Accounts by GL'!O215</f>
        <v>2922618.35</v>
      </c>
      <c r="C14" s="40"/>
      <c r="D14" s="40">
        <v>0</v>
      </c>
      <c r="E14" s="40"/>
      <c r="F14" s="40">
        <f>B14+D14</f>
        <v>2922618.35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'[29]Accounts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'[29]Accounts by GL'!O217</f>
        <v>144460.60999999999</v>
      </c>
      <c r="C16" s="40"/>
      <c r="D16" s="41">
        <v>0</v>
      </c>
      <c r="E16" s="40"/>
      <c r="F16" s="41">
        <f>B16+D16</f>
        <v>144460.60999999999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3067078.96</v>
      </c>
      <c r="C17" s="43"/>
      <c r="D17" s="44">
        <f>SUM(D14:D16)</f>
        <v>0</v>
      </c>
      <c r="E17" s="43"/>
      <c r="F17" s="44">
        <f>B17+D17</f>
        <v>3067078.96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3067078.96</v>
      </c>
      <c r="C23" s="43"/>
      <c r="D23" s="53">
        <f>D17+D19+D21</f>
        <v>0</v>
      </c>
      <c r="E23" s="46"/>
      <c r="F23" s="53">
        <f>F17+F19+F21</f>
        <v>3067078.96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811.82</v>
      </c>
      <c r="C26" s="44"/>
      <c r="D26" s="50">
        <v>0</v>
      </c>
      <c r="E26" s="46"/>
      <c r="F26" s="51">
        <f t="shared" ref="F26:F32" si="0">B26+D26</f>
        <v>811.82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932768.45</v>
      </c>
      <c r="C27" s="44"/>
      <c r="D27" s="50">
        <v>0</v>
      </c>
      <c r="E27" s="54"/>
      <c r="F27" s="44">
        <f t="shared" si="0"/>
        <v>932768.45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1760442.24</v>
      </c>
      <c r="C28" s="44"/>
      <c r="D28" s="50">
        <v>0</v>
      </c>
      <c r="E28" s="54"/>
      <c r="F28" s="44">
        <f t="shared" si="0"/>
        <v>1760442.24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214768.71</v>
      </c>
      <c r="C29" s="44"/>
      <c r="D29" s="50">
        <v>0</v>
      </c>
      <c r="E29" s="54"/>
      <c r="F29" s="44">
        <f t="shared" si="0"/>
        <v>214768.71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1092.5</v>
      </c>
      <c r="E32" s="55"/>
      <c r="F32" s="57">
        <f t="shared" si="0"/>
        <v>1092.5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2908791.2199999997</v>
      </c>
      <c r="C33" s="43"/>
      <c r="D33" s="53">
        <f>SUM(D26:D32)</f>
        <v>1092.5</v>
      </c>
      <c r="E33" s="46"/>
      <c r="F33" s="53">
        <f>SUM(F26:F32)</f>
        <v>2909883.7199999997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1132225</v>
      </c>
      <c r="C35" s="40"/>
      <c r="D35" s="59">
        <v>0</v>
      </c>
      <c r="E35" s="33"/>
      <c r="F35" s="40">
        <f>+B35+D35</f>
        <v>1132225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6110582.4400000004</v>
      </c>
      <c r="C37" s="43"/>
      <c r="D37" s="60">
        <f>+D10+D23-D33-D35</f>
        <v>996217.9</v>
      </c>
      <c r="E37" s="46"/>
      <c r="F37" s="60">
        <f>+F10+F23-F33-F35</f>
        <v>7106800.3400000008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53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">
    <cfRule type="expression" dxfId="27" priority="1">
      <formula>$F$21&lt;&gt;0</formula>
    </cfRule>
  </conditionalFormatting>
  <conditionalFormatting sqref="A45">
    <cfRule type="expression" dxfId="26" priority="4">
      <formula>$F$21&lt;&gt;0</formula>
    </cfRule>
  </conditionalFormatting>
  <conditionalFormatting sqref="A50">
    <cfRule type="expression" dxfId="25" priority="3">
      <formula>$F$32&lt;&gt;0</formula>
    </cfRule>
  </conditionalFormatting>
  <conditionalFormatting sqref="A51">
    <cfRule type="expression" dxfId="24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'[30]Contact Information'!C5</f>
        <v>SEMINOLE STATE COLLEGE OF FLORIDA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'[30]Contact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VLOOKUP($A$1,[30]VLOOKUPS!A79:D106,2,FALSE)</f>
        <v>4443927.75</v>
      </c>
      <c r="C10" s="31"/>
      <c r="D10" s="31">
        <f>VLOOKUP($A$1,[30]VLOOKUPS!A79:D106,3,FALSE)</f>
        <v>406094.3</v>
      </c>
      <c r="E10" s="31"/>
      <c r="F10" s="31">
        <f>B10+D10</f>
        <v>4850022.05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'[30]Accounts by GL'!O215</f>
        <v>2753614.42</v>
      </c>
      <c r="C14" s="40"/>
      <c r="D14" s="40">
        <v>0</v>
      </c>
      <c r="E14" s="40"/>
      <c r="F14" s="40">
        <f>B14+D14</f>
        <v>2753614.42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'[30]Accounts by GL'!O216</f>
        <v>25589.809999999998</v>
      </c>
      <c r="C15" s="40"/>
      <c r="D15" s="40">
        <v>0</v>
      </c>
      <c r="E15" s="40"/>
      <c r="F15" s="40">
        <f>B15+D15</f>
        <v>25589.809999999998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'[30]Accounts by GL'!O217</f>
        <v>158311.16</v>
      </c>
      <c r="C16" s="40"/>
      <c r="D16" s="41">
        <v>0</v>
      </c>
      <c r="E16" s="40"/>
      <c r="F16" s="41">
        <f>B16+D16</f>
        <v>158311.16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2937515.39</v>
      </c>
      <c r="C17" s="43"/>
      <c r="D17" s="44">
        <f>SUM(D14:D16)</f>
        <v>0</v>
      </c>
      <c r="E17" s="43"/>
      <c r="F17" s="44">
        <f>B17+D17</f>
        <v>2937515.39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32685.05</v>
      </c>
      <c r="E19" s="47"/>
      <c r="F19" s="47">
        <f>B19+D19</f>
        <v>32685.05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5683108.4400000004</v>
      </c>
      <c r="E21" s="46"/>
      <c r="F21" s="51">
        <f>D21</f>
        <v>5683108.4400000004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2937515.39</v>
      </c>
      <c r="C23" s="43"/>
      <c r="D23" s="53">
        <f>D17+D19+D21</f>
        <v>5715793.4900000002</v>
      </c>
      <c r="E23" s="46"/>
      <c r="F23" s="53">
        <f>F17+F19+F21</f>
        <v>8653308.8800000008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31955.27</v>
      </c>
      <c r="E26" s="46"/>
      <c r="F26" s="51">
        <f t="shared" ref="F26:F32" si="0">B26+D26</f>
        <v>31955.27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42805.1</v>
      </c>
      <c r="E27" s="54"/>
      <c r="F27" s="44">
        <f t="shared" si="0"/>
        <v>42805.1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1003950.12</v>
      </c>
      <c r="E28" s="54"/>
      <c r="F28" s="44">
        <f t="shared" si="0"/>
        <v>1003950.12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17032.28</v>
      </c>
      <c r="E29" s="54"/>
      <c r="F29" s="44">
        <f t="shared" si="0"/>
        <v>17032.28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3068751.1500000004</v>
      </c>
      <c r="E30" s="55"/>
      <c r="F30" s="51">
        <f t="shared" si="0"/>
        <v>3068751.1500000004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80936.789999999994</v>
      </c>
      <c r="E31" s="55"/>
      <c r="F31" s="51">
        <f t="shared" si="0"/>
        <v>80936.789999999994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371.5</v>
      </c>
      <c r="C32" s="44"/>
      <c r="D32" s="56">
        <v>0</v>
      </c>
      <c r="E32" s="55"/>
      <c r="F32" s="57">
        <f t="shared" si="0"/>
        <v>371.5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371.5</v>
      </c>
      <c r="C33" s="43"/>
      <c r="D33" s="53">
        <f>SUM(D26:D32)</f>
        <v>4245430.71</v>
      </c>
      <c r="E33" s="46"/>
      <c r="F33" s="53">
        <f>SUM(F26:F32)</f>
        <v>4245802.21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385450</v>
      </c>
      <c r="C35" s="40"/>
      <c r="D35" s="59">
        <v>0</v>
      </c>
      <c r="E35" s="33"/>
      <c r="F35" s="40">
        <f>+B35+D35</f>
        <v>385450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6995621.6400000006</v>
      </c>
      <c r="C37" s="43"/>
      <c r="D37" s="60">
        <f>+D10+D23-D33-D35</f>
        <v>1876457.08</v>
      </c>
      <c r="E37" s="46"/>
      <c r="F37" s="60">
        <f>+F10+F23-F33-F35</f>
        <v>8872078.7199999988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54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55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">
    <cfRule type="expression" dxfId="21" priority="1">
      <formula>$F$21&lt;&gt;0</formula>
    </cfRule>
  </conditionalFormatting>
  <conditionalFormatting sqref="A45">
    <cfRule type="expression" dxfId="20" priority="4">
      <formula>$F$21&lt;&gt;0</formula>
    </cfRule>
  </conditionalFormatting>
  <conditionalFormatting sqref="A50">
    <cfRule type="expression" dxfId="19" priority="3">
      <formula>$F$32&lt;&gt;0</formula>
    </cfRule>
  </conditionalFormatting>
  <conditionalFormatting sqref="A51">
    <cfRule type="expression" dxfId="18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'[31]Contact Information'!C5</f>
        <v>SOUTH FLORIDA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'[31]Contact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VLOOKUP($A$1,[31]VLOOKUPS!A79:D106,2,FALSE)</f>
        <v>684821.64</v>
      </c>
      <c r="C10" s="31"/>
      <c r="D10" s="31">
        <f>VLOOKUP($A$1,[31]VLOOKUPS!A79:D106,3,FALSE)</f>
        <v>0</v>
      </c>
      <c r="E10" s="31"/>
      <c r="F10" s="31">
        <f>B10+D10</f>
        <v>684821.64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'[31]Accounts by GL'!O215</f>
        <v>293489.27</v>
      </c>
      <c r="C14" s="40"/>
      <c r="D14" s="40">
        <v>0</v>
      </c>
      <c r="E14" s="40"/>
      <c r="F14" s="40">
        <f>B14+D14</f>
        <v>293489.27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'[31]Accounts by GL'!O216</f>
        <v>25378.6</v>
      </c>
      <c r="C15" s="40"/>
      <c r="D15" s="40">
        <v>0</v>
      </c>
      <c r="E15" s="40"/>
      <c r="F15" s="40">
        <f>B15+D15</f>
        <v>25378.6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'[31]Accounts by GL'!O217</f>
        <v>26410.86</v>
      </c>
      <c r="C16" s="40"/>
      <c r="D16" s="41">
        <v>0</v>
      </c>
      <c r="E16" s="40"/>
      <c r="F16" s="41">
        <f>B16+D16</f>
        <v>26410.86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345278.73</v>
      </c>
      <c r="C17" s="43"/>
      <c r="D17" s="44">
        <f>SUM(D14:D16)</f>
        <v>0</v>
      </c>
      <c r="E17" s="43"/>
      <c r="F17" s="44">
        <f>B17+D17</f>
        <v>345278.73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1085.49</v>
      </c>
      <c r="E19" s="47"/>
      <c r="F19" s="47">
        <f>B19+D19</f>
        <v>1085.49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345278.73</v>
      </c>
      <c r="C23" s="43"/>
      <c r="D23" s="53">
        <f>D17+D19+D21</f>
        <v>1085.49</v>
      </c>
      <c r="E23" s="46"/>
      <c r="F23" s="53">
        <f>F17+F19+F21</f>
        <v>346364.22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f>33160.01+124960.97-594.95</f>
        <v>157526.03</v>
      </c>
      <c r="C29" s="44"/>
      <c r="D29" s="50">
        <v>0</v>
      </c>
      <c r="E29" s="54"/>
      <c r="F29" s="44">
        <f t="shared" si="0"/>
        <v>157526.03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f>5438.52-D30</f>
        <v>4353.0300000000007</v>
      </c>
      <c r="C30" s="44"/>
      <c r="D30" s="50">
        <v>1085.49</v>
      </c>
      <c r="E30" s="55"/>
      <c r="F30" s="51">
        <f t="shared" si="0"/>
        <v>5438.52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f>45963.97+74453.52+155054.34+6709.5</f>
        <v>282181.33</v>
      </c>
      <c r="C31" s="44"/>
      <c r="D31" s="50">
        <v>0</v>
      </c>
      <c r="E31" s="55"/>
      <c r="F31" s="51">
        <f t="shared" si="0"/>
        <v>282181.33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444060.39</v>
      </c>
      <c r="C33" s="43"/>
      <c r="D33" s="53">
        <f>SUM(D26:D32)</f>
        <v>1085.49</v>
      </c>
      <c r="E33" s="46"/>
      <c r="F33" s="53">
        <f>SUM(F26:F32)</f>
        <v>445145.88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586039.98</v>
      </c>
      <c r="C37" s="43"/>
      <c r="D37" s="60">
        <f>+D10+D23-D33-D35</f>
        <v>0</v>
      </c>
      <c r="E37" s="46"/>
      <c r="F37" s="60">
        <f>+F10+F23-F33-F35</f>
        <v>586039.98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">
    <cfRule type="expression" dxfId="15" priority="1">
      <formula>$F$21&lt;&gt;0</formula>
    </cfRule>
  </conditionalFormatting>
  <conditionalFormatting sqref="A45">
    <cfRule type="expression" dxfId="14" priority="4">
      <formula>$F$21&lt;&gt;0</formula>
    </cfRule>
  </conditionalFormatting>
  <conditionalFormatting sqref="A50">
    <cfRule type="expression" dxfId="13" priority="3">
      <formula>$F$32&lt;&gt;0</formula>
    </cfRule>
  </conditionalFormatting>
  <conditionalFormatting sqref="A51">
    <cfRule type="expression" dxfId="1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'[32]Contact Information'!C5</f>
        <v>TALLAHASSEE COMMUNITY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'[32]Contact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VLOOKUP($A$1,[32]VLOOKUPS!A79:D106,2,FALSE)</f>
        <v>9024866.0399999991</v>
      </c>
      <c r="C10" s="31"/>
      <c r="D10" s="31">
        <f>VLOOKUP($A$1,[32]VLOOKUPS!A79:D106,3,FALSE)</f>
        <v>0</v>
      </c>
      <c r="E10" s="31"/>
      <c r="F10" s="31">
        <f>B10+D10</f>
        <v>9024866.0399999991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'[32]Accounts by GL'!O215</f>
        <v>3309889.39</v>
      </c>
      <c r="C14" s="40"/>
      <c r="D14" s="40">
        <v>0</v>
      </c>
      <c r="E14" s="40"/>
      <c r="F14" s="40">
        <f>B14+D14</f>
        <v>3309889.39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'[32]Accounts by GL'!O216</f>
        <v>29010.59</v>
      </c>
      <c r="C15" s="40"/>
      <c r="D15" s="40">
        <v>0</v>
      </c>
      <c r="E15" s="40"/>
      <c r="F15" s="40">
        <f>B15+D15</f>
        <v>29010.59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'[32]Accounts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3338899.98</v>
      </c>
      <c r="C17" s="43"/>
      <c r="D17" s="44">
        <f>SUM(D14:D16)</f>
        <v>0</v>
      </c>
      <c r="E17" s="43"/>
      <c r="F17" s="44">
        <f>B17+D17</f>
        <v>3338899.98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3338899.98</v>
      </c>
      <c r="C23" s="43"/>
      <c r="D23" s="53">
        <f>D17+D19+D21</f>
        <v>0</v>
      </c>
      <c r="E23" s="46"/>
      <c r="F23" s="53">
        <f>F17+F19+F21</f>
        <v>3338899.98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337741.86</v>
      </c>
      <c r="C28" s="44"/>
      <c r="D28" s="50">
        <v>0</v>
      </c>
      <c r="E28" s="54"/>
      <c r="F28" s="44">
        <f t="shared" si="0"/>
        <v>337741.86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f>1882.85+121.5+2215.52</f>
        <v>4219.87</v>
      </c>
      <c r="C32" s="44"/>
      <c r="D32" s="56">
        <v>0</v>
      </c>
      <c r="E32" s="55"/>
      <c r="F32" s="57">
        <f t="shared" si="0"/>
        <v>4219.87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341961.73</v>
      </c>
      <c r="C33" s="43"/>
      <c r="D33" s="53">
        <f>SUM(D26:D32)</f>
        <v>0</v>
      </c>
      <c r="E33" s="46"/>
      <c r="F33" s="53">
        <f>SUM(F26:F32)</f>
        <v>341961.73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999116</v>
      </c>
      <c r="C35" s="40"/>
      <c r="D35" s="59">
        <v>0</v>
      </c>
      <c r="E35" s="33"/>
      <c r="F35" s="40">
        <f>+B35+D35</f>
        <v>999116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11022688.289999999</v>
      </c>
      <c r="C37" s="43"/>
      <c r="D37" s="60">
        <f>+D10+D23-D33-D35</f>
        <v>0</v>
      </c>
      <c r="E37" s="46"/>
      <c r="F37" s="60">
        <f>+F10+F23-F33-F35</f>
        <v>11022688.289999999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 t="s">
        <v>56</v>
      </c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">
    <cfRule type="expression" dxfId="9" priority="1">
      <formula>$F$21&lt;&gt;0</formula>
    </cfRule>
  </conditionalFormatting>
  <conditionalFormatting sqref="A45">
    <cfRule type="expression" dxfId="8" priority="4">
      <formula>$F$21&lt;&gt;0</formula>
    </cfRule>
  </conditionalFormatting>
  <conditionalFormatting sqref="A50">
    <cfRule type="expression" dxfId="7" priority="3">
      <formula>$F$32&lt;&gt;0</formula>
    </cfRule>
  </conditionalFormatting>
  <conditionalFormatting sqref="A51">
    <cfRule type="expression" dxfId="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'[33]Contact Information'!C5</f>
        <v>VALENCIA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'[33]Contact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VLOOKUP($A$1,[33]VLOOKUPS!A79:D106,2,FALSE)</f>
        <v>10614721.560000001</v>
      </c>
      <c r="C10" s="31"/>
      <c r="D10" s="31">
        <f>VLOOKUP($A$1,[33]VLOOKUPS!A79:D106,3,FALSE)</f>
        <v>2875801.46</v>
      </c>
      <c r="E10" s="31"/>
      <c r="F10" s="31">
        <f>B10+D10</f>
        <v>13490523.02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'[33]Accounts by GL'!O215</f>
        <v>5544985.9699999997</v>
      </c>
      <c r="C14" s="40"/>
      <c r="D14" s="40">
        <v>0</v>
      </c>
      <c r="E14" s="40"/>
      <c r="F14" s="40">
        <f>B14+D14</f>
        <v>5544985.9699999997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'[33]Accounts by GL'!O216</f>
        <v>27187.05</v>
      </c>
      <c r="C15" s="40"/>
      <c r="D15" s="40">
        <v>0</v>
      </c>
      <c r="E15" s="40"/>
      <c r="F15" s="40">
        <f>B15+D15</f>
        <v>27187.05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'[33]Accounts by GL'!O217</f>
        <v>25458.3</v>
      </c>
      <c r="C16" s="40"/>
      <c r="D16" s="41">
        <v>0</v>
      </c>
      <c r="E16" s="40"/>
      <c r="F16" s="41">
        <f>B16+D16</f>
        <v>25458.3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5597631.3199999994</v>
      </c>
      <c r="C17" s="43"/>
      <c r="D17" s="44">
        <f>SUM(D14:D16)</f>
        <v>0</v>
      </c>
      <c r="E17" s="43"/>
      <c r="F17" s="44">
        <f>B17+D17</f>
        <v>5597631.3199999994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29745.07</v>
      </c>
      <c r="C19" s="44"/>
      <c r="D19" s="47">
        <v>0</v>
      </c>
      <c r="E19" s="47"/>
      <c r="F19" s="47">
        <f>B19+D19</f>
        <v>29745.07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5627376.3899999997</v>
      </c>
      <c r="C23" s="43"/>
      <c r="D23" s="53">
        <f>D17+D19+D21</f>
        <v>0</v>
      </c>
      <c r="E23" s="46"/>
      <c r="F23" s="53">
        <f>F17+F19+F21</f>
        <v>5627376.3899999997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f>2605777.1-222268.37-D28</f>
        <v>244100</v>
      </c>
      <c r="C28" s="44"/>
      <c r="D28" s="50">
        <v>2139408.73</v>
      </c>
      <c r="E28" s="54"/>
      <c r="F28" s="44">
        <f t="shared" si="0"/>
        <v>2383508.73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/>
      <c r="C29" s="44"/>
      <c r="D29" s="50">
        <f>1721.8+64066.52+66842.09</f>
        <v>132630.40999999997</v>
      </c>
      <c r="E29" s="54"/>
      <c r="F29" s="44">
        <f t="shared" si="0"/>
        <v>132630.40999999997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f>203123.15+217221.24+20975+55834.81+4100+101610.87+797.12+100.13</f>
        <v>603762.32000000007</v>
      </c>
      <c r="E30" s="55"/>
      <c r="F30" s="51">
        <f t="shared" si="0"/>
        <v>603762.32000000007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/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244100</v>
      </c>
      <c r="C33" s="43"/>
      <c r="D33" s="53">
        <f>SUM(D26:D32)</f>
        <v>2875801.46</v>
      </c>
      <c r="E33" s="46"/>
      <c r="F33" s="53">
        <f>SUM(F26:F32)</f>
        <v>3119901.46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15997997.949999999</v>
      </c>
      <c r="C37" s="43"/>
      <c r="D37" s="60">
        <f>+D10+D23-D33-D35</f>
        <v>0</v>
      </c>
      <c r="E37" s="46"/>
      <c r="F37" s="60">
        <f>+F10+F23-F33-F35</f>
        <v>15997997.949999999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5">
    <cfRule type="expression" dxfId="3" priority="4">
      <formula>$F$21&lt;&gt;0</formula>
    </cfRule>
  </conditionalFormatting>
  <conditionalFormatting sqref="A50">
    <cfRule type="expression" dxfId="2" priority="3">
      <formula>$F$32&lt;&gt;0</formula>
    </cfRule>
  </conditionalFormatting>
  <conditionalFormatting sqref="A51">
    <cfRule type="expression" dxfId="1" priority="2">
      <formula>$F$21&lt;&gt;0</formula>
    </cfRule>
  </conditionalFormatting>
  <conditionalFormatting sqref="A46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'[5]Contact Information'!C5</f>
        <v>BROWARD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'[5]Contact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VLOOKUP($A$1,[5]VLOOKUPS!A79:D106,2,FALSE)</f>
        <v>24281115.969999999</v>
      </c>
      <c r="C10" s="31"/>
      <c r="D10" s="31">
        <f>VLOOKUP($A$1,[5]VLOOKUPS!A79:D106,3,FALSE)</f>
        <v>5854.98</v>
      </c>
      <c r="E10" s="31"/>
      <c r="F10" s="31">
        <f>B10+D10</f>
        <v>24286970.949999999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'[5]Accounts by GL'!O215</f>
        <v>9495540.3200000003</v>
      </c>
      <c r="C14" s="40"/>
      <c r="D14" s="40">
        <v>0</v>
      </c>
      <c r="E14" s="40"/>
      <c r="F14" s="40">
        <f>B14+D14</f>
        <v>9495540.3200000003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'[5]Accounts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'[5]Accounts by GL'!O217</f>
        <v>371139.53</v>
      </c>
      <c r="C16" s="40"/>
      <c r="D16" s="41">
        <v>0</v>
      </c>
      <c r="E16" s="40"/>
      <c r="F16" s="41">
        <f>B16+D16</f>
        <v>371139.53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9866679.8499999996</v>
      </c>
      <c r="C17" s="43"/>
      <c r="D17" s="44">
        <f>SUM(D14:D16)</f>
        <v>0</v>
      </c>
      <c r="E17" s="43"/>
      <c r="F17" s="44">
        <f>B17+D17</f>
        <v>9866679.8499999996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9866679.8499999996</v>
      </c>
      <c r="C23" s="43"/>
      <c r="D23" s="53">
        <f>D17+D19+D21</f>
        <v>0</v>
      </c>
      <c r="E23" s="46"/>
      <c r="F23" s="53">
        <f>F17+F19+F21</f>
        <v>9866679.8499999996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20422270.52</v>
      </c>
      <c r="C26" s="44"/>
      <c r="D26" s="50">
        <v>0</v>
      </c>
      <c r="E26" s="46"/>
      <c r="F26" s="51">
        <f t="shared" ref="F26:F32" si="0">B26+D26</f>
        <v>20422270.52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1247377.8</v>
      </c>
      <c r="C27" s="44"/>
      <c r="D27" s="50">
        <v>0</v>
      </c>
      <c r="E27" s="54"/>
      <c r="F27" s="44">
        <f t="shared" si="0"/>
        <v>1247377.8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1817533.93</v>
      </c>
      <c r="C29" s="44"/>
      <c r="D29" s="50">
        <v>0</v>
      </c>
      <c r="E29" s="54"/>
      <c r="F29" s="44">
        <f t="shared" si="0"/>
        <v>1817533.93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2035231.04</v>
      </c>
      <c r="C30" s="44"/>
      <c r="D30" s="50">
        <v>0</v>
      </c>
      <c r="E30" s="55"/>
      <c r="F30" s="51">
        <f t="shared" si="0"/>
        <v>2035231.04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25522413.289999999</v>
      </c>
      <c r="C33" s="43"/>
      <c r="D33" s="53">
        <f>SUM(D26:D32)</f>
        <v>0</v>
      </c>
      <c r="E33" s="46"/>
      <c r="F33" s="53">
        <f>SUM(F26:F32)</f>
        <v>25522413.289999999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8625382.5300000012</v>
      </c>
      <c r="C37" s="43"/>
      <c r="D37" s="60">
        <f>+D10+D23-D33-D35</f>
        <v>5854.98</v>
      </c>
      <c r="E37" s="46"/>
      <c r="F37" s="60">
        <f>+F10+F23-F33-F35</f>
        <v>8631237.5099999979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61" priority="6">
      <formula>$F32&lt;&gt;0</formula>
    </cfRule>
  </conditionalFormatting>
  <conditionalFormatting sqref="A21">
    <cfRule type="expression" dxfId="160" priority="5">
      <formula>$F21&lt;&gt;0</formula>
    </cfRule>
  </conditionalFormatting>
  <conditionalFormatting sqref="A46">
    <cfRule type="expression" dxfId="159" priority="1">
      <formula>$F$21&lt;&gt;0</formula>
    </cfRule>
  </conditionalFormatting>
  <conditionalFormatting sqref="A45">
    <cfRule type="expression" dxfId="158" priority="4">
      <formula>$F$21&lt;&gt;0</formula>
    </cfRule>
  </conditionalFormatting>
  <conditionalFormatting sqref="A50">
    <cfRule type="expression" dxfId="157" priority="3">
      <formula>$F$32&lt;&gt;0</formula>
    </cfRule>
  </conditionalFormatting>
  <conditionalFormatting sqref="A51">
    <cfRule type="expression" dxfId="15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'[6]Contact Information'!C5</f>
        <v>COLLEGE OF CENTRAL FLORIDA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'[6]Contact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VLOOKUP($A$1,[6]VLOOKUPS!A79:D106,2,FALSE)</f>
        <v>2635831.2000000002</v>
      </c>
      <c r="C10" s="31"/>
      <c r="D10" s="31">
        <f>VLOOKUP($A$1,[6]VLOOKUPS!A79:D106,3,FALSE)</f>
        <v>477668.98</v>
      </c>
      <c r="E10" s="31"/>
      <c r="F10" s="31">
        <f>B10+D10</f>
        <v>3113500.18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'[6]Accounts by GL'!O215</f>
        <v>1882099.46</v>
      </c>
      <c r="C14" s="40"/>
      <c r="D14" s="40">
        <v>0</v>
      </c>
      <c r="E14" s="40"/>
      <c r="F14" s="40">
        <f>B14+D14</f>
        <v>1882099.46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'[6]Accounts by GL'!O216</f>
        <v>15734.1</v>
      </c>
      <c r="C15" s="40"/>
      <c r="D15" s="40">
        <v>0</v>
      </c>
      <c r="E15" s="40"/>
      <c r="F15" s="40">
        <f>B15+D15</f>
        <v>15734.1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'[6]Accounts by GL'!O217</f>
        <v>117189.68</v>
      </c>
      <c r="C16" s="40"/>
      <c r="D16" s="41">
        <v>0</v>
      </c>
      <c r="E16" s="40"/>
      <c r="F16" s="41">
        <f>B16+D16</f>
        <v>117189.68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2015023.24</v>
      </c>
      <c r="C17" s="43"/>
      <c r="D17" s="44">
        <f>SUM(D14:D16)</f>
        <v>0</v>
      </c>
      <c r="E17" s="43"/>
      <c r="F17" s="44">
        <f>B17+D17</f>
        <v>2015023.24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18773.12</v>
      </c>
      <c r="E19" s="47"/>
      <c r="F19" s="47">
        <f>B19+D19</f>
        <v>18773.12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2015023.24</v>
      </c>
      <c r="C23" s="43"/>
      <c r="D23" s="53">
        <f>D17+D19+D21</f>
        <v>18773.12</v>
      </c>
      <c r="E23" s="46"/>
      <c r="F23" s="53">
        <f>F17+F19+F21</f>
        <v>2033796.36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465505.38</v>
      </c>
      <c r="C28" s="44"/>
      <c r="D28" s="50">
        <v>0</v>
      </c>
      <c r="E28" s="54"/>
      <c r="F28" s="44">
        <f t="shared" si="0"/>
        <v>465505.38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519461.24</v>
      </c>
      <c r="C29" s="44"/>
      <c r="D29" s="50">
        <v>0</v>
      </c>
      <c r="E29" s="54"/>
      <c r="F29" s="44">
        <f t="shared" si="0"/>
        <v>519461.24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115709.59</v>
      </c>
      <c r="C30" s="44"/>
      <c r="D30" s="50">
        <v>0</v>
      </c>
      <c r="E30" s="55"/>
      <c r="F30" s="51">
        <f t="shared" si="0"/>
        <v>115709.59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137021.57999999999</v>
      </c>
      <c r="C31" s="44"/>
      <c r="D31" s="50">
        <v>0</v>
      </c>
      <c r="E31" s="55"/>
      <c r="F31" s="51">
        <f t="shared" si="0"/>
        <v>137021.57999999999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1237697.79</v>
      </c>
      <c r="C33" s="43"/>
      <c r="D33" s="53">
        <f>SUM(D26:D32)</f>
        <v>0</v>
      </c>
      <c r="E33" s="46"/>
      <c r="F33" s="53">
        <f>SUM(F26:F32)</f>
        <v>1237697.79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3413156.6500000004</v>
      </c>
      <c r="C37" s="43"/>
      <c r="D37" s="60">
        <f>+D10+D23-D33-D35</f>
        <v>496442.1</v>
      </c>
      <c r="E37" s="46"/>
      <c r="F37" s="60">
        <f>+F10+F23-F33-F35</f>
        <v>3909598.75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55" priority="6">
      <formula>$F32&lt;&gt;0</formula>
    </cfRule>
  </conditionalFormatting>
  <conditionalFormatting sqref="A21">
    <cfRule type="expression" dxfId="154" priority="5">
      <formula>$F21&lt;&gt;0</formula>
    </cfRule>
  </conditionalFormatting>
  <conditionalFormatting sqref="A46">
    <cfRule type="expression" dxfId="153" priority="1">
      <formula>$F$21&lt;&gt;0</formula>
    </cfRule>
  </conditionalFormatting>
  <conditionalFormatting sqref="A45">
    <cfRule type="expression" dxfId="152" priority="4">
      <formula>$F$21&lt;&gt;0</formula>
    </cfRule>
  </conditionalFormatting>
  <conditionalFormatting sqref="A50">
    <cfRule type="expression" dxfId="151" priority="3">
      <formula>$F$32&lt;&gt;0</formula>
    </cfRule>
  </conditionalFormatting>
  <conditionalFormatting sqref="A51">
    <cfRule type="expression" dxfId="150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0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'[7]Contact Information'!C5</f>
        <v>CHIPOLA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'[7]Contact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VLOOKUP($A$1,[7]VLOOKUPS!A79:D106,2,FALSE)</f>
        <v>556711.68999999994</v>
      </c>
      <c r="C10" s="31"/>
      <c r="D10" s="31">
        <f>VLOOKUP($A$1,[7]VLOOKUPS!A79:D106,3,FALSE)</f>
        <v>0</v>
      </c>
      <c r="E10" s="31"/>
      <c r="F10" s="31">
        <f>B10+D10</f>
        <v>556711.68999999994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'[7]Accounts by GL'!O215</f>
        <v>235759.85</v>
      </c>
      <c r="C14" s="40"/>
      <c r="D14" s="40">
        <v>0</v>
      </c>
      <c r="E14" s="40"/>
      <c r="F14" s="40">
        <f>B14+D14</f>
        <v>235759.85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'[7]Accounts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'[7]Accounts by GL'!O217</f>
        <v>29136</v>
      </c>
      <c r="C16" s="40"/>
      <c r="D16" s="41">
        <v>0</v>
      </c>
      <c r="E16" s="40"/>
      <c r="F16" s="41">
        <f>B16+D16</f>
        <v>29136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264895.84999999998</v>
      </c>
      <c r="C17" s="43"/>
      <c r="D17" s="44">
        <f>SUM(D14:D16)</f>
        <v>0</v>
      </c>
      <c r="E17" s="43"/>
      <c r="F17" s="44">
        <f>B17+D17</f>
        <v>264895.84999999998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264895.84999999998</v>
      </c>
      <c r="C23" s="43"/>
      <c r="D23" s="53">
        <f>D17+D19+D21</f>
        <v>0</v>
      </c>
      <c r="E23" s="46"/>
      <c r="F23" s="53">
        <f>F17+F19+F21</f>
        <v>264895.84999999998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55125.2</v>
      </c>
      <c r="C29" s="44"/>
      <c r="D29" s="50">
        <v>0</v>
      </c>
      <c r="E29" s="54"/>
      <c r="F29" s="44">
        <f t="shared" si="0"/>
        <v>55125.2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26301.5</v>
      </c>
      <c r="C30" s="44"/>
      <c r="D30" s="50">
        <v>0</v>
      </c>
      <c r="E30" s="55"/>
      <c r="F30" s="51">
        <f t="shared" si="0"/>
        <v>26301.5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209845.06</v>
      </c>
      <c r="C31" s="44"/>
      <c r="D31" s="50">
        <v>0</v>
      </c>
      <c r="E31" s="55"/>
      <c r="F31" s="51">
        <f t="shared" si="0"/>
        <v>209845.06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291271.76</v>
      </c>
      <c r="C33" s="43"/>
      <c r="D33" s="53">
        <f>SUM(D26:D32)</f>
        <v>0</v>
      </c>
      <c r="E33" s="46"/>
      <c r="F33" s="53">
        <f>SUM(F26:F32)</f>
        <v>291271.76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530335.77999999991</v>
      </c>
      <c r="C37" s="43"/>
      <c r="D37" s="60">
        <f>+D10+D23-D33-D35</f>
        <v>0</v>
      </c>
      <c r="E37" s="46"/>
      <c r="F37" s="60">
        <f>+F10+F23-F33-F35</f>
        <v>530335.77999999991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7">
      <c r="A49" s="63" t="s">
        <v>33</v>
      </c>
      <c r="B49" s="64"/>
      <c r="C49" s="63"/>
      <c r="D49" s="64"/>
      <c r="E49" s="64"/>
      <c r="F49" s="64"/>
    </row>
    <row r="50" spans="1:7" ht="15" customHeight="1">
      <c r="A50" s="69"/>
      <c r="B50" s="69"/>
      <c r="C50" s="69"/>
      <c r="D50" s="69"/>
      <c r="E50" s="69"/>
      <c r="F50" s="69"/>
    </row>
    <row r="51" spans="1:7">
      <c r="A51" s="69"/>
      <c r="B51" s="69"/>
      <c r="C51" s="69"/>
      <c r="D51" s="69"/>
      <c r="E51" s="69"/>
      <c r="F51" s="69"/>
    </row>
    <row r="52" spans="1:7">
      <c r="A52" s="69"/>
      <c r="B52" s="69"/>
      <c r="C52" s="69"/>
      <c r="D52" s="69"/>
      <c r="E52" s="69"/>
      <c r="F52" s="69"/>
    </row>
    <row r="53" spans="1:7">
      <c r="A53" s="69"/>
      <c r="B53" s="69"/>
      <c r="C53" s="69"/>
      <c r="D53" s="69"/>
      <c r="E53" s="69"/>
      <c r="F53" s="69"/>
    </row>
    <row r="56" spans="1:7">
      <c r="A56" s="6"/>
      <c r="B56" s="4"/>
      <c r="C56" s="16"/>
      <c r="D56" s="4"/>
      <c r="E56" s="4"/>
      <c r="F56" s="4"/>
    </row>
    <row r="57" spans="1:7">
      <c r="A57" s="1"/>
      <c r="B57" s="4"/>
      <c r="C57" s="16"/>
      <c r="D57" s="4"/>
      <c r="E57" s="4"/>
      <c r="F57" s="4"/>
    </row>
    <row r="58" spans="1:7">
      <c r="A58" s="1"/>
      <c r="B58" s="4"/>
      <c r="C58" s="16"/>
      <c r="D58" s="4"/>
      <c r="E58" s="4"/>
      <c r="F58" s="4"/>
    </row>
    <row r="59" spans="1:7">
      <c r="A59" s="1"/>
      <c r="B59" s="4"/>
      <c r="C59" s="16"/>
      <c r="D59" s="4"/>
      <c r="E59" s="4"/>
      <c r="F59" s="4"/>
    </row>
    <row r="60" spans="1:7">
      <c r="A60" s="1"/>
      <c r="B60" s="4"/>
      <c r="C60" s="16"/>
      <c r="D60" s="4"/>
      <c r="E60" s="4"/>
      <c r="F60" s="4"/>
    </row>
    <row r="61" spans="1:7">
      <c r="A61" s="1"/>
      <c r="B61" s="4"/>
      <c r="C61" s="16"/>
      <c r="D61" s="4"/>
      <c r="E61" s="4"/>
      <c r="F61" s="4"/>
    </row>
    <row r="62" spans="1:7">
      <c r="A62" s="1"/>
      <c r="B62" s="4"/>
      <c r="C62" s="16"/>
      <c r="D62" s="4"/>
      <c r="E62" s="4"/>
      <c r="F62" s="4"/>
    </row>
    <row r="63" spans="1:7">
      <c r="A63" s="1"/>
      <c r="B63" s="4"/>
      <c r="C63" s="16"/>
      <c r="D63" s="4"/>
      <c r="E63" s="4"/>
      <c r="F63" s="4"/>
    </row>
    <row r="64" spans="1:7">
      <c r="A64" s="1"/>
      <c r="B64" s="4"/>
      <c r="C64" s="16"/>
      <c r="D64" s="4"/>
      <c r="E64" s="4"/>
      <c r="F64" s="4"/>
      <c r="G64" s="1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5" spans="1:7" ht="15" hidden="1" customHeight="1">
      <c r="A75" s="1"/>
      <c r="B75" s="1"/>
      <c r="C75" s="5"/>
      <c r="D75" s="1"/>
      <c r="E75" s="1"/>
      <c r="F75" s="1"/>
      <c r="G75" s="1"/>
    </row>
    <row r="76" spans="1:7" ht="15" hidden="1" customHeight="1">
      <c r="A76" s="7"/>
      <c r="B76" s="7"/>
      <c r="C76" s="5"/>
      <c r="D76" s="1"/>
      <c r="E76" s="1"/>
      <c r="F76" s="1"/>
      <c r="G76" s="5"/>
    </row>
    <row r="77" spans="1:7" ht="15" hidden="1" customHeight="1">
      <c r="A77" s="1"/>
      <c r="B77" s="1"/>
      <c r="C77" s="5"/>
      <c r="D77" s="1"/>
      <c r="E77" s="1"/>
      <c r="F77" s="1"/>
      <c r="G77" s="5"/>
    </row>
    <row r="78" spans="1:7" ht="15" hidden="1" customHeight="1">
      <c r="A78" s="8"/>
      <c r="B78" s="9"/>
      <c r="C78" s="5"/>
      <c r="D78" s="9"/>
      <c r="E78" s="1"/>
      <c r="F78" s="1"/>
      <c r="G78" s="5"/>
    </row>
    <row r="79" spans="1:7" ht="15" hidden="1" customHeight="1">
      <c r="A79" s="10"/>
      <c r="B79" s="11"/>
      <c r="C79" s="5"/>
      <c r="D79" s="11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2"/>
      <c r="B83" s="13"/>
      <c r="C83" s="5"/>
      <c r="D83" s="13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1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4"/>
      <c r="B107" s="15"/>
      <c r="C107" s="5"/>
      <c r="D107" s="15"/>
    </row>
    <row r="108" spans="1:4" ht="15" hidden="1" customHeight="1">
      <c r="A108" s="1"/>
      <c r="B108" s="1"/>
      <c r="C108" s="5"/>
      <c r="D108" s="1"/>
    </row>
    <row r="109" spans="1:4">
      <c r="A109" s="1"/>
      <c r="B109" s="1"/>
      <c r="C109" s="5"/>
      <c r="D109" s="1"/>
    </row>
    <row r="110" spans="1:4">
      <c r="A110" s="1"/>
      <c r="B110" s="1"/>
      <c r="C110" s="5"/>
      <c r="D110" s="1"/>
    </row>
  </sheetData>
  <sheetProtection formatColumns="0"/>
  <conditionalFormatting sqref="A32">
    <cfRule type="expression" dxfId="149" priority="6">
      <formula>$F32&lt;&gt;0</formula>
    </cfRule>
  </conditionalFormatting>
  <conditionalFormatting sqref="A21">
    <cfRule type="expression" dxfId="148" priority="5">
      <formula>$F21&lt;&gt;0</formula>
    </cfRule>
  </conditionalFormatting>
  <conditionalFormatting sqref="A46">
    <cfRule type="expression" dxfId="147" priority="1">
      <formula>$F$21&lt;&gt;0</formula>
    </cfRule>
  </conditionalFormatting>
  <conditionalFormatting sqref="A45">
    <cfRule type="expression" dxfId="146" priority="4">
      <formula>$F$21&lt;&gt;0</formula>
    </cfRule>
  </conditionalFormatting>
  <conditionalFormatting sqref="A49">
    <cfRule type="expression" dxfId="145" priority="3">
      <formula>$F$32&lt;&gt;0</formula>
    </cfRule>
  </conditionalFormatting>
  <conditionalFormatting sqref="A50">
    <cfRule type="expression" dxfId="144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'[8]Contact Information'!C5</f>
        <v>DAYTONA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'[8]Contact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VLOOKUP($A$1,[8]VLOOKUPS!A79:D106,2,FALSE)</f>
        <v>1649663.26</v>
      </c>
      <c r="C10" s="31"/>
      <c r="D10" s="31">
        <f>VLOOKUP($A$1,[8]VLOOKUPS!A79:D106,3,FALSE)</f>
        <v>19844.03</v>
      </c>
      <c r="E10" s="31"/>
      <c r="F10" s="31">
        <f>B10+D10</f>
        <v>1669507.29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'[8]Accounts by GL'!O215</f>
        <v>2624627.15</v>
      </c>
      <c r="C14" s="40"/>
      <c r="D14" s="40">
        <v>0</v>
      </c>
      <c r="E14" s="40"/>
      <c r="F14" s="40">
        <f>B14+D14</f>
        <v>2624627.15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'[8]Accounts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'[8]Accounts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2624627.15</v>
      </c>
      <c r="C17" s="43"/>
      <c r="D17" s="44">
        <f>SUM(D14:D16)</f>
        <v>0</v>
      </c>
      <c r="E17" s="43"/>
      <c r="F17" s="44">
        <f>B17+D17</f>
        <v>2624627.15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17268.3</v>
      </c>
      <c r="E19" s="47"/>
      <c r="F19" s="47">
        <f>B19+D19</f>
        <v>17268.3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372.69</v>
      </c>
      <c r="E21" s="46"/>
      <c r="F21" s="51">
        <f>D21</f>
        <v>372.69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2624627.15</v>
      </c>
      <c r="C23" s="43"/>
      <c r="D23" s="53">
        <f>D17+D19+D21</f>
        <v>17640.989999999998</v>
      </c>
      <c r="E23" s="46"/>
      <c r="F23" s="53">
        <f>F17+F19+F21</f>
        <v>2642268.1399999997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1308336.31</v>
      </c>
      <c r="C26" s="44"/>
      <c r="D26" s="50">
        <v>0</v>
      </c>
      <c r="E26" s="46"/>
      <c r="F26" s="51">
        <f t="shared" ref="F26:F32" si="0">B26+D26</f>
        <v>1308336.31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1308336.31</v>
      </c>
      <c r="C33" s="43"/>
      <c r="D33" s="53">
        <f>SUM(D26:D32)</f>
        <v>0</v>
      </c>
      <c r="E33" s="46"/>
      <c r="F33" s="53">
        <f>SUM(F26:F32)</f>
        <v>1308336.31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2965954.1</v>
      </c>
      <c r="C37" s="43"/>
      <c r="D37" s="60">
        <f>+D10+D23-D33-D35</f>
        <v>37485.019999999997</v>
      </c>
      <c r="E37" s="46"/>
      <c r="F37" s="60">
        <f>+F10+F23-F33-F35</f>
        <v>3003439.1199999996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45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43" priority="6">
      <formula>$F32&lt;&gt;0</formula>
    </cfRule>
  </conditionalFormatting>
  <conditionalFormatting sqref="A21">
    <cfRule type="expression" dxfId="142" priority="5">
      <formula>$F21&lt;&gt;0</formula>
    </cfRule>
  </conditionalFormatting>
  <conditionalFormatting sqref="A46">
    <cfRule type="expression" dxfId="141" priority="1">
      <formula>$F$21&lt;&gt;0</formula>
    </cfRule>
  </conditionalFormatting>
  <conditionalFormatting sqref="A45">
    <cfRule type="expression" dxfId="140" priority="4">
      <formula>$F$21&lt;&gt;0</formula>
    </cfRule>
  </conditionalFormatting>
  <conditionalFormatting sqref="A50">
    <cfRule type="expression" dxfId="139" priority="3">
      <formula>$F$32&lt;&gt;0</formula>
    </cfRule>
  </conditionalFormatting>
  <conditionalFormatting sqref="A51">
    <cfRule type="expression" dxfId="138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'[9]Contact Information'!C5</f>
        <v>FLORIDA SOUTHWESTERN STATE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'[9]Contact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VLOOKUP($A$1,[9]VLOOKUPS!A79:D106,2,FALSE)</f>
        <v>5929262.54</v>
      </c>
      <c r="C10" s="31"/>
      <c r="D10" s="31">
        <f>VLOOKUP($A$1,[9]VLOOKUPS!A79:D106,3,FALSE)</f>
        <v>1166196.1299999999</v>
      </c>
      <c r="E10" s="31"/>
      <c r="F10" s="31">
        <f>B10+D10</f>
        <v>7095458.6699999999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'[9]Accounts by GL'!O215</f>
        <v>3452743.66</v>
      </c>
      <c r="C14" s="40"/>
      <c r="D14" s="40">
        <v>0</v>
      </c>
      <c r="E14" s="40"/>
      <c r="F14" s="40">
        <f>B14+D14</f>
        <v>3452743.66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'[9]Accounts by GL'!O216</f>
        <v>0</v>
      </c>
      <c r="C15" s="40"/>
      <c r="D15" s="40">
        <v>0</v>
      </c>
      <c r="E15" s="40"/>
      <c r="F15" s="40">
        <f>B15+D15</f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'[9]Accounts by GL'!O217</f>
        <v>224935.24</v>
      </c>
      <c r="C16" s="40"/>
      <c r="D16" s="41">
        <v>0</v>
      </c>
      <c r="E16" s="40"/>
      <c r="F16" s="41">
        <f>B16+D16</f>
        <v>224935.24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3677678.9000000004</v>
      </c>
      <c r="C17" s="43"/>
      <c r="D17" s="44">
        <f>SUM(D14:D16)</f>
        <v>0</v>
      </c>
      <c r="E17" s="43"/>
      <c r="F17" s="44">
        <f>B17+D17</f>
        <v>3677678.9000000004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35464.800000000003</v>
      </c>
      <c r="E19" s="47"/>
      <c r="F19" s="47">
        <f>B19+D19</f>
        <v>35464.800000000003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903409.74</v>
      </c>
      <c r="E21" s="46"/>
      <c r="F21" s="51">
        <f>D21</f>
        <v>903409.74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3677678.9000000004</v>
      </c>
      <c r="C23" s="43"/>
      <c r="D23" s="53">
        <f>D17+D19+D21</f>
        <v>938874.54</v>
      </c>
      <c r="E23" s="46"/>
      <c r="F23" s="53">
        <f>F17+F19+F21</f>
        <v>4616553.4400000004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6100565.21</v>
      </c>
      <c r="C26" s="44"/>
      <c r="D26" s="50">
        <v>0</v>
      </c>
      <c r="E26" s="46"/>
      <c r="F26" s="51">
        <f t="shared" ref="F26:F32" si="0">B26+D26</f>
        <v>6100565.21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3072</v>
      </c>
      <c r="C27" s="44"/>
      <c r="D27" s="50">
        <v>0</v>
      </c>
      <c r="E27" s="54"/>
      <c r="F27" s="44">
        <f t="shared" si="0"/>
        <v>3072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6103637.21</v>
      </c>
      <c r="C33" s="43"/>
      <c r="D33" s="53">
        <f>SUM(D26:D32)</f>
        <v>0</v>
      </c>
      <c r="E33" s="46"/>
      <c r="F33" s="53">
        <f>SUM(F26:F32)</f>
        <v>6103637.21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1172107</v>
      </c>
      <c r="C35" s="40"/>
      <c r="D35" s="59">
        <v>0</v>
      </c>
      <c r="E35" s="33"/>
      <c r="F35" s="40">
        <f>+B35+D35</f>
        <v>1172107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2331197.2300000014</v>
      </c>
      <c r="C37" s="43"/>
      <c r="D37" s="60">
        <f>+D10+D23-D33-D35</f>
        <v>2105070.67</v>
      </c>
      <c r="E37" s="46"/>
      <c r="F37" s="60">
        <f>+F10+F23-F33-F35</f>
        <v>4436267.8999999994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 t="s">
        <v>46</v>
      </c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37" priority="6">
      <formula>$F32&lt;&gt;0</formula>
    </cfRule>
  </conditionalFormatting>
  <conditionalFormatting sqref="A21">
    <cfRule type="expression" dxfId="136" priority="5">
      <formula>$F21&lt;&gt;0</formula>
    </cfRule>
  </conditionalFormatting>
  <conditionalFormatting sqref="A46">
    <cfRule type="expression" dxfId="135" priority="1">
      <formula>$F$21&lt;&gt;0</formula>
    </cfRule>
  </conditionalFormatting>
  <conditionalFormatting sqref="A45">
    <cfRule type="expression" dxfId="134" priority="4">
      <formula>$F$21&lt;&gt;0</formula>
    </cfRule>
  </conditionalFormatting>
  <conditionalFormatting sqref="A50">
    <cfRule type="expression" dxfId="133" priority="3">
      <formula>$F$32&lt;&gt;0</formula>
    </cfRule>
  </conditionalFormatting>
  <conditionalFormatting sqref="A51">
    <cfRule type="expression" dxfId="132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'[10]Contact Information'!C5</f>
        <v>FLORIDA STATE COLLEGE AT JACKSONVILLE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'[10]Contact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VLOOKUP($A$1,[10]VLOOKUPS!A79:D106,2,FALSE)</f>
        <v>14397415.66</v>
      </c>
      <c r="C10" s="31"/>
      <c r="D10" s="31">
        <f>VLOOKUP($A$1,[10]VLOOKUPS!A79:D106,3,FALSE)</f>
        <v>0</v>
      </c>
      <c r="E10" s="31"/>
      <c r="F10" s="31">
        <f>B10+D10</f>
        <v>14397415.66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'[10]Accounts by GL'!O215</f>
        <v>4372389.0999999996</v>
      </c>
      <c r="C14" s="40"/>
      <c r="D14" s="40">
        <v>0</v>
      </c>
      <c r="E14" s="40"/>
      <c r="F14" s="40">
        <f>B14+D14</f>
        <v>4372389.0999999996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'[10]Accounts by GL'!O216</f>
        <v>77363.11</v>
      </c>
      <c r="C15" s="40"/>
      <c r="D15" s="40">
        <v>0</v>
      </c>
      <c r="E15" s="40"/>
      <c r="F15" s="40">
        <f>B15+D15</f>
        <v>77363.11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'[10]Accounts by GL'!O217</f>
        <v>463956.45</v>
      </c>
      <c r="C16" s="40"/>
      <c r="D16" s="41">
        <v>0</v>
      </c>
      <c r="E16" s="40"/>
      <c r="F16" s="41">
        <f>B16+D16</f>
        <v>463956.45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4913708.66</v>
      </c>
      <c r="C17" s="43"/>
      <c r="D17" s="44">
        <f>SUM(D14:D16)</f>
        <v>0</v>
      </c>
      <c r="E17" s="43"/>
      <c r="F17" s="44">
        <f>B17+D17</f>
        <v>4913708.66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4913708.66</v>
      </c>
      <c r="C23" s="43"/>
      <c r="D23" s="53">
        <f>D17+D19+D21</f>
        <v>0</v>
      </c>
      <c r="E23" s="46"/>
      <c r="F23" s="53">
        <f>F17+F19+F21</f>
        <v>4913708.66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621259.41</v>
      </c>
      <c r="C28" s="44"/>
      <c r="D28" s="50">
        <v>0</v>
      </c>
      <c r="E28" s="54"/>
      <c r="F28" s="44">
        <f t="shared" si="0"/>
        <v>621259.41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410596.28</v>
      </c>
      <c r="C29" s="44"/>
      <c r="D29" s="50">
        <v>0</v>
      </c>
      <c r="E29" s="54"/>
      <c r="F29" s="44">
        <f t="shared" si="0"/>
        <v>410596.28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5301064.57</v>
      </c>
      <c r="C30" s="44"/>
      <c r="D30" s="50">
        <v>0</v>
      </c>
      <c r="E30" s="55"/>
      <c r="F30" s="51">
        <f t="shared" si="0"/>
        <v>5301064.57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4829125.99</v>
      </c>
      <c r="C31" s="44"/>
      <c r="D31" s="50">
        <v>0</v>
      </c>
      <c r="E31" s="55"/>
      <c r="F31" s="51">
        <f t="shared" si="0"/>
        <v>4829125.99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11162046.25</v>
      </c>
      <c r="C33" s="43"/>
      <c r="D33" s="53">
        <f>SUM(D26:D32)</f>
        <v>0</v>
      </c>
      <c r="E33" s="46"/>
      <c r="F33" s="53">
        <f>SUM(F26:F32)</f>
        <v>11162046.25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8149078.0700000003</v>
      </c>
      <c r="C37" s="43"/>
      <c r="D37" s="60">
        <f>+D10+D23-D33-D35</f>
        <v>0</v>
      </c>
      <c r="E37" s="46"/>
      <c r="F37" s="60">
        <f>+F10+F23-F33-F35</f>
        <v>8149078.0700000003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31" priority="6">
      <formula>$F32&lt;&gt;0</formula>
    </cfRule>
  </conditionalFormatting>
  <conditionalFormatting sqref="A21">
    <cfRule type="expression" dxfId="130" priority="5">
      <formula>$F21&lt;&gt;0</formula>
    </cfRule>
  </conditionalFormatting>
  <conditionalFormatting sqref="A46">
    <cfRule type="expression" dxfId="129" priority="1">
      <formula>$F$21&lt;&gt;0</formula>
    </cfRule>
  </conditionalFormatting>
  <conditionalFormatting sqref="A45">
    <cfRule type="expression" dxfId="128" priority="4">
      <formula>$F$21&lt;&gt;0</formula>
    </cfRule>
  </conditionalFormatting>
  <conditionalFormatting sqref="A50">
    <cfRule type="expression" dxfId="127" priority="3">
      <formula>$F$32&lt;&gt;0</formula>
    </cfRule>
  </conditionalFormatting>
  <conditionalFormatting sqref="A51">
    <cfRule type="expression" dxfId="126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U111"/>
  <sheetViews>
    <sheetView zoomScale="90" zoomScaleNormal="90" zoomScaleSheetLayoutView="9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66" t="str">
        <f>'[11]Contact Information'!C5</f>
        <v>FLORIDA KEYS COMMUNITY COLLEGE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66" t="s">
        <v>0</v>
      </c>
      <c r="B2" s="66"/>
      <c r="C2" s="66"/>
      <c r="D2" s="66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6" t="s">
        <v>1</v>
      </c>
      <c r="B3" s="66"/>
      <c r="C3" s="66"/>
      <c r="D3" s="66"/>
      <c r="E3" s="66"/>
      <c r="F3" s="6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66" t="s">
        <v>41</v>
      </c>
      <c r="B4" s="66"/>
      <c r="C4" s="66"/>
      <c r="D4" s="66"/>
      <c r="E4" s="66"/>
      <c r="F4" s="6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tr">
        <f>'[11]Contact Information'!C3</f>
        <v>2015.v02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67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44</v>
      </c>
      <c r="B10" s="31">
        <f>VLOOKUP($A$1,[11]VLOOKUPS!A79:D106,2,FALSE)</f>
        <v>93960.3</v>
      </c>
      <c r="C10" s="31"/>
      <c r="D10" s="31">
        <f>VLOOKUP($A$1,[11]VLOOKUPS!A79:D106,3,FALSE)</f>
        <v>699.79</v>
      </c>
      <c r="E10" s="31"/>
      <c r="F10" s="31">
        <f>B10+D10</f>
        <v>94660.09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12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13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14</v>
      </c>
      <c r="B14" s="40">
        <f>'[11]Accounts by GL'!O215</f>
        <v>280709.36</v>
      </c>
      <c r="C14" s="40"/>
      <c r="D14" s="40">
        <v>0</v>
      </c>
      <c r="E14" s="40"/>
      <c r="F14" s="40">
        <f>B14+D14</f>
        <v>280709.36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15</v>
      </c>
      <c r="B15" s="40">
        <f>'[11]Accounts by GL'!O216</f>
        <v>4055.59</v>
      </c>
      <c r="C15" s="40"/>
      <c r="D15" s="40">
        <v>0</v>
      </c>
      <c r="E15" s="40"/>
      <c r="F15" s="40">
        <f>B15+D15</f>
        <v>4055.59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16</v>
      </c>
      <c r="B16" s="40">
        <f>'[11]Accounts by GL'!O217</f>
        <v>0</v>
      </c>
      <c r="C16" s="40"/>
      <c r="D16" s="41">
        <v>0</v>
      </c>
      <c r="E16" s="40"/>
      <c r="F16" s="41">
        <f>B16+D16</f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17</v>
      </c>
      <c r="B17" s="42">
        <f>SUM(B14:B16)</f>
        <v>284764.95</v>
      </c>
      <c r="C17" s="43"/>
      <c r="D17" s="44">
        <f>SUM(D14:D16)</f>
        <v>0</v>
      </c>
      <c r="E17" s="43"/>
      <c r="F17" s="44">
        <f>B17+D17</f>
        <v>284764.95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18</v>
      </c>
      <c r="B19" s="47">
        <v>0</v>
      </c>
      <c r="C19" s="44"/>
      <c r="D19" s="47">
        <v>0</v>
      </c>
      <c r="E19" s="47"/>
      <c r="F19" s="47">
        <f>B19+D19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19</v>
      </c>
      <c r="B21" s="49" t="s">
        <v>20</v>
      </c>
      <c r="C21" s="43"/>
      <c r="D21" s="50">
        <v>0</v>
      </c>
      <c r="E21" s="46"/>
      <c r="F21" s="51">
        <f>D21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21</v>
      </c>
      <c r="B23" s="52">
        <f>B17+B19</f>
        <v>284764.95</v>
      </c>
      <c r="C23" s="43"/>
      <c r="D23" s="53">
        <f>D17+D19+D21</f>
        <v>0</v>
      </c>
      <c r="E23" s="46"/>
      <c r="F23" s="53">
        <f>F17+F19+F21</f>
        <v>284764.95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22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23</v>
      </c>
      <c r="B26" s="50">
        <v>0</v>
      </c>
      <c r="C26" s="44"/>
      <c r="D26" s="50">
        <v>0</v>
      </c>
      <c r="E26" s="46"/>
      <c r="F26" s="51">
        <f t="shared" ref="F26:F32" si="0">B26+D26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24</v>
      </c>
      <c r="B27" s="50">
        <v>0</v>
      </c>
      <c r="C27" s="44"/>
      <c r="D27" s="50">
        <v>0</v>
      </c>
      <c r="E27" s="54"/>
      <c r="F27" s="44">
        <f t="shared" si="0"/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25</v>
      </c>
      <c r="B28" s="50">
        <v>0</v>
      </c>
      <c r="C28" s="44"/>
      <c r="D28" s="50">
        <v>0</v>
      </c>
      <c r="E28" s="54"/>
      <c r="F28" s="44">
        <f t="shared" si="0"/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26</v>
      </c>
      <c r="B29" s="50">
        <v>0</v>
      </c>
      <c r="C29" s="44"/>
      <c r="D29" s="50">
        <v>0</v>
      </c>
      <c r="E29" s="54"/>
      <c r="F29" s="44">
        <f t="shared" si="0"/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27</v>
      </c>
      <c r="B30" s="50">
        <v>0</v>
      </c>
      <c r="C30" s="44"/>
      <c r="D30" s="50">
        <v>0</v>
      </c>
      <c r="E30" s="55"/>
      <c r="F30" s="51">
        <f t="shared" si="0"/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28</v>
      </c>
      <c r="B31" s="50">
        <v>0</v>
      </c>
      <c r="C31" s="44"/>
      <c r="D31" s="50">
        <v>0</v>
      </c>
      <c r="E31" s="55"/>
      <c r="F31" s="51">
        <f t="shared" si="0"/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29</v>
      </c>
      <c r="B32" s="56">
        <v>0</v>
      </c>
      <c r="C32" s="44"/>
      <c r="D32" s="56">
        <v>0</v>
      </c>
      <c r="E32" s="55"/>
      <c r="F32" s="57">
        <f t="shared" si="0"/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30</v>
      </c>
      <c r="B33" s="52">
        <f>SUM(B26:B32)</f>
        <v>0</v>
      </c>
      <c r="C33" s="43"/>
      <c r="D33" s="53">
        <f>SUM(D26:D32)</f>
        <v>0</v>
      </c>
      <c r="E33" s="46"/>
      <c r="F33" s="53">
        <f>SUM(F26:F32)</f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31</v>
      </c>
      <c r="B35" s="59">
        <v>0</v>
      </c>
      <c r="C35" s="40"/>
      <c r="D35" s="59">
        <v>0</v>
      </c>
      <c r="E35" s="33"/>
      <c r="F35" s="40">
        <f>+B35+D35</f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43</v>
      </c>
      <c r="B37" s="60">
        <f>+B10+B23-B33-B35</f>
        <v>378725.25</v>
      </c>
      <c r="C37" s="43"/>
      <c r="D37" s="60">
        <f>+D10+D23-D33-D35</f>
        <v>699.79</v>
      </c>
      <c r="E37" s="46"/>
      <c r="F37" s="60">
        <f>+F10+F23-F33-F35</f>
        <v>379425.04000000004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70" t="s">
        <v>60</v>
      </c>
      <c r="B39" s="65"/>
      <c r="C39" s="65"/>
      <c r="D39" s="65"/>
      <c r="E39" s="68"/>
      <c r="F39" s="6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70" t="s">
        <v>61</v>
      </c>
      <c r="B40" s="65"/>
      <c r="C40" s="65"/>
      <c r="D40" s="65"/>
      <c r="E40" s="68"/>
      <c r="F40" s="6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70" t="s">
        <v>62</v>
      </c>
      <c r="B41" s="70"/>
      <c r="C41" s="70"/>
      <c r="D41" s="70"/>
      <c r="E41" s="68"/>
      <c r="F41" s="68"/>
    </row>
    <row r="42" spans="1:255" s="2" customFormat="1" ht="12.75" customHeight="1">
      <c r="A42" s="70" t="s">
        <v>63</v>
      </c>
      <c r="B42" s="70"/>
      <c r="C42" s="70"/>
      <c r="D42" s="70"/>
      <c r="E42" s="68"/>
      <c r="F42" s="68"/>
    </row>
    <row r="43" spans="1:255" s="2" customFormat="1" ht="23.25" customHeight="1">
      <c r="A43" s="70" t="s">
        <v>64</v>
      </c>
      <c r="B43" s="70"/>
      <c r="C43" s="70"/>
      <c r="D43" s="70"/>
      <c r="E43" s="68"/>
      <c r="F43" s="68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32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69"/>
      <c r="B46" s="69"/>
      <c r="C46" s="69"/>
      <c r="D46" s="69"/>
      <c r="E46" s="69"/>
      <c r="F46" s="6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69"/>
      <c r="B47" s="69"/>
      <c r="C47" s="69"/>
      <c r="D47" s="69"/>
      <c r="E47" s="69"/>
      <c r="F47" s="6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69"/>
      <c r="B48" s="69"/>
      <c r="C48" s="69"/>
      <c r="D48" s="69"/>
      <c r="E48" s="69"/>
      <c r="F48" s="6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69"/>
      <c r="B49" s="69"/>
      <c r="C49" s="69"/>
      <c r="D49" s="69"/>
      <c r="E49" s="69"/>
      <c r="F49" s="69"/>
    </row>
    <row r="50" spans="1:6">
      <c r="A50" s="63" t="s">
        <v>33</v>
      </c>
      <c r="B50" s="64"/>
      <c r="C50" s="63"/>
      <c r="D50" s="64"/>
      <c r="E50" s="64"/>
      <c r="F50" s="64"/>
    </row>
    <row r="51" spans="1:6" ht="15" customHeight="1">
      <c r="A51" s="69"/>
      <c r="B51" s="69"/>
      <c r="C51" s="69"/>
      <c r="D51" s="69"/>
      <c r="E51" s="69"/>
      <c r="F51" s="69"/>
    </row>
    <row r="52" spans="1:6">
      <c r="A52" s="69"/>
      <c r="B52" s="69"/>
      <c r="C52" s="69"/>
      <c r="D52" s="69"/>
      <c r="E52" s="69"/>
      <c r="F52" s="69"/>
    </row>
    <row r="53" spans="1:6">
      <c r="A53" s="69"/>
      <c r="B53" s="69"/>
      <c r="C53" s="69"/>
      <c r="D53" s="69"/>
      <c r="E53" s="69"/>
      <c r="F53" s="69"/>
    </row>
    <row r="54" spans="1:6">
      <c r="A54" s="69"/>
      <c r="B54" s="69"/>
      <c r="C54" s="69"/>
      <c r="D54" s="69"/>
      <c r="E54" s="69"/>
      <c r="F54" s="69"/>
    </row>
    <row r="57" spans="1:6">
      <c r="A57" s="6"/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/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15" hidden="1" customHeight="1">
      <c r="A79" s="8"/>
      <c r="B79" s="9"/>
      <c r="C79" s="5"/>
      <c r="D79" s="9"/>
      <c r="E79" s="1"/>
      <c r="F79" s="1"/>
      <c r="G79" s="5"/>
    </row>
    <row r="80" spans="1:7" ht="15" hidden="1" customHeight="1">
      <c r="A80" s="10"/>
      <c r="B80" s="11"/>
      <c r="C80" s="5"/>
      <c r="D80" s="11"/>
      <c r="E80" s="1"/>
      <c r="F80" s="1"/>
      <c r="G80" s="5"/>
    </row>
    <row r="81" spans="1:7" ht="15" hidden="1" customHeight="1">
      <c r="A81" s="10"/>
      <c r="B81" s="11"/>
      <c r="C81" s="5"/>
      <c r="D81" s="11"/>
      <c r="E81" s="1"/>
      <c r="F81" s="1"/>
      <c r="G81" s="5"/>
    </row>
    <row r="82" spans="1:7" ht="15" hidden="1" customHeight="1">
      <c r="A82" s="10"/>
      <c r="B82" s="11"/>
      <c r="C82" s="5"/>
      <c r="D82" s="11"/>
      <c r="E82" s="1"/>
      <c r="F82" s="1"/>
      <c r="G82" s="5"/>
    </row>
    <row r="83" spans="1:7" ht="15" hidden="1" customHeight="1">
      <c r="A83" s="10"/>
      <c r="B83" s="11"/>
      <c r="C83" s="5"/>
      <c r="D83" s="11"/>
      <c r="E83" s="1"/>
      <c r="F83" s="1"/>
      <c r="G83" s="5"/>
    </row>
    <row r="84" spans="1:7" ht="15" hidden="1" customHeight="1">
      <c r="A84" s="12"/>
      <c r="B84" s="13"/>
      <c r="C84" s="5"/>
      <c r="D84" s="13"/>
      <c r="E84" s="1"/>
      <c r="F84" s="1"/>
      <c r="G84" s="5"/>
    </row>
    <row r="85" spans="1:7" ht="15" hidden="1" customHeight="1">
      <c r="A85" s="12"/>
      <c r="B85" s="13"/>
      <c r="C85" s="5"/>
      <c r="D85" s="13"/>
      <c r="E85" s="1"/>
      <c r="F85" s="1"/>
      <c r="G85" s="5"/>
    </row>
    <row r="86" spans="1:7" ht="15" hidden="1" customHeight="1">
      <c r="A86" s="12"/>
      <c r="B86" s="13"/>
      <c r="C86" s="5"/>
      <c r="D86" s="13"/>
      <c r="E86" s="1"/>
      <c r="F86" s="1"/>
      <c r="G86" s="5"/>
    </row>
    <row r="87" spans="1:7" ht="15" hidden="1" customHeight="1">
      <c r="A87" s="12"/>
      <c r="B87" s="13"/>
      <c r="C87" s="5"/>
      <c r="D87" s="13"/>
      <c r="E87" s="1"/>
      <c r="F87" s="1"/>
      <c r="G87" s="5"/>
    </row>
    <row r="88" spans="1:7" ht="15" hidden="1" customHeight="1">
      <c r="A88" s="12"/>
      <c r="B88" s="13"/>
      <c r="C88" s="5"/>
      <c r="D88" s="13"/>
      <c r="E88" s="1"/>
      <c r="F88" s="1"/>
      <c r="G88" s="5"/>
    </row>
    <row r="89" spans="1:7" ht="15" hidden="1" customHeight="1">
      <c r="A89" s="12"/>
      <c r="B89" s="13"/>
      <c r="C89" s="5"/>
      <c r="D89" s="13"/>
      <c r="E89" s="1"/>
      <c r="F89" s="1"/>
      <c r="G89" s="1"/>
    </row>
    <row r="90" spans="1:7" ht="15" hidden="1" customHeight="1">
      <c r="A90" s="12"/>
      <c r="B90" s="13"/>
      <c r="C90" s="5"/>
      <c r="D90" s="13"/>
      <c r="E90" s="1"/>
      <c r="F90" s="1"/>
      <c r="G90" s="1"/>
    </row>
    <row r="91" spans="1:7" ht="15" hidden="1" customHeight="1">
      <c r="A91" s="12"/>
      <c r="B91" s="13"/>
      <c r="C91" s="5"/>
      <c r="D91" s="13"/>
      <c r="E91" s="1"/>
      <c r="F91" s="1"/>
      <c r="G91" s="1"/>
    </row>
    <row r="92" spans="1:7" ht="15" hidden="1" customHeight="1">
      <c r="A92" s="12"/>
      <c r="B92" s="13"/>
      <c r="C92" s="5"/>
      <c r="D92" s="13"/>
      <c r="E92" s="1"/>
      <c r="F92" s="1"/>
      <c r="G92" s="1"/>
    </row>
    <row r="93" spans="1:7" ht="15" hidden="1" customHeight="1">
      <c r="A93" s="12"/>
      <c r="B93" s="13"/>
      <c r="C93" s="5"/>
      <c r="D93" s="13"/>
      <c r="E93" s="1"/>
      <c r="F93" s="1"/>
      <c r="G93" s="1"/>
    </row>
    <row r="94" spans="1:7" ht="15" hidden="1" customHeight="1">
      <c r="A94" s="12"/>
      <c r="B94" s="13"/>
      <c r="C94" s="5"/>
      <c r="D94" s="13"/>
      <c r="E94" s="1"/>
      <c r="F94" s="1"/>
      <c r="G94" s="1"/>
    </row>
    <row r="95" spans="1:7" ht="15" hidden="1" customHeight="1">
      <c r="A95" s="12"/>
      <c r="B95" s="13"/>
      <c r="C95" s="5"/>
      <c r="D95" s="13"/>
      <c r="E95" s="1"/>
      <c r="F95" s="1"/>
      <c r="G95" s="1"/>
    </row>
    <row r="96" spans="1:7" ht="15" hidden="1" customHeight="1">
      <c r="A96" s="12"/>
      <c r="B96" s="13"/>
      <c r="C96" s="5"/>
      <c r="D96" s="13"/>
      <c r="E96" s="1"/>
      <c r="F96" s="1"/>
      <c r="G96" s="1"/>
    </row>
    <row r="97" spans="1:4" ht="15" hidden="1" customHeight="1">
      <c r="A97" s="12"/>
      <c r="B97" s="13"/>
      <c r="C97" s="5"/>
      <c r="D97" s="13"/>
    </row>
    <row r="98" spans="1:4" ht="15" hidden="1" customHeight="1">
      <c r="A98" s="12"/>
      <c r="B98" s="13"/>
      <c r="C98" s="5"/>
      <c r="D98" s="13"/>
    </row>
    <row r="99" spans="1:4" ht="15" hidden="1" customHeight="1">
      <c r="A99" s="12"/>
      <c r="B99" s="13"/>
      <c r="C99" s="5"/>
      <c r="D99" s="13"/>
    </row>
    <row r="100" spans="1:4" ht="15" hidden="1" customHeight="1">
      <c r="A100" s="12"/>
      <c r="B100" s="13"/>
      <c r="C100" s="5"/>
      <c r="D100" s="13"/>
    </row>
    <row r="101" spans="1:4" ht="15" hidden="1" customHeight="1">
      <c r="A101" s="12"/>
      <c r="B101" s="13"/>
      <c r="C101" s="5"/>
      <c r="D101" s="13"/>
    </row>
    <row r="102" spans="1:4" ht="15" hidden="1" customHeight="1">
      <c r="A102" s="12"/>
      <c r="B102" s="13"/>
      <c r="C102" s="5"/>
      <c r="D102" s="13"/>
    </row>
    <row r="103" spans="1:4" ht="15" hidden="1" customHeight="1">
      <c r="A103" s="12"/>
      <c r="B103" s="13"/>
      <c r="C103" s="5"/>
      <c r="D103" s="13"/>
    </row>
    <row r="104" spans="1:4" ht="15" hidden="1" customHeight="1">
      <c r="A104" s="12"/>
      <c r="B104" s="13"/>
      <c r="C104" s="5"/>
      <c r="D104" s="13"/>
    </row>
    <row r="105" spans="1:4" ht="15" hidden="1" customHeight="1">
      <c r="A105" s="12"/>
      <c r="B105" s="13"/>
      <c r="C105" s="5"/>
      <c r="D105" s="13"/>
    </row>
    <row r="106" spans="1:4" ht="15" hidden="1" customHeight="1">
      <c r="A106" s="12"/>
      <c r="B106" s="13"/>
      <c r="C106" s="5"/>
      <c r="D106" s="13"/>
    </row>
    <row r="107" spans="1:4" ht="15" hidden="1" customHeight="1">
      <c r="A107" s="12"/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25" priority="6">
      <formula>$F32&lt;&gt;0</formula>
    </cfRule>
  </conditionalFormatting>
  <conditionalFormatting sqref="A21">
    <cfRule type="expression" dxfId="124" priority="5">
      <formula>$F21&lt;&gt;0</formula>
    </cfRule>
  </conditionalFormatting>
  <conditionalFormatting sqref="A46">
    <cfRule type="expression" dxfId="123" priority="1">
      <formula>$F$21&lt;&gt;0</formula>
    </cfRule>
  </conditionalFormatting>
  <conditionalFormatting sqref="A45">
    <cfRule type="expression" dxfId="122" priority="4">
      <formula>$F$21&lt;&gt;0</formula>
    </cfRule>
  </conditionalFormatting>
  <conditionalFormatting sqref="A50">
    <cfRule type="expression" dxfId="121" priority="3">
      <formula>$F$32&lt;&gt;0</formula>
    </cfRule>
  </conditionalFormatting>
  <conditionalFormatting sqref="A51">
    <cfRule type="expression" dxfId="120" priority="2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2015-12-23T21:12:52Z</cp:lastPrinted>
  <dcterms:created xsi:type="dcterms:W3CDTF">2014-10-13T18:15:16Z</dcterms:created>
  <dcterms:modified xsi:type="dcterms:W3CDTF">2020-02-13T15:24:36Z</dcterms:modified>
</cp:coreProperties>
</file>