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Valencia\"/>
    </mc:Choice>
  </mc:AlternateContent>
  <xr:revisionPtr revIDLastSave="0" documentId="8_{6A1EF8A7-29E8-4366-9945-9BEED96FAC51}"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G'!$B$9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E70" i="22" l="1"/>
  <c r="C93" i="3"/>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s="1"/>
  <c r="G38" i="7"/>
  <c r="G43" i="7" s="1"/>
  <c r="H17" i="6"/>
  <c r="H28"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126" i="3"/>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5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7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E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1F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3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<sst xmlns="http://schemas.openxmlformats.org/spreadsheetml/2006/main" count="1303" uniqueCount="788">
  <si>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</si>
  <si>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</si>
  <si>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</si>
  <si>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</si>
  <si>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</si>
  <si>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</si>
  <si>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</si>
  <si>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</si>
  <si>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</si>
  <si>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</si>
  <si>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</si>
  <si>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</si>
  <si>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</si>
  <si>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</si>
  <si>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</si>
  <si>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</si>
  <si>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</si>
  <si>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</si>
  <si>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</si>
  <si>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</si>
  <si>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</si>
  <si>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</si>
  <si>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</si>
  <si>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</si>
  <si>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</si>
  <si>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</si>
  <si>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</si>
  <si>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</si>
  <si>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</si>
  <si>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</si>
  <si>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</si>
  <si>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</si>
  <si>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</si>
  <si>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</si>
  <si>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</si>
  <si>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</si>
  <si>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</si>
  <si>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</si>
  <si>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</si>
  <si>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</si>
  <si>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</si>
  <si>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</si>
  <si>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</si>
  <si>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</si>
  <si>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</si>
  <si>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</si>
  <si>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</si>
  <si>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</si>
  <si>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</si>
  <si>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</si>
  <si>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</si>
  <si>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</si>
  <si>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</si>
  <si>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</si>
  <si>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</si>
  <si>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</si>
  <si>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</si>
  <si>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</si>
  <si>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</si>
  <si>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</si>
  <si>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</si>
  <si>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</si>
  <si>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</si>
  <si>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</si>
  <si>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</si>
  <si>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</si>
  <si>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</si>
  <si>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</si>
  <si>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</si>
  <si>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</si>
  <si>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</si>
  <si>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</si>
  <si>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</si>
  <si>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</si>
  <si>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</si>
  <si>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</si>
  <si>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</si>
  <si>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</si>
  <si>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</si>
  <si>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</si>
  <si>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</si>
  <si>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</si>
  <si>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</si>
  <si>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</si>
  <si>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</si>
  <si>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</si>
  <si>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</si>
  <si>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</si>
  <si>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</si>
  <si>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</si>
  <si>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</si>
  <si>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</si>
  <si>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</si>
  <si>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</si>
  <si>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</si>
  <si>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</si>
  <si>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</si>
  <si>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</si>
  <si>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</si>
  <si>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</si>
  <si>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</si>
  <si>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</si>
  <si>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</si>
  <si>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</si>
  <si>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</si>
  <si>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</si>
  <si>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</si>
  <si>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</si>
  <si>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</si>
  <si>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</si>
  <si>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</si>
  <si>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</si>
  <si>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</si>
  <si>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</si>
  <si>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</si>
  <si>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</si>
  <si>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</si>
  <si>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</si>
  <si>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</si>
  <si>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</si>
  <si>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</si>
  <si>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</si>
  <si>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</si>
  <si>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</si>
  <si>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</si>
  <si>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</si>
  <si>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</si>
  <si>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</si>
  <si>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</si>
  <si>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</si>
  <si>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</si>
  <si>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</si>
  <si>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</si>
  <si>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</si>
  <si>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</si>
  <si>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</si>
  <si>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</si>
  <si>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</si>
  <si>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</si>
  <si>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</si>
  <si>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</si>
  <si>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</si>
  <si>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</si>
  <si>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</si>
  <si>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</si>
  <si>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</si>
  <si>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</si>
  <si>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</si>
  <si>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</si>
  <si>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</si>
  <si>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</si>
  <si>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</si>
  <si>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</si>
  <si>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</si>
  <si>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</si>
  <si>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</si>
  <si>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</si>
  <si>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</si>
  <si>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</si>
  <si>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</si>
  <si>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</si>
  <si>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</si>
  <si>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</si>
  <si>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</si>
  <si>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</si>
  <si>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</si>
  <si>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</si>
  <si>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</si>
  <si>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</si>
  <si>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</si>
  <si>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</si>
  <si>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</si>
  <si>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</si>
  <si>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</si>
  <si>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</si>
  <si>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</si>
  <si>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</si>
  <si>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</si>
  <si>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</si>
  <si>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</si>
  <si>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</si>
  <si>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</si>
  <si>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</si>
  <si>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</si>
  <si>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</si>
  <si>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</si>
  <si>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</si>
  <si>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</si>
  <si>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</si>
  <si>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</si>
  <si>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</si>
  <si>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</si>
  <si>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</si>
  <si>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</si>
  <si>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</si>
  <si>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</si>
  <si>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</si>
  <si>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</si>
  <si>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</si>
  <si>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</si>
  <si>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</si>
  <si>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</si>
  <si>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</si>
  <si>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</si>
  <si>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</si>
  <si>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</si>
  <si>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</si>
  <si>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</si>
  <si>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</si>
  <si>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</si>
  <si>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</si>
  <si>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</si>
  <si>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</si>
  <si>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</si>
  <si>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</si>
  <si>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</si>
  <si>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</si>
  <si>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</si>
  <si>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</si>
  <si>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</si>
  <si>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</si>
  <si>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</si>
  <si>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</si>
  <si>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</si>
  <si>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</si>
  <si>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</si>
  <si>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</si>
  <si>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</si>
  <si>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</si>
  <si>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</si>
  <si>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</si>
  <si>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</si>
  <si>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</si>
  <si>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</si>
  <si>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</si>
  <si>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</si>
  <si>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</si>
  <si>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</si>
  <si>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</si>
  <si>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</si>
  <si>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</si>
  <si>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</si>
  <si>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</si>
  <si>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</si>
  <si>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</si>
  <si>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</si>
  <si>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</si>
  <si>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</si>
  <si>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</si>
  <si>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</si>
  <si>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</si>
  <si>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</si>
  <si>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</si>
  <si>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</si>
  <si>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</si>
  <si>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</si>
  <si>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</si>
  <si>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</si>
  <si>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</si>
  <si>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</si>
  <si>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</si>
  <si>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</si>
  <si>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</si>
  <si>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</si>
  <si>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</si>
  <si>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</si>
  <si>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</si>
  <si>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</si>
  <si>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</si>
  <si>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</si>
  <si>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</si>
  <si>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</si>
  <si>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</si>
  <si>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</si>
  <si>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</si>
  <si>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</si>
  <si>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</si>
  <si>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</si>
  <si>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</si>
  <si>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</si>
  <si>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</si>
  <si>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</si>
  <si>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</si>
  <si>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</si>
  <si>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</si>
  <si>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</si>
  <si>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</si>
  <si>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</si>
  <si>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</si>
  <si>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</si>
  <si>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</si>
  <si>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</si>
  <si>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</si>
  <si>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</si>
  <si>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</si>
  <si>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</si>
  <si>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</si>
  <si>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</si>
  <si>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</si>
  <si>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</si>
  <si>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</si>
  <si>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</si>
  <si>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</si>
  <si>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</si>
  <si>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</si>
  <si>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</si>
  <si>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</si>
  <si>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</si>
  <si>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</si>
  <si>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</si>
  <si>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</si>
  <si>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</si>
  <si>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</si>
  <si>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</si>
  <si>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</si>
  <si>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</si>
  <si>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</si>
  <si>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</si>
  <si>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</si>
  <si>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</si>
  <si>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</si>
  <si>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</si>
  <si>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</si>
  <si>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</si>
  <si>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</si>
  <si>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</si>
  <si>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</si>
  <si>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</si>
  <si>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</si>
  <si>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</si>
  <si>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</si>
  <si>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</si>
  <si>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</si>
  <si>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</si>
  <si>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</si>
  <si>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</si>
  <si>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</si>
  <si>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</si>
  <si>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</si>
  <si>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</si>
  <si>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</si>
  <si>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</si>
  <si>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</si>
  <si>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</si>
  <si>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</si>
  <si>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</si>
  <si>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</si>
  <si>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</si>
  <si>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</si>
  <si>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</si>
  <si>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</si>
  <si>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</si>
  <si>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</si>
  <si>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</si>
  <si>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</si>
  <si>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</si>
  <si>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</si>
  <si>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</si>
  <si>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</si>
  <si>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</si>
  <si>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</si>
  <si>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</si>
  <si>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</si>
  <si>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</si>
  <si>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</si>
  <si>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</si>
  <si>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</si>
  <si>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</si>
  <si>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</si>
  <si>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</si>
  <si>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</si>
  <si>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</si>
  <si>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</si>
  <si>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</si>
  <si>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</si>
  <si>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</si>
  <si>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</si>
  <si>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</si>
  <si>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</si>
  <si>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</si>
  <si>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</si>
  <si>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</si>
  <si>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</si>
  <si>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</si>
  <si>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</si>
  <si>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</si>
  <si>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</si>
  <si>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</si>
  <si>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</si>
  <si>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</si>
  <si>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</si>
  <si>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</si>
  <si>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</si>
  <si>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</si>
  <si>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</si>
  <si>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</si>
  <si>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</si>
  <si>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</si>
  <si>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</si>
  <si>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</si>
  <si>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</si>
  <si>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</si>
  <si>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</si>
  <si>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</si>
  <si>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</si>
  <si>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</si>
  <si>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</si>
  <si>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</si>
  <si>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</si>
  <si>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</si>
  <si>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</si>
  <si>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</si>
  <si>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</si>
  <si>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</si>
  <si>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</si>
  <si>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</si>
  <si>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</si>
  <si>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</si>
  <si>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</si>
  <si>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</si>
  <si>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</si>
  <si>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</si>
  <si>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</si>
  <si>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</si>
  <si>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</si>
  <si>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</si>
  <si>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</si>
  <si>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</si>
  <si>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</si>
  <si>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</si>
  <si>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</si>
  <si>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</si>
  <si>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</si>
  <si>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</si>
  <si>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</si>
  <si>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</si>
  <si>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</si>
  <si>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</si>
  <si>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</si>
  <si>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</si>
  <si>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</si>
  <si>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</si>
  <si>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</si>
  <si>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</si>
  <si>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</si>
  <si>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</si>
  <si>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</si>
  <si>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</si>
  <si>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</si>
  <si>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</si>
  <si>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</si>
  <si>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</si>
  <si>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</si>
  <si>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</si>
  <si>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</si>
  <si>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</si>
  <si>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</si>
  <si>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</si>
  <si>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</si>
  <si>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</si>
  <si>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</si>
  <si>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</si>
  <si>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</si>
  <si>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</si>
  <si>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</si>
  <si>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</si>
  <si>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</si>
  <si>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</si>
  <si>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</si>
  <si>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</si>
  <si>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</si>
  <si>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</si>
  <si>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</si>
  <si>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</si>
  <si>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</si>
  <si>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</si>
  <si>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</si>
  <si>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</si>
  <si>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</si>
  <si>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</si>
  <si>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</si>
  <si>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</si>
  <si>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</si>
  <si>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</si>
  <si>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</si>
  <si>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</si>
  <si>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</si>
  <si>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</si>
  <si>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</si>
  <si>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</si>
  <si>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</si>
  <si>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</si>
  <si>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</si>
  <si>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</si>
  <si>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</si>
  <si>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</si>
  <si>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</si>
  <si>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</si>
  <si>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</si>
  <si>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</si>
  <si>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</si>
  <si>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</si>
  <si>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</si>
  <si>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</si>
  <si>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</si>
  <si>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</si>
  <si>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</si>
  <si>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</si>
  <si>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</si>
  <si>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</si>
  <si>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</si>
  <si>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</si>
  <si>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</si>
  <si>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</si>
  <si>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</si>
  <si>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</si>
  <si>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</si>
  <si>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</si>
  <si>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</si>
  <si>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</si>
  <si>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</si>
  <si>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</si>
  <si>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</si>
  <si>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</si>
  <si>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</si>
  <si>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</si>
  <si>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</si>
  <si>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</si>
  <si>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</si>
  <si>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</si>
  <si>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</si>
  <si>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</si>
  <si>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</si>
  <si>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</si>
  <si>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</si>
  <si>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</si>
  <si>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</si>
  <si>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</si>
  <si>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</si>
  <si>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</si>
  <si>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</si>
  <si>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</si>
  <si>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</si>
  <si>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</si>
  <si>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</si>
  <si>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</si>
  <si>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</si>
  <si>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</si>
  <si>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</si>
  <si>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</si>
  <si>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</si>
  <si>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</si>
  <si>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</si>
  <si>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</si>
  <si>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</si>
  <si>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</si>
  <si>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</si>
  <si>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</si>
  <si>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</si>
  <si>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</si>
  <si>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</si>
  <si>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</si>
  <si>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</si>
  <si>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</si>
  <si>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</si>
  <si>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</si>
  <si>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</si>
  <si>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</si>
  <si>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</si>
  <si>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</si>
  <si>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</si>
  <si>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</si>
  <si>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</si>
  <si>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</si>
  <si>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</si>
  <si>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</si>
  <si>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</si>
  <si>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</si>
  <si>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</si>
  <si>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</si>
  <si>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</si>
  <si>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</si>
  <si>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</si>
  <si>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</si>
  <si>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</si>
  <si>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</si>
  <si>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</si>
  <si>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</si>
  <si>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</si>
  <si>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</si>
  <si>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</si>
  <si>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</si>
  <si>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</si>
  <si>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</si>
  <si>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</si>
  <si>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</si>
  <si>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</si>
  <si>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</si>
  <si>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</si>
  <si>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</si>
  <si>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</si>
  <si>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</si>
  <si>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</si>
  <si>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</si>
  <si>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</si>
  <si>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</si>
  <si>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</si>
  <si>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</si>
  <si>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</si>
  <si>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</si>
  <si>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</si>
  <si>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</si>
  <si>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</si>
  <si>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</si>
  <si>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</si>
  <si>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</si>
  <si>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</si>
  <si>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</si>
  <si>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</si>
  <si>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</si>
  <si>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</si>
  <si>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</si>
  <si>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</si>
  <si>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</si>
  <si>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</si>
  <si>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</si>
  <si>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</si>
  <si>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</si>
  <si>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</si>
  <si>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</si>
  <si>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</si>
  <si>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</si>
  <si>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</si>
  <si>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</si>
  <si>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</si>
  <si>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</si>
  <si>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</si>
  <si>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</si>
  <si>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</si>
  <si>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</si>
  <si>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</si>
  <si>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</si>
  <si>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</si>
  <si>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</si>
  <si>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</si>
  <si>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</si>
  <si>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</si>
  <si>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</si>
  <si>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</si>
  <si>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</si>
  <si>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</si>
  <si>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</si>
  <si>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</si>
  <si>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</si>
  <si>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</si>
  <si>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</si>
  <si>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</si>
  <si>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</si>
  <si>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</si>
  <si>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</si>
  <si>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</si>
  <si>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</si>
  <si>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</si>
  <si>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</si>
  <si>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</si>
  <si>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</si>
  <si>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</si>
  <si>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</si>
  <si>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</si>
  <si>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</si>
  <si>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</si>
  <si>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</si>
  <si>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</si>
  <si>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</si>
  <si>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</si>
  <si>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</si>
  <si>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</si>
  <si>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</si>
  <si>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</si>
  <si>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</si>
  <si>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</si>
  <si>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</si>
  <si>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</si>
  <si>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</si>
  <si>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</si>
  <si>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</si>
  <si>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</si>
  <si>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</si>
  <si>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</si>
  <si>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</si>
  <si>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</si>
  <si>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</si>
  <si>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</si>
  <si>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</si>
  <si>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</si>
  <si>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</si>
  <si>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</si>
  <si>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</si>
  <si>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</si>
  <si>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</si>
  <si>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</si>
  <si>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</si>
  <si>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</si>
  <si>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</si>
  <si>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</si>
  <si>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</si>
  <si>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</si>
  <si>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</si>
  <si>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</si>
  <si>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</si>
  <si>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</si>
  <si>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</si>
  <si>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</si>
  <si>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</si>
  <si>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</si>
  <si>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</si>
  <si>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</si>
  <si>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</si>
  <si>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</si>
  <si>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</si>
  <si>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</si>
  <si>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</si>
  <si>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</si>
  <si>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</si>
  <si>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</si>
  <si>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</si>
  <si>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</si>
  <si>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</si>
  <si>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</si>
  <si>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</si>
  <si>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</si>
  <si>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</si>
  <si>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</si>
  <si>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</si>
  <si>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</si>
  <si>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</si>
  <si>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</si>
  <si>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</si>
  <si>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</si>
  <si>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</si>
  <si>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</si>
  <si>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</si>
  <si>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</si>
  <si>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</si>
  <si>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</si>
  <si>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</si>
  <si>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</si>
  <si>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</si>
  <si>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</si>
  <si>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</si>
  <si>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</si>
  <si>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</si>
  <si>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</si>
  <si>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</si>
  <si>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</si>
  <si>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</si>
  <si>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</si>
  <si>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</si>
  <si>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</si>
  <si>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</si>
  <si>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</si>
  <si>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</si>
  <si>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</si>
  <si>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</si>
  <si>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</si>
  <si>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</si>
  <si>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</si>
  <si>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</si>
  <si>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</si>
  <si>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</si>
  <si>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</si>
  <si>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</si>
  <si>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</si>
  <si>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</si>
  <si>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</si>
  <si>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</si>
  <si>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</si>
  <si>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</si>
  <si>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</si>
  <si>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</si>
  <si>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</si>
  <si>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</si>
  <si>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</si>
  <si>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</si>
  <si>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Fund 3</t>
  </si>
  <si>
    <t>Fund 1</t>
  </si>
  <si>
    <t>Valencia estimates a migration of students from the non resident to resident category as the college works to improve residency processing for students.</t>
  </si>
  <si>
    <t>Valencia College will be introducing two new bachelor degree programs - Bachelor of Science in Elementary Education and Bachelor of Applied Science in Public Safety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</si>
</sst>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pageSetUpPr fitToPage="1"/>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Valencia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95789268</v>
      </c>
      <c r="C10" s="450">
        <v>3014815</v>
      </c>
      <c r="D10" s="450">
        <v>327541</v>
      </c>
      <c r="E10" s="369">
        <f>SUM(B10:D10)</f>
        <v>99131624</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35682086</v>
      </c>
      <c r="C14" s="452">
        <v>6330744</v>
      </c>
      <c r="D14" s="452">
        <v>2938596</v>
      </c>
      <c r="E14" s="370">
        <f t="shared" ref="E14:E20" si="0">SUM(B14:D14)</f>
        <v>44951426</v>
      </c>
      <c r="F14" s="352"/>
    </row>
    <row r="15" spans="1:8" s="17" customFormat="1" ht="20.100000000000001" customHeight="1">
      <c r="A15" s="368" t="s">
        <v>585</v>
      </c>
      <c r="B15" s="451">
        <v>1971192</v>
      </c>
      <c r="C15" s="440">
        <v>737710</v>
      </c>
      <c r="D15" s="440">
        <v>0</v>
      </c>
      <c r="E15" s="370">
        <f>SUM(B15:D15)</f>
        <v>2708902</v>
      </c>
      <c r="F15" s="352"/>
    </row>
    <row r="16" spans="1:8" s="17" customFormat="1" ht="20.100000000000001" customHeight="1">
      <c r="A16" s="368" t="s">
        <v>586</v>
      </c>
      <c r="B16" s="451">
        <v>27123970</v>
      </c>
      <c r="C16" s="440">
        <v>935947</v>
      </c>
      <c r="D16" s="440">
        <v>15328</v>
      </c>
      <c r="E16" s="370">
        <f t="shared" si="0"/>
        <v>28075245</v>
      </c>
      <c r="F16" s="352"/>
    </row>
    <row r="17" spans="1:6" s="17" customFormat="1" ht="20.100000000000001" customHeight="1">
      <c r="A17" s="368" t="s">
        <v>587</v>
      </c>
      <c r="B17" s="451">
        <v>45369234</v>
      </c>
      <c r="C17" s="440">
        <v>26741600</v>
      </c>
      <c r="D17" s="440">
        <v>236071</v>
      </c>
      <c r="E17" s="370">
        <f t="shared" si="0"/>
        <v>72346905</v>
      </c>
      <c r="F17" s="352"/>
    </row>
    <row r="18" spans="1:6" s="17" customFormat="1" ht="20.100000000000001" customHeight="1">
      <c r="A18" s="368" t="s">
        <v>588</v>
      </c>
      <c r="B18" s="451">
        <v>15884808</v>
      </c>
      <c r="C18" s="440">
        <v>9265352</v>
      </c>
      <c r="D18" s="440">
        <v>605936</v>
      </c>
      <c r="E18" s="370">
        <f t="shared" si="0"/>
        <v>25756096</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0</v>
      </c>
      <c r="D20" s="441">
        <v>0</v>
      </c>
      <c r="E20" s="370">
        <f t="shared" si="0"/>
        <v>0</v>
      </c>
      <c r="F20" s="352"/>
    </row>
    <row r="21" spans="1:6" s="17" customFormat="1" ht="24" customHeight="1" thickBot="1">
      <c r="A21" s="293" t="s">
        <v>49</v>
      </c>
      <c r="B21" s="353">
        <f>SUM(B10:B20)</f>
        <v>221820558</v>
      </c>
      <c r="C21" s="356">
        <f>SUM(C10:C20)</f>
        <v>47026168</v>
      </c>
      <c r="D21" s="356">
        <f>SUM(D10:D20)</f>
        <v>4123472</v>
      </c>
      <c r="E21" s="355">
        <f>SUM(E10:E20)</f>
        <v>272970198</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bZtYrMFzhtQg7pRUOqLhDh9+4xUp4sWNg+1McgHdG75cv3PIZBpgtpa5/s1gUEJgz23wMre0jeYnAv8+5yi4cw==" saltValue="z/D7L7nfVjVE1fB2M6wyQ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rintOptions horizontalCentered="1"/>
  <pageMargins left="0.75" right="0.75" top="1" bottom="1" header="0.5" footer="0.5"/>
  <pageSetup scale="74" orientation="portrait" r:id="rId1"/>
  <headerFooter alignWithMargins="0"/>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pageSetUpPr fitToPage="1"/>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Valencia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13667</v>
      </c>
      <c r="E11" s="756">
        <v>0</v>
      </c>
      <c r="F11" s="757">
        <f t="shared" si="0"/>
        <v>13667</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1004766</v>
      </c>
      <c r="E15" s="756">
        <v>0</v>
      </c>
      <c r="F15" s="757">
        <f t="shared" si="0"/>
        <v>1004766</v>
      </c>
      <c r="I15" s="88"/>
      <c r="J15" s="29"/>
      <c r="K15" s="93"/>
      <c r="L15" s="93"/>
      <c r="M15" s="93"/>
      <c r="N15" s="93"/>
    </row>
    <row r="16" spans="1:224" s="17" customFormat="1" ht="30" customHeight="1">
      <c r="A16" s="753" t="s">
        <v>409</v>
      </c>
      <c r="B16" s="754"/>
      <c r="C16" s="755" t="s">
        <v>410</v>
      </c>
      <c r="D16" s="756">
        <v>240661</v>
      </c>
      <c r="E16" s="756">
        <v>0</v>
      </c>
      <c r="F16" s="757">
        <f t="shared" si="0"/>
        <v>240661</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7962</v>
      </c>
      <c r="E18" s="756">
        <v>0</v>
      </c>
      <c r="F18" s="757">
        <f t="shared" si="0"/>
        <v>7962</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68744</v>
      </c>
      <c r="E25" s="756">
        <v>0</v>
      </c>
      <c r="F25" s="757">
        <f t="shared" si="0"/>
        <v>68744</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65711</v>
      </c>
      <c r="E30" s="756">
        <v>0</v>
      </c>
      <c r="F30" s="757">
        <f t="shared" si="0"/>
        <v>65711</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668698</v>
      </c>
      <c r="E34" s="756">
        <v>0</v>
      </c>
      <c r="F34" s="757">
        <f t="shared" si="0"/>
        <v>668698</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11604</v>
      </c>
      <c r="E41" s="756">
        <v>0</v>
      </c>
      <c r="F41" s="757">
        <f t="shared" si="0"/>
        <v>11604</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116162</v>
      </c>
      <c r="E48" s="756">
        <v>0</v>
      </c>
      <c r="F48" s="757">
        <f t="shared" si="0"/>
        <v>116162</v>
      </c>
    </row>
    <row r="49" spans="1:6" s="17" customFormat="1" ht="30" customHeight="1">
      <c r="A49" s="753" t="s">
        <v>471</v>
      </c>
      <c r="B49" s="754"/>
      <c r="C49" s="755" t="s">
        <v>472</v>
      </c>
      <c r="D49" s="756">
        <v>191011</v>
      </c>
      <c r="E49" s="756">
        <v>0</v>
      </c>
      <c r="F49" s="757">
        <f t="shared" si="0"/>
        <v>191011</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164763</v>
      </c>
      <c r="E54" s="756">
        <v>0</v>
      </c>
      <c r="F54" s="757">
        <f t="shared" si="0"/>
        <v>164763</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2553749</v>
      </c>
      <c r="E57" s="268">
        <f>SUM(E10:E56)</f>
        <v>0</v>
      </c>
      <c r="F57" s="268">
        <f t="shared" si="0"/>
        <v>2553749</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2789</v>
      </c>
      <c r="E67" s="756">
        <v>0</v>
      </c>
      <c r="F67" s="757">
        <f t="shared" si="0"/>
        <v>2789</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1446864</v>
      </c>
      <c r="E73" s="756">
        <v>0</v>
      </c>
      <c r="F73" s="757">
        <f t="shared" si="0"/>
        <v>1446864</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16529</v>
      </c>
      <c r="E77" s="756">
        <v>0</v>
      </c>
      <c r="F77" s="757">
        <f t="shared" si="1"/>
        <v>16529</v>
      </c>
    </row>
    <row r="78" spans="1:6" s="17" customFormat="1" ht="30" customHeight="1">
      <c r="A78" s="753" t="s">
        <v>513</v>
      </c>
      <c r="B78" s="754"/>
      <c r="C78" s="763" t="s">
        <v>514</v>
      </c>
      <c r="D78" s="756">
        <v>2860</v>
      </c>
      <c r="E78" s="756">
        <v>0</v>
      </c>
      <c r="F78" s="757">
        <f t="shared" si="1"/>
        <v>2860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36000</v>
      </c>
      <c r="E81" s="756">
        <v>0</v>
      </c>
      <c r="F81" s="757">
        <f t="shared" ref="F81:F86" si="2">+D81+E81</f>
        <v>36000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1505042</v>
      </c>
      <c r="E93" s="264">
        <f>SUM(E64:E92)</f>
        <v>0</v>
      </c>
      <c r="F93" s="264">
        <f t="shared" si="1"/>
        <v>1505042</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4058791</v>
      </c>
      <c r="E113" s="264">
        <f>+E57+E93+E111</f>
        <v>0</v>
      </c>
      <c r="F113" s="264">
        <f>SUM(D113:E113)</f>
        <v>4058791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3762564</v>
      </c>
      <c r="E118" s="756">
        <v>0</v>
      </c>
      <c r="F118" s="757">
        <f t="shared" ref="F118:F128" si="3">+D118+E118</f>
        <v>3762564</v>
      </c>
    </row>
    <row r="119" spans="1:6" s="69" customFormat="1" ht="30" customHeight="1">
      <c r="A119" s="753" t="s">
        <v>611</v>
      </c>
      <c r="B119" s="602"/>
      <c r="C119" s="765"/>
      <c r="D119" s="1080">
        <f>'EXHIBIT C'!F19</f>
        <v>296227</v>
      </c>
      <c r="E119" s="756">
        <v>0</v>
      </c>
      <c r="F119" s="757">
        <f t="shared" si="3"/>
        <v>296227</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4058791</v>
      </c>
      <c r="E129" s="258">
        <f>SUM(E117:E128)</f>
        <v>0</v>
      </c>
      <c r="F129" s="259">
        <f>SUM(F117:F128)</f>
        <v>4058791</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afhVaHi/WYKcVEhL+Ma3y0U4IbzhpE9/sdgyynf6vTcCQT74CfZzv/UDrB2/7hQCr3V1K0pjcf1UwK+rcfAlqA==" saltValue="0JyAir4+O6X6hVbOa6VjKg==" spinCount="100000" sheet="1" objects="1" scenarios="1"/>
  <protectedRanges>
    <protectedRange sqref="A7:D7 C96:D96 A61:D61" name="Range1_1_1"/>
  </protectedRanges>
  <phoneticPr fontId="0" type="noConversion"/>
  <printOptions horizontalCentered="1"/>
  <pageMargins left="0.25" right="0.25" top="0.75" bottom="0.25" header="0.25" footer="0.2"/>
  <pageSetup scale="37"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C108" sqref="C108"/>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48</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0.17229743694254468</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37530</v>
      </c>
      <c r="E44" s="114">
        <f>+'EXHIBIT C'!F10</f>
        <v>40991</v>
      </c>
      <c r="F44" s="115">
        <f t="shared" ref="F44:F50" si="0">IF(D44=0,"0",(E44/D44-1))</f>
        <v>9.2219557687183595E-2</v>
      </c>
      <c r="G44" s="116" t="str">
        <f t="shared" ref="G44:G50" si="1">IF(OR(F44&gt;3%, F44&lt;-3%),"YES","NO")</f>
        <v>YES</v>
      </c>
      <c r="H44" s="88"/>
    </row>
    <row r="45" spans="1:8" ht="20.100000000000001" customHeight="1">
      <c r="C45" s="117" t="s">
        <v>126</v>
      </c>
      <c r="D45" s="650">
        <f>VLOOKUP($D$7,VLOOKUP!$A$109:$S$137,5)*30+D60</f>
        <v>590219.9100001466</v>
      </c>
      <c r="E45" s="118">
        <f>+'EXHIBIT C'!F11</f>
        <v>606783</v>
      </c>
      <c r="F45" s="651">
        <f t="shared" si="0"/>
        <v>2.806257416807445E-2</v>
      </c>
      <c r="G45" s="652" t="str">
        <f t="shared" si="1"/>
        <v>NO</v>
      </c>
      <c r="H45" s="88"/>
    </row>
    <row r="46" spans="1:8" ht="20.100000000000001" customHeight="1">
      <c r="C46" s="653" t="s">
        <v>127</v>
      </c>
      <c r="D46" s="654">
        <f>VLOOKUP($D$7,VLOOKUP!$A$109:$S$137,8)*30</f>
        <v>222943.5694383707</v>
      </c>
      <c r="E46" s="655">
        <f>+'EXHIBIT C'!F12</f>
        <v>229575</v>
      </c>
      <c r="F46" s="651">
        <f t="shared" si="0"/>
        <v>2.9744883776351649E-2</v>
      </c>
      <c r="G46" s="652" t="str">
        <f t="shared" si="1"/>
        <v>NO</v>
      </c>
      <c r="H46" s="88"/>
    </row>
    <row r="47" spans="1:8" ht="20.100000000000001" customHeight="1">
      <c r="C47" s="653" t="s">
        <v>76</v>
      </c>
      <c r="D47" s="654">
        <f>VLOOKUP($D$7,VLOOKUP!$A$109:$S$137,17)*30</f>
        <v>6253.3739342265535</v>
      </c>
      <c r="E47" s="655">
        <f>+'EXHIBIT C'!F13</f>
        <v>6349</v>
      </c>
      <c r="F47" s="651">
        <f t="shared" si="0"/>
        <v>1.5291915497017916E-2</v>
      </c>
      <c r="G47" s="652" t="str">
        <f t="shared" si="1"/>
        <v>NO</v>
      </c>
      <c r="H47" s="88"/>
    </row>
    <row r="48" spans="1:8" ht="20.100000000000001" customHeight="1">
      <c r="C48" s="653" t="s">
        <v>128</v>
      </c>
      <c r="D48" s="654">
        <f>VLOOKUP($D$7,VLOOKUP!$A$109:$S$137,11)*30</f>
        <v>23986.237942122185</v>
      </c>
      <c r="E48" s="655">
        <f>+'EXHIBIT C'!F14</f>
        <v>24695</v>
      </c>
      <c r="F48" s="651">
        <f t="shared" si="0"/>
        <v>2.9548696197712498E-2</v>
      </c>
      <c r="G48" s="652" t="str">
        <f t="shared" si="1"/>
        <v>NO</v>
      </c>
      <c r="H48" s="88"/>
    </row>
    <row r="49" spans="3:8" ht="20.100000000000001" customHeight="1" thickBot="1">
      <c r="C49" s="656" t="s">
        <v>129</v>
      </c>
      <c r="D49" s="657">
        <f>VLOOKUP($D$7,VLOOKUP!$A$109:$S$137,14)*30</f>
        <v>1620</v>
      </c>
      <c r="E49" s="658">
        <f>+'EXHIBIT C'!F15</f>
        <v>1644</v>
      </c>
      <c r="F49" s="659">
        <f t="shared" si="0"/>
        <v>1.4814814814814836E-2</v>
      </c>
      <c r="G49" s="660" t="str">
        <f t="shared" si="1"/>
        <v>NO</v>
      </c>
      <c r="H49" s="88"/>
    </row>
    <row r="50" spans="3:8" ht="20.100000000000001" customHeight="1" thickBot="1">
      <c r="C50" s="119" t="s">
        <v>49</v>
      </c>
      <c r="D50" s="120">
        <f>SUM(D44:D49)</f>
        <v>882553.09131486597</v>
      </c>
      <c r="E50" s="121">
        <f>+'EXHIBIT C'!F17</f>
        <v>910037</v>
      </c>
      <c r="F50" s="122">
        <f t="shared" si="0"/>
        <v>3.1141365834645995E-2</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787</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1075.74</v>
      </c>
      <c r="F59" s="662" t="str">
        <f t="shared" ref="F59:F65" si="2">IF(D59=0,"0",(E59/D59-1))</f>
        <v>0</v>
      </c>
      <c r="G59" s="663" t="str">
        <f>IF(OR(F59&gt;5%, F59&lt;-5%),"YES","NO")</f>
        <v>NO</v>
      </c>
    </row>
    <row r="60" spans="3:8" ht="20.100000000000001" customHeight="1">
      <c r="C60" s="117" t="s">
        <v>126</v>
      </c>
      <c r="D60" s="661">
        <f>VLOOKUP($D$7,VLOOKUP!$A$109:$S$137,6)*30</f>
        <v>49355.877987169399</v>
      </c>
      <c r="E60" s="131">
        <f>+'EXHIBIT C'!D20</f>
        <v>43050.96</v>
      </c>
      <c r="F60" s="662">
        <f t="shared" si="2"/>
        <v>-0.1277440143767361</v>
      </c>
      <c r="G60" s="663" t="str">
        <f t="shared" ref="G60:G65" si="3">IF(OR(F60&gt;5%, F60&lt;-5%),"YES","NO")</f>
        <v>YES</v>
      </c>
      <c r="H60" s="88"/>
    </row>
    <row r="61" spans="3:8" ht="20.100000000000001" customHeight="1">
      <c r="C61" s="653" t="s">
        <v>127</v>
      </c>
      <c r="D61" s="664">
        <f>VLOOKUP($D$7,VLOOKUP!$A$109:$S$137,9)*30</f>
        <v>16872.573873930156</v>
      </c>
      <c r="E61" s="665">
        <f>+'EXHIBIT C'!D21</f>
        <v>14875.65</v>
      </c>
      <c r="F61" s="662">
        <f t="shared" si="2"/>
        <v>-0.11835324526364099</v>
      </c>
      <c r="G61" s="663" t="str">
        <f t="shared" si="3"/>
        <v>YES</v>
      </c>
      <c r="H61" s="88"/>
    </row>
    <row r="62" spans="3:8" ht="20.100000000000001" customHeight="1">
      <c r="C62" s="653" t="s">
        <v>76</v>
      </c>
      <c r="D62" s="664">
        <f>VLOOKUP($D$7,VLOOKUP!$A$109:$S$137,18)*30</f>
        <v>1126.6260657734472</v>
      </c>
      <c r="E62" s="665">
        <f>+'EXHIBIT C'!D22</f>
        <v>457.65</v>
      </c>
      <c r="F62" s="662">
        <f t="shared" si="2"/>
        <v>-0.59378713674104833</v>
      </c>
      <c r="G62" s="663" t="str">
        <f t="shared" si="3"/>
        <v>YES</v>
      </c>
      <c r="H62" s="88"/>
    </row>
    <row r="63" spans="3:8" ht="20.100000000000001" customHeight="1">
      <c r="C63" s="653" t="s">
        <v>128</v>
      </c>
      <c r="D63" s="664">
        <f>VLOOKUP($D$7,VLOOKUP!$A$109:$S$137,12)*30</f>
        <v>6133.7620578778133</v>
      </c>
      <c r="E63" s="665">
        <f>+'EXHIBIT C'!D23</f>
        <v>4925.8500000000004</v>
      </c>
      <c r="F63" s="662">
        <f t="shared" si="2"/>
        <v>-0.19692841790731797</v>
      </c>
      <c r="G63" s="663" t="str">
        <f t="shared" si="3"/>
        <v>YES</v>
      </c>
      <c r="H63" s="88"/>
    </row>
    <row r="64" spans="3:8" ht="20.100000000000001" customHeight="1" thickBot="1">
      <c r="C64" s="656" t="s">
        <v>129</v>
      </c>
      <c r="D64" s="666">
        <f>VLOOKUP($D$7,VLOOKUP!$A$109:$S$137,15)*30</f>
        <v>0</v>
      </c>
      <c r="E64" s="667">
        <f>+'EXHIBIT C'!D24</f>
        <v>4.9000000000000004</v>
      </c>
      <c r="F64" s="668" t="str">
        <f t="shared" si="2"/>
        <v>0</v>
      </c>
      <c r="G64" s="669" t="str">
        <f t="shared" si="3"/>
        <v>NO</v>
      </c>
      <c r="H64" s="88"/>
    </row>
    <row r="65" spans="1:8" ht="20.100000000000001" customHeight="1" thickBot="1">
      <c r="C65" s="119" t="s">
        <v>49</v>
      </c>
      <c r="D65" s="132">
        <f>SUM(D59:D64)</f>
        <v>73488.839984750826</v>
      </c>
      <c r="E65" s="133">
        <f>SUM(E59:E64)</f>
        <v>64390.75</v>
      </c>
      <c r="F65" s="134">
        <f t="shared" si="2"/>
        <v>-0.12380233497546989</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786</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110093250.74129009</v>
      </c>
      <c r="E84" s="1127">
        <f>+'EXHIBIT D'!G76</f>
        <v>110093250.74129009</v>
      </c>
      <c r="F84" s="1127">
        <f>D84-E84</f>
        <v>0</v>
      </c>
      <c r="G84" s="88"/>
      <c r="H84" s="88"/>
    </row>
    <row r="85" spans="1:8" ht="20.100000000000001" customHeight="1">
      <c r="A85" s="98"/>
      <c r="B85" s="98"/>
      <c r="C85" s="672" t="s">
        <v>150</v>
      </c>
      <c r="D85" s="671">
        <f>VLOOKUP($D$7,VLOOKUP!$A$150:$B$178,2)</f>
        <v>4516182</v>
      </c>
      <c r="E85" s="1127">
        <f>'EXHIBIT D'!G78</f>
        <v>4516182</v>
      </c>
      <c r="F85" s="1127">
        <f>D85-E85</f>
        <v>0</v>
      </c>
      <c r="G85" s="88"/>
      <c r="H85" s="88"/>
    </row>
    <row r="86" spans="1:8" ht="20.100000000000001" customHeight="1">
      <c r="A86" s="98"/>
      <c r="B86" s="98"/>
      <c r="C86" s="672" t="s">
        <v>151</v>
      </c>
      <c r="D86" s="671">
        <f>VLOOKUP($D$7,VLOOKUP!$A$7:$E$35,3)</f>
        <v>15737996.258709911</v>
      </c>
      <c r="E86" s="1127">
        <f>'EXHIBIT D'!G82</f>
        <v>15737996.258709911</v>
      </c>
      <c r="F86" s="1127">
        <f>D86-E86</f>
        <v>0</v>
      </c>
      <c r="G86" s="88"/>
      <c r="H86" s="88"/>
    </row>
    <row r="87" spans="1:8" ht="20.100000000000001" customHeight="1" thickBot="1">
      <c r="A87" s="97"/>
      <c r="B87" s="97"/>
      <c r="C87" s="143" t="s">
        <v>696</v>
      </c>
      <c r="D87" s="671">
        <f>VLOOKUP($D$7,VLOOKUP!$A$185:$B$213,2)</f>
        <v>2111359</v>
      </c>
      <c r="E87" s="1128">
        <f>'EXHIBIT D'!G77</f>
        <v>2111359</v>
      </c>
      <c r="F87" s="1127">
        <f>D87-E87</f>
        <v>0</v>
      </c>
      <c r="G87" s="88"/>
      <c r="H87" s="88"/>
    </row>
    <row r="88" spans="1:8" ht="20.100000000000001" customHeight="1" thickBot="1">
      <c r="A88" s="97"/>
      <c r="B88" s="97"/>
      <c r="C88" s="144" t="s">
        <v>152</v>
      </c>
      <c r="D88" s="145">
        <f>SUM(D84:D87)</f>
        <v>132458788</v>
      </c>
      <c r="E88" s="145">
        <f>SUM(E84:E87)</f>
        <v>132458788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56739158</v>
      </c>
      <c r="D101" s="819" t="s">
        <v>741</v>
      </c>
      <c r="E101" s="819"/>
      <c r="F101" s="819"/>
      <c r="G101" s="88"/>
      <c r="H101" s="88"/>
    </row>
    <row r="102" spans="1:8" ht="20.100000000000001" customHeight="1">
      <c r="A102" s="95"/>
      <c r="B102" s="95"/>
      <c r="C102" s="674">
        <f>'EXHIBIT D'!G267-'EXHIBIT D'!G253-'EXHIBIT D'!G265</f>
        <v>56739158</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134777303</v>
      </c>
      <c r="D108" s="17" t="s">
        <v>743</v>
      </c>
    </row>
    <row r="109" spans="1:8" ht="26.25" customHeight="1">
      <c r="A109" s="151"/>
      <c r="B109" s="151"/>
      <c r="C109" s="676">
        <f>'EXHIBIT A'!E36</f>
        <v>135372303</v>
      </c>
      <c r="D109" s="17" t="s">
        <v>744</v>
      </c>
    </row>
    <row r="110" spans="1:8" ht="26.1" customHeight="1">
      <c r="A110" s="151"/>
      <c r="B110" s="151"/>
      <c r="C110" s="677">
        <f>C108-C109</f>
        <v>-595000</v>
      </c>
      <c r="D110" s="89" t="s">
        <v>160</v>
      </c>
      <c r="E110" s="89"/>
      <c r="F110" s="89"/>
      <c r="G110" s="89"/>
    </row>
    <row r="111" spans="1:8" ht="20.100000000000001" customHeight="1">
      <c r="A111" s="151"/>
      <c r="B111" s="151"/>
      <c r="C111" s="154"/>
    </row>
    <row r="112" spans="1:8" ht="26.1" customHeight="1">
      <c r="A112" s="151"/>
      <c r="B112" s="151"/>
      <c r="C112" s="675">
        <f>'EXHIBIT D'!G187</f>
        <v>595000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91.790002683515894</v>
      </c>
      <c r="D119" s="17" t="s">
        <v>81</v>
      </c>
    </row>
    <row r="120" spans="1:8" ht="20.100000000000001" customHeight="1">
      <c r="C120" s="157"/>
    </row>
    <row r="121" spans="1:8" ht="20.100000000000001" customHeight="1">
      <c r="C121" s="158">
        <f>IF('EXHIBIT G'!D119=0,"No Credit Hours or Not Applicable",('EXHIBIT G'!D119/'EXHIBIT C'!D19))</f>
        <v>275.37044267202111</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Valencia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-78438145</v>
      </c>
    </row>
    <row r="14" spans="2:7" ht="25.35" customHeight="1">
      <c r="B14" s="17" t="s">
        <v>174</v>
      </c>
      <c r="D14" s="28"/>
      <c r="E14" s="1136">
        <v>134777303</v>
      </c>
    </row>
    <row r="15" spans="2:7" ht="25.35" customHeight="1">
      <c r="B15" s="28"/>
      <c r="D15" s="28"/>
      <c r="E15" s="162"/>
    </row>
    <row r="16" spans="2:7" ht="25.35" customHeight="1">
      <c r="B16" s="17" t="s">
        <v>732</v>
      </c>
      <c r="C16" s="28"/>
      <c r="D16" s="28"/>
      <c r="E16" s="578">
        <f>+E14+E13</f>
        <v>56339158</v>
      </c>
    </row>
    <row r="17" spans="2:7" ht="25.35" customHeight="1">
      <c r="B17" s="28"/>
      <c r="C17" s="28"/>
      <c r="D17" s="28"/>
      <c r="E17" s="163"/>
    </row>
    <row r="18" spans="2:7" ht="25.35" customHeight="1">
      <c r="B18" s="17" t="s">
        <v>175</v>
      </c>
      <c r="C18" s="28"/>
      <c r="D18" s="28"/>
      <c r="E18" s="173">
        <f>+'EXHIBIT D'!G143-SUM(+'EXHIBIT D'!G133+'EXHIBIT D'!G134)</f>
        <v>270970198</v>
      </c>
      <c r="G18" s="138"/>
    </row>
    <row r="19" spans="2:7" ht="25.35" customHeight="1">
      <c r="B19" s="17" t="s">
        <v>176</v>
      </c>
      <c r="D19" s="28"/>
      <c r="E19" s="578">
        <f>+'EXHIBIT D'!G133+'EXHIBIT D'!G134</f>
        <v>2000000</v>
      </c>
    </row>
    <row r="20" spans="2:7" ht="25.35" customHeight="1">
      <c r="B20" s="28"/>
      <c r="D20" s="28"/>
      <c r="E20" s="168"/>
    </row>
    <row r="21" spans="2:7" ht="25.35" customHeight="1">
      <c r="B21" s="17" t="s">
        <v>177</v>
      </c>
      <c r="C21" s="28"/>
      <c r="D21" s="28"/>
      <c r="E21" s="579">
        <f>+E19+E18</f>
        <v>272970198</v>
      </c>
    </row>
    <row r="22" spans="2:7" ht="25.35" customHeight="1">
      <c r="B22" s="28"/>
      <c r="C22" s="28"/>
      <c r="D22" s="28"/>
      <c r="E22" s="168"/>
    </row>
    <row r="23" spans="2:7" ht="25.35" customHeight="1">
      <c r="B23" s="28" t="s">
        <v>178</v>
      </c>
      <c r="C23" s="28"/>
      <c r="D23" s="28"/>
      <c r="E23" s="579">
        <f>+E21+E16</f>
        <v>329309356</v>
      </c>
    </row>
    <row r="24" spans="2:7" ht="25.35" customHeight="1">
      <c r="B24" s="28"/>
      <c r="C24" s="28"/>
      <c r="D24" s="28"/>
      <c r="E24" s="168"/>
    </row>
    <row r="25" spans="2:7" ht="25.35" customHeight="1">
      <c r="B25" s="17" t="s">
        <v>179</v>
      </c>
      <c r="C25" s="28"/>
      <c r="D25" s="28"/>
      <c r="E25" s="174">
        <f>'EXHIBIT D'!G249-SUM(+'EXHIBIT D'!G223+'EXHIBIT D'!G224)</f>
        <v>272970198</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272970198</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56339158</v>
      </c>
      <c r="E32" s="164"/>
    </row>
    <row r="33" spans="2:10" ht="25.35" customHeight="1">
      <c r="B33" s="17" t="s">
        <v>183</v>
      </c>
      <c r="C33" s="28"/>
      <c r="D33" s="581">
        <f>+'EXHIBIT D'!G187</f>
        <v>595000</v>
      </c>
      <c r="E33" s="164"/>
    </row>
    <row r="34" spans="2:10" ht="25.35" customHeight="1">
      <c r="B34" s="28"/>
      <c r="D34" s="28"/>
      <c r="E34" s="164"/>
      <c r="J34" s="166"/>
    </row>
    <row r="35" spans="2:10" ht="25.35" customHeight="1">
      <c r="B35" s="17" t="s">
        <v>734</v>
      </c>
      <c r="C35" s="28"/>
      <c r="D35" s="28"/>
      <c r="E35" s="167">
        <f>+D32+D33</f>
        <v>56934158</v>
      </c>
    </row>
    <row r="36" spans="2:10" ht="25.35" customHeight="1">
      <c r="B36" s="17" t="s">
        <v>735</v>
      </c>
      <c r="C36" s="28"/>
      <c r="D36" s="28"/>
      <c r="E36" s="579">
        <f>-'EXHIBIT D'!G265</f>
        <v>135372303</v>
      </c>
      <c r="J36" s="48"/>
    </row>
    <row r="37" spans="2:10" ht="25.35" customHeight="1">
      <c r="D37" s="28"/>
      <c r="E37" s="167"/>
    </row>
    <row r="38" spans="2:10" ht="25.35" customHeight="1">
      <c r="B38" s="28" t="s">
        <v>736</v>
      </c>
      <c r="D38" s="28"/>
      <c r="E38" s="578">
        <f>+E35-E36</f>
        <v>-78438145</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56739158</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0.17229743694254468</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2ISjoM+Yqa9kpgIfz77PBllT7IpsjO5O8XL19ne1cQx+t5omAVcDAacqxDn6v6jEJ1hRWN4JT/eZl0ah4sqYJA==" saltValue="0qHe5mloYC1uSpGCK4SMP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pageSetUpPr fitToPage="1"/>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Valencia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3.83</v>
      </c>
      <c r="D14" s="962">
        <v>7.07</v>
      </c>
      <c r="E14" s="962">
        <v>5.67</v>
      </c>
      <c r="F14" s="962">
        <v>3.83</v>
      </c>
      <c r="G14" s="679">
        <f>SUM(B14:F14)</f>
        <v>112.19</v>
      </c>
      <c r="H14" s="365">
        <f>G14*30</f>
        <v>3365.7</v>
      </c>
    </row>
    <row r="15" spans="1:18" s="17" customFormat="1" ht="20.100000000000001" customHeight="1">
      <c r="A15" s="28" t="s">
        <v>201</v>
      </c>
      <c r="B15" s="963">
        <v>82.66</v>
      </c>
      <c r="C15" s="963">
        <v>3.83</v>
      </c>
      <c r="D15" s="963">
        <v>7.07</v>
      </c>
      <c r="E15" s="963">
        <v>5.67</v>
      </c>
      <c r="F15" s="963">
        <v>3.83</v>
      </c>
      <c r="G15" s="679">
        <f>SUM(B15:F15)</f>
        <v>103.06</v>
      </c>
      <c r="H15" s="338">
        <f>G15*30</f>
        <v>3091.8</v>
      </c>
    </row>
    <row r="16" spans="1:18" s="17" customFormat="1" ht="20.100000000000001" customHeight="1" thickBot="1">
      <c r="A16" s="28" t="s">
        <v>76</v>
      </c>
      <c r="B16" s="964">
        <v>73.400000000000006</v>
      </c>
      <c r="C16" s="964">
        <v>0</v>
      </c>
      <c r="D16" s="965"/>
      <c r="E16" s="964">
        <v>3.41</v>
      </c>
      <c r="F16" s="964">
        <v>3.67</v>
      </c>
      <c r="G16" s="339">
        <f>SUM(B16:F16)</f>
        <v>80.48</v>
      </c>
      <c r="H16" s="680">
        <f>G16*30</f>
        <v>2414.4</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15.34</v>
      </c>
      <c r="E29" s="536">
        <f>D14</f>
        <v>7.07</v>
      </c>
      <c r="F29" s="962">
        <v>22.68</v>
      </c>
      <c r="G29" s="962">
        <v>15.34</v>
      </c>
      <c r="H29" s="346">
        <f>SUM(B29:G29)</f>
        <v>427.59</v>
      </c>
      <c r="I29" s="359">
        <f>H29*30</f>
        <v>12827.699999999999</v>
      </c>
    </row>
    <row r="30" spans="1:11" s="17" customFormat="1" ht="20.100000000000001" customHeight="1">
      <c r="A30" s="28" t="str">
        <f t="shared" si="0"/>
        <v>LOWER LEVEL - CREDIT (A &amp; P, PSV, DEVELOPMENTAL EDUCATION AND EPI)</v>
      </c>
      <c r="B30" s="683">
        <f t="shared" si="0"/>
        <v>82.66</v>
      </c>
      <c r="C30" s="966">
        <v>247.87</v>
      </c>
      <c r="D30" s="966">
        <v>15.34</v>
      </c>
      <c r="E30" s="684">
        <f>D15</f>
        <v>7.07</v>
      </c>
      <c r="F30" s="966">
        <v>22.68</v>
      </c>
      <c r="G30" s="966">
        <v>15.34</v>
      </c>
      <c r="H30" s="679">
        <f>SUM(B30:G30)</f>
        <v>390.95999999999992</v>
      </c>
      <c r="I30" s="338">
        <f>H30*30</f>
        <v>11728.799999999997</v>
      </c>
    </row>
    <row r="31" spans="1:11" s="17" customFormat="1" ht="20.100000000000001" customHeight="1">
      <c r="A31" s="28" t="str">
        <f t="shared" si="0"/>
        <v>CAREER CERTIFICATE AND APPLIED TECHNOLOGY DIPLOMA</v>
      </c>
      <c r="B31" s="1148">
        <f t="shared" si="0"/>
        <v>73.400000000000006</v>
      </c>
      <c r="C31" s="963">
        <v>220.19</v>
      </c>
      <c r="D31" s="963">
        <v>0</v>
      </c>
      <c r="E31" s="1149"/>
      <c r="F31" s="963">
        <v>7.07</v>
      </c>
      <c r="G31" s="963">
        <v>14.68</v>
      </c>
      <c r="H31" s="1150">
        <f>SUM(B31:G31)</f>
        <v>315.34000000000003</v>
      </c>
      <c r="I31" s="1150">
        <f>H31*30</f>
        <v>9460.2000000000007</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P2Tzqkl6nJ0/oHVx3MfB1vwTov2I79H0rNIxtgOoSrkb/5us2l0F6uRSgBKbb/NeZy0hYA2W0gM9aQjfg0/DCw==" saltValue="Js3/9YeZsWDN8DT5PrNb1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rintOptions horizontalCentered="1"/>
  <pageMargins left="0.75" right="0.75" top="1" bottom="1" header="0.5" footer="0.5"/>
  <pageSetup scale="37" orientation="portrait"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pageSetUpPr fitToPage="1"/>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Valencia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40991</v>
      </c>
      <c r="E10" s="539"/>
      <c r="F10" s="540">
        <f t="shared" ref="F10:F15" si="0">+D10-E10</f>
        <v>40991</v>
      </c>
      <c r="G10" s="540">
        <f>'EXHIBIT B'!B14</f>
        <v>91.79</v>
      </c>
      <c r="H10" s="541">
        <f>ROUND(+F10*G10,0)</f>
        <v>3762564</v>
      </c>
    </row>
    <row r="11" spans="1:9" ht="20.100000000000001" customHeight="1">
      <c r="A11" s="690" t="s">
        <v>194</v>
      </c>
      <c r="B11" s="690" t="s">
        <v>126</v>
      </c>
      <c r="C11" s="691" t="s">
        <v>221</v>
      </c>
      <c r="D11" s="689">
        <v>691343</v>
      </c>
      <c r="E11" s="689">
        <v>84560</v>
      </c>
      <c r="F11" s="692">
        <f t="shared" si="0"/>
        <v>606783</v>
      </c>
      <c r="G11" s="692">
        <f>+'EXHIBIT B'!B15</f>
        <v>82.66</v>
      </c>
      <c r="H11" s="693">
        <f t="shared" ref="H11:H15" si="1">ROUND(+F11*G11,0)</f>
        <v>50156683</v>
      </c>
    </row>
    <row r="12" spans="1:9" ht="20.100000000000001" customHeight="1">
      <c r="A12" s="690" t="s">
        <v>194</v>
      </c>
      <c r="B12" s="690" t="s">
        <v>127</v>
      </c>
      <c r="C12" s="691" t="s">
        <v>222</v>
      </c>
      <c r="D12" s="689">
        <v>243975</v>
      </c>
      <c r="E12" s="689">
        <v>14400</v>
      </c>
      <c r="F12" s="692">
        <f t="shared" si="0"/>
        <v>229575</v>
      </c>
      <c r="G12" s="692">
        <f>+'EXHIBIT B'!B15</f>
        <v>82.66</v>
      </c>
      <c r="H12" s="693">
        <f t="shared" si="1"/>
        <v>18976670</v>
      </c>
    </row>
    <row r="13" spans="1:9" ht="20.100000000000001" customHeight="1">
      <c r="A13" s="690" t="s">
        <v>194</v>
      </c>
      <c r="B13" s="690" t="s">
        <v>76</v>
      </c>
      <c r="C13" s="691" t="s">
        <v>223</v>
      </c>
      <c r="D13" s="694">
        <v>6349</v>
      </c>
      <c r="E13" s="694">
        <v>0</v>
      </c>
      <c r="F13" s="692">
        <f t="shared" si="0"/>
        <v>6349</v>
      </c>
      <c r="G13" s="692">
        <f>+'EXHIBIT B'!B16</f>
        <v>73.400000000000006</v>
      </c>
      <c r="H13" s="693">
        <f t="shared" si="1"/>
        <v>466017</v>
      </c>
    </row>
    <row r="14" spans="1:9" ht="20.100000000000001" customHeight="1">
      <c r="A14" s="690" t="s">
        <v>194</v>
      </c>
      <c r="B14" s="690" t="s">
        <v>128</v>
      </c>
      <c r="C14" s="691" t="s">
        <v>224</v>
      </c>
      <c r="D14" s="689">
        <v>24695</v>
      </c>
      <c r="E14" s="689">
        <v>0</v>
      </c>
      <c r="F14" s="692">
        <f t="shared" si="0"/>
        <v>24695</v>
      </c>
      <c r="G14" s="692">
        <f>+'EXHIBIT B'!B15</f>
        <v>82.66</v>
      </c>
      <c r="H14" s="693">
        <f t="shared" si="1"/>
        <v>2041289</v>
      </c>
    </row>
    <row r="15" spans="1:9" ht="20.100000000000001" customHeight="1" thickBot="1">
      <c r="A15" s="695" t="s">
        <v>194</v>
      </c>
      <c r="B15" s="695" t="s">
        <v>129</v>
      </c>
      <c r="C15" s="696">
        <v>40160</v>
      </c>
      <c r="D15" s="697">
        <v>1644</v>
      </c>
      <c r="E15" s="697">
        <v>0</v>
      </c>
      <c r="F15" s="698">
        <f t="shared" si="0"/>
        <v>1644</v>
      </c>
      <c r="G15" s="698">
        <f>+'EXHIBIT B'!B15</f>
        <v>82.66</v>
      </c>
      <c r="H15" s="699">
        <f t="shared" si="1"/>
        <v>135893</v>
      </c>
    </row>
    <row r="16" spans="1:9" ht="24.95" customHeight="1" thickBot="1">
      <c r="A16" s="296"/>
      <c r="B16" s="296"/>
      <c r="C16" s="296"/>
      <c r="D16" s="297"/>
      <c r="E16" s="297"/>
      <c r="F16" s="298"/>
      <c r="G16" s="298"/>
      <c r="H16" s="299"/>
    </row>
    <row r="17" spans="1:9" ht="24.95" customHeight="1" thickBot="1">
      <c r="A17" s="300"/>
      <c r="B17" s="301" t="s">
        <v>225</v>
      </c>
      <c r="C17" s="301"/>
      <c r="D17" s="302">
        <f>SUM(D10:D15)</f>
        <v>1008997</v>
      </c>
      <c r="E17" s="302">
        <f>SUM(E10:E15)</f>
        <v>98960</v>
      </c>
      <c r="F17" s="303">
        <f>SUM(F10:F15)</f>
        <v>910037</v>
      </c>
      <c r="G17" s="303"/>
      <c r="H17" s="304">
        <f>SUM(H10:H15)</f>
        <v>75539116</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1075.74</v>
      </c>
      <c r="E19" s="701">
        <f>'EXHIBIT B'!C29</f>
        <v>275.37</v>
      </c>
      <c r="F19" s="702">
        <f t="shared" ref="F19:F25" si="2">ROUND(+D19*E19,0)</f>
        <v>296227</v>
      </c>
      <c r="G19" s="306"/>
      <c r="H19" s="306"/>
    </row>
    <row r="20" spans="1:9" ht="20.100000000000001" customHeight="1">
      <c r="A20" s="641" t="s">
        <v>209</v>
      </c>
      <c r="B20" s="641" t="s">
        <v>126</v>
      </c>
      <c r="C20" s="703" t="s">
        <v>228</v>
      </c>
      <c r="D20" s="710">
        <v>43050.96</v>
      </c>
      <c r="E20" s="704">
        <f>+'EXHIBIT B'!C30</f>
        <v>247.87</v>
      </c>
      <c r="F20" s="705">
        <f t="shared" si="2"/>
        <v>10671041</v>
      </c>
      <c r="G20" s="48"/>
      <c r="H20" s="48"/>
    </row>
    <row r="21" spans="1:9" ht="20.100000000000001" customHeight="1">
      <c r="A21" s="641" t="s">
        <v>209</v>
      </c>
      <c r="B21" s="641" t="s">
        <v>127</v>
      </c>
      <c r="C21" s="703" t="s">
        <v>229</v>
      </c>
      <c r="D21" s="710">
        <v>14875.65</v>
      </c>
      <c r="E21" s="704">
        <f>+'EXHIBIT B'!C30</f>
        <v>247.87</v>
      </c>
      <c r="F21" s="705">
        <f t="shared" si="2"/>
        <v>3687227</v>
      </c>
      <c r="G21" s="48"/>
      <c r="H21" s="48"/>
    </row>
    <row r="22" spans="1:9" ht="20.100000000000001" customHeight="1">
      <c r="A22" s="641" t="s">
        <v>209</v>
      </c>
      <c r="B22" s="641" t="s">
        <v>76</v>
      </c>
      <c r="C22" s="703" t="s">
        <v>230</v>
      </c>
      <c r="D22" s="710">
        <v>457.65</v>
      </c>
      <c r="E22" s="704">
        <f>+'EXHIBIT B'!C31</f>
        <v>220.19</v>
      </c>
      <c r="F22" s="705">
        <f t="shared" si="2"/>
        <v>100770</v>
      </c>
      <c r="G22" s="48"/>
      <c r="H22" s="48"/>
    </row>
    <row r="23" spans="1:9" ht="20.100000000000001" customHeight="1">
      <c r="A23" s="641" t="s">
        <v>209</v>
      </c>
      <c r="B23" s="641" t="s">
        <v>128</v>
      </c>
      <c r="C23" s="703" t="s">
        <v>231</v>
      </c>
      <c r="D23" s="710">
        <v>4925.8500000000004</v>
      </c>
      <c r="E23" s="704">
        <f>+'EXHIBIT B'!C30</f>
        <v>247.87</v>
      </c>
      <c r="F23" s="705">
        <f t="shared" si="2"/>
        <v>1220970</v>
      </c>
      <c r="G23" s="48"/>
      <c r="H23" s="48"/>
    </row>
    <row r="24" spans="1:9" ht="20.100000000000001" customHeight="1">
      <c r="A24" s="1057" t="s">
        <v>209</v>
      </c>
      <c r="B24" s="1057" t="s">
        <v>129</v>
      </c>
      <c r="C24" s="1153">
        <v>40360</v>
      </c>
      <c r="D24" s="1154">
        <v>4.9000000000000004</v>
      </c>
      <c r="E24" s="1155">
        <f>+'EXHIBIT B'!C30</f>
        <v>247.87</v>
      </c>
      <c r="F24" s="1156">
        <f t="shared" si="2"/>
        <v>1215</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64390.75</v>
      </c>
      <c r="E27" s="708"/>
      <c r="F27" s="709">
        <f>SUM(F19:F25)</f>
        <v>15977450</v>
      </c>
      <c r="G27" s="310"/>
      <c r="H27" s="310"/>
    </row>
    <row r="28" spans="1:9" ht="20.100000000000001" customHeight="1" thickBot="1">
      <c r="A28" s="311" t="s">
        <v>232</v>
      </c>
      <c r="B28" s="311"/>
      <c r="C28" s="311"/>
      <c r="D28" s="311"/>
      <c r="E28" s="311"/>
      <c r="F28" s="312"/>
      <c r="G28" s="542"/>
      <c r="H28" s="313">
        <f>H17+F27</f>
        <v>91516566</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91516566</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2000000</v>
      </c>
      <c r="C64" s="970" t="s">
        <v>784</v>
      </c>
      <c r="D64" s="971"/>
      <c r="E64" s="970" t="s">
        <v>785</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2000000</v>
      </c>
      <c r="C70" s="980"/>
      <c r="D70" s="981"/>
      <c r="E70" s="980"/>
      <c r="F70" s="981"/>
    </row>
    <row r="71" spans="1:6" ht="24.95" customHeight="1" thickBot="1">
      <c r="A71" s="290" t="s">
        <v>257</v>
      </c>
      <c r="B71" s="291">
        <f>+B70+B61</f>
        <v>2000000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CAC6bBzhTzWcxOi5JJp4uYo0wmA370PGZjj3ljPpiYcM/IHth9eBqDKXRHXlfvc5EEfiSnnwSgopxHPv5140xQ==" saltValue="7rvgeuOBmmms5KijNacJ4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rintOptions horizontalCentered="1"/>
  <pageMargins left="0.75" right="0.75" top="1" bottom="1" header="0.5" footer="0.5"/>
  <pageSetup scale="35" orientation="portrait" r:id="rId1"/>
  <headerFooter alignWithMargins="0"/>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Valencia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6E4ShaSXtf9QH6Bkj2NqiIkdajueh4M8mzrFr9mfFUZE2DbfuytSCehiKUHqXzgM2GfjhJNrX/ZLSiqaLHZBRQ==" saltValue="0xVGgi/FbI7u3QjOfuT2jQ==" spinCount="100000" sheet="1" objects="1" scenarios="1"/>
  <phoneticPr fontId="0" type="noConversion"/>
  <printOptions horizontalCentered="1"/>
  <pageMargins left="0.5" right="0.5" top="0.5" bottom="0.5" header="0.5" footer="0.25"/>
  <pageSetup scale="48" orientation="portrait" r:id="rId1"/>
  <headerFooter alignWithMargins="0"/>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Valencia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3762564</v>
      </c>
    </row>
    <row r="13" spans="1:8" ht="20.100000000000001" customHeight="1">
      <c r="A13" s="492" t="s">
        <v>194</v>
      </c>
      <c r="B13" s="182"/>
      <c r="C13" s="175" t="s">
        <v>126</v>
      </c>
      <c r="D13" s="182"/>
      <c r="E13" s="182"/>
      <c r="F13" s="187" t="s">
        <v>221</v>
      </c>
      <c r="G13" s="186">
        <f>+'EXHIBIT C'!H11+'EXHIBIT C(2)'!E14</f>
        <v>50156683</v>
      </c>
    </row>
    <row r="14" spans="1:8" ht="20.100000000000001" customHeight="1">
      <c r="A14" s="492" t="s">
        <v>194</v>
      </c>
      <c r="B14" s="182"/>
      <c r="C14" s="182" t="s">
        <v>127</v>
      </c>
      <c r="D14" s="182"/>
      <c r="E14" s="182"/>
      <c r="F14" s="187" t="s">
        <v>222</v>
      </c>
      <c r="G14" s="513">
        <f>+'EXHIBIT C'!H12+'EXHIBIT C(2)'!E15</f>
        <v>18976670</v>
      </c>
    </row>
    <row r="15" spans="1:8" ht="20.100000000000001" customHeight="1">
      <c r="A15" s="492" t="s">
        <v>194</v>
      </c>
      <c r="B15" s="182"/>
      <c r="C15" s="188" t="s">
        <v>274</v>
      </c>
      <c r="D15" s="182"/>
      <c r="E15" s="182"/>
      <c r="F15" s="187" t="s">
        <v>223</v>
      </c>
      <c r="G15" s="513">
        <f>+'EXHIBIT C'!H13+'EXHIBIT C(2)'!E16</f>
        <v>466017</v>
      </c>
    </row>
    <row r="16" spans="1:8" ht="20.100000000000001" customHeight="1">
      <c r="A16" s="492" t="s">
        <v>194</v>
      </c>
      <c r="B16" s="182"/>
      <c r="C16" s="188" t="s">
        <v>275</v>
      </c>
      <c r="D16" s="182"/>
      <c r="E16" s="182"/>
      <c r="F16" s="187" t="s">
        <v>224</v>
      </c>
      <c r="G16" s="514">
        <f>+'EXHIBIT C'!H14+'EXHIBIT C(2)'!E17</f>
        <v>2041289</v>
      </c>
    </row>
    <row r="17" spans="1:7" ht="20.100000000000001" customHeight="1">
      <c r="A17" s="492" t="s">
        <v>194</v>
      </c>
      <c r="B17" s="182"/>
      <c r="C17" s="175" t="s">
        <v>129</v>
      </c>
      <c r="D17" s="182"/>
      <c r="E17" s="182"/>
      <c r="F17" s="185">
        <v>40160</v>
      </c>
      <c r="G17" s="514">
        <f>+'EXHIBIT C'!H15+'EXHIBIT C(2)'!E18</f>
        <v>135893</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75539116</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296227</v>
      </c>
    </row>
    <row r="22" spans="1:7" ht="20.100000000000001" customHeight="1">
      <c r="A22" s="492" t="s">
        <v>209</v>
      </c>
      <c r="B22" s="182"/>
      <c r="C22" s="175" t="s">
        <v>126</v>
      </c>
      <c r="D22" s="182"/>
      <c r="E22" s="182"/>
      <c r="F22" s="187" t="s">
        <v>228</v>
      </c>
      <c r="G22" s="191">
        <f>+'EXHIBIT C'!F20+'EXHIBIT C(2)'!E23</f>
        <v>10671041</v>
      </c>
    </row>
    <row r="23" spans="1:7" ht="20.100000000000001" customHeight="1">
      <c r="A23" s="492" t="s">
        <v>209</v>
      </c>
      <c r="B23" s="182"/>
      <c r="C23" s="182" t="s">
        <v>127</v>
      </c>
      <c r="D23" s="182"/>
      <c r="E23" s="182"/>
      <c r="F23" s="187" t="s">
        <v>229</v>
      </c>
      <c r="G23" s="196">
        <f>+'EXHIBIT C'!F21+'EXHIBIT C(2)'!E24</f>
        <v>3687227</v>
      </c>
    </row>
    <row r="24" spans="1:7" ht="20.100000000000001" customHeight="1">
      <c r="A24" s="492" t="s">
        <v>209</v>
      </c>
      <c r="B24" s="182"/>
      <c r="C24" s="188" t="s">
        <v>274</v>
      </c>
      <c r="D24" s="182"/>
      <c r="E24" s="182"/>
      <c r="F24" s="187" t="s">
        <v>230</v>
      </c>
      <c r="G24" s="196">
        <f>+'EXHIBIT C'!F22+'EXHIBIT C(2)'!E25</f>
        <v>100770</v>
      </c>
    </row>
    <row r="25" spans="1:7" ht="20.100000000000001" customHeight="1">
      <c r="A25" s="492" t="s">
        <v>209</v>
      </c>
      <c r="B25" s="182"/>
      <c r="C25" s="188" t="s">
        <v>275</v>
      </c>
      <c r="D25" s="182"/>
      <c r="E25" s="182"/>
      <c r="F25" s="187" t="s">
        <v>231</v>
      </c>
      <c r="G25" s="196">
        <f>+'EXHIBIT C'!F23+'EXHIBIT C(2)'!E26</f>
        <v>1220970</v>
      </c>
    </row>
    <row r="26" spans="1:7" ht="20.100000000000001" customHeight="1">
      <c r="A26" s="492" t="s">
        <v>209</v>
      </c>
      <c r="B26" s="182"/>
      <c r="C26" s="175" t="s">
        <v>129</v>
      </c>
      <c r="D26" s="182"/>
      <c r="E26" s="182"/>
      <c r="F26" s="185">
        <v>40360</v>
      </c>
      <c r="G26" s="196">
        <f>+'EXHIBIT C'!F24+'EXHIBIT C(2)'!E27</f>
        <v>1215</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15977450</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91516566</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14003881</v>
      </c>
    </row>
    <row r="49" spans="1:7" ht="20.100000000000001" customHeight="1">
      <c r="A49" s="492" t="s">
        <v>289</v>
      </c>
      <c r="C49" s="197"/>
      <c r="D49" s="197"/>
      <c r="E49" s="197"/>
      <c r="F49" s="198" t="s">
        <v>290</v>
      </c>
      <c r="G49" s="442">
        <v>2661619</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3104669</v>
      </c>
    </row>
    <row r="52" spans="1:7" ht="20.100000000000001" customHeight="1">
      <c r="A52" s="492" t="s">
        <v>295</v>
      </c>
      <c r="B52" s="182"/>
      <c r="C52" s="182"/>
      <c r="D52" s="182"/>
      <c r="E52" s="182"/>
      <c r="F52" s="185">
        <v>40450</v>
      </c>
      <c r="G52" s="442">
        <v>4816349</v>
      </c>
    </row>
    <row r="53" spans="1:7" ht="20.100000000000001" customHeight="1">
      <c r="A53" s="492" t="s">
        <v>296</v>
      </c>
      <c r="B53" s="182"/>
      <c r="C53" s="182"/>
      <c r="D53" s="182"/>
      <c r="E53" s="182"/>
      <c r="F53" s="187" t="s">
        <v>297</v>
      </c>
      <c r="G53" s="442">
        <v>1365152</v>
      </c>
    </row>
    <row r="54" spans="1:7" ht="20.100000000000001" customHeight="1">
      <c r="A54" s="492" t="s">
        <v>298</v>
      </c>
      <c r="B54" s="182"/>
      <c r="C54" s="182"/>
      <c r="D54" s="182"/>
      <c r="E54" s="182"/>
      <c r="F54" s="198" t="s">
        <v>299</v>
      </c>
      <c r="G54" s="442">
        <v>28649</v>
      </c>
    </row>
    <row r="55" spans="1:7" ht="20.100000000000001" customHeight="1">
      <c r="A55" s="492" t="s">
        <v>300</v>
      </c>
      <c r="B55" s="182"/>
      <c r="C55" s="182"/>
      <c r="D55" s="182"/>
      <c r="E55" s="182"/>
      <c r="F55" s="187" t="s">
        <v>301</v>
      </c>
      <c r="G55" s="442">
        <v>132</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17411</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4532114</v>
      </c>
    </row>
    <row r="60" spans="1:7" ht="20.100000000000001" customHeight="1">
      <c r="A60" s="492" t="s">
        <v>310</v>
      </c>
      <c r="B60" s="182"/>
      <c r="C60" s="182"/>
      <c r="D60" s="182"/>
      <c r="E60" s="182"/>
      <c r="F60" s="187" t="s">
        <v>311</v>
      </c>
      <c r="G60" s="442">
        <v>1028126</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123074668</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7015736</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7015736</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110093250.74129009</v>
      </c>
    </row>
    <row r="77" spans="1:7" ht="20.100000000000001" customHeight="1">
      <c r="A77" s="492" t="s">
        <v>697</v>
      </c>
      <c r="B77" s="182"/>
      <c r="C77" s="182"/>
      <c r="D77" s="182"/>
      <c r="E77" s="182"/>
      <c r="F77" s="185">
        <v>42130</v>
      </c>
      <c r="G77" s="516">
        <v>2111359</v>
      </c>
    </row>
    <row r="78" spans="1:7" ht="20.100000000000001" customHeight="1">
      <c r="A78" s="494" t="s">
        <v>328</v>
      </c>
      <c r="B78" s="495"/>
      <c r="C78" s="495"/>
      <c r="D78" s="495"/>
      <c r="E78" s="495"/>
      <c r="F78" s="201" t="s">
        <v>329</v>
      </c>
      <c r="G78" s="517">
        <v>4516182</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16920</v>
      </c>
    </row>
    <row r="81" spans="1:10" ht="20.100000000000001" customHeight="1">
      <c r="A81" s="492" t="s">
        <v>715</v>
      </c>
      <c r="B81" s="182"/>
      <c r="C81" s="182"/>
      <c r="D81" s="182"/>
      <c r="E81" s="182"/>
      <c r="F81" s="187" t="s">
        <v>334</v>
      </c>
      <c r="G81" s="516">
        <v>1177887</v>
      </c>
    </row>
    <row r="82" spans="1:10" ht="20.100000000000001" customHeight="1">
      <c r="A82" s="492" t="s">
        <v>335</v>
      </c>
      <c r="B82" s="182"/>
      <c r="C82" s="182"/>
      <c r="D82" s="182"/>
      <c r="E82" s="182"/>
      <c r="F82" s="187" t="s">
        <v>336</v>
      </c>
      <c r="G82" s="515">
        <f>'CHECK SHEET'!D86</f>
        <v>15737996.258709911</v>
      </c>
    </row>
    <row r="83" spans="1:10" ht="20.100000000000001" customHeight="1">
      <c r="A83" s="496" t="s">
        <v>337</v>
      </c>
      <c r="B83" s="497"/>
      <c r="C83" s="497"/>
      <c r="D83" s="497"/>
      <c r="E83" s="497"/>
      <c r="F83" s="200" t="s">
        <v>338</v>
      </c>
      <c r="G83" s="516">
        <v>293445</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133947040</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244527</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244527</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1027503</v>
      </c>
    </row>
    <row r="104" spans="1:7" ht="20.100000000000001" customHeight="1">
      <c r="A104" s="492" t="s">
        <v>356</v>
      </c>
      <c r="B104" s="182"/>
      <c r="C104" s="182"/>
      <c r="D104" s="182"/>
      <c r="E104" s="182"/>
      <c r="F104" s="187" t="s">
        <v>357</v>
      </c>
      <c r="G104" s="443">
        <v>240385</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1267888</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320761</v>
      </c>
    </row>
    <row r="112" spans="1:7" ht="20.100000000000001" customHeight="1">
      <c r="A112" s="492" t="s">
        <v>364</v>
      </c>
      <c r="B112" s="182"/>
      <c r="C112" s="182"/>
      <c r="D112" s="182"/>
      <c r="E112" s="182"/>
      <c r="F112" s="187" t="s">
        <v>365</v>
      </c>
      <c r="G112" s="443">
        <v>381928</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75171</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777860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4250925</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6770</v>
      </c>
    </row>
    <row r="127" spans="1:7" ht="20.100000000000001" customHeight="1">
      <c r="A127" s="492" t="s">
        <v>381</v>
      </c>
      <c r="B127" s="182"/>
      <c r="C127" s="182"/>
      <c r="D127" s="182"/>
      <c r="E127" s="182"/>
      <c r="F127" s="187" t="s">
        <v>382</v>
      </c>
      <c r="G127" s="443">
        <v>184071</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4441766</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2000000</v>
      </c>
    </row>
    <row r="135" spans="1:7" ht="20.100000000000001" customHeight="1">
      <c r="A135" s="492" t="s">
        <v>387</v>
      </c>
      <c r="B135" s="182"/>
      <c r="C135" s="182"/>
      <c r="D135" s="182"/>
      <c r="E135" s="182"/>
      <c r="F135" s="1052" t="s">
        <v>388</v>
      </c>
      <c r="G135" s="443">
        <v>200702</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11</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2200713</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272970198</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5528627</v>
      </c>
    </row>
    <row r="148" spans="1:7" ht="20.100000000000001" customHeight="1">
      <c r="A148" s="492" t="s">
        <v>399</v>
      </c>
      <c r="F148" s="187" t="s">
        <v>400</v>
      </c>
      <c r="G148" s="447">
        <v>2617592</v>
      </c>
    </row>
    <row r="149" spans="1:7" ht="20.100000000000001" customHeight="1">
      <c r="A149" s="492" t="s">
        <v>401</v>
      </c>
      <c r="F149" s="187" t="s">
        <v>402</v>
      </c>
      <c r="G149" s="447">
        <v>2892083</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51955395</v>
      </c>
    </row>
    <row r="153" spans="1:7" ht="20.100000000000001" customHeight="1">
      <c r="A153" s="492" t="s">
        <v>409</v>
      </c>
      <c r="B153" s="182"/>
      <c r="C153" s="182"/>
      <c r="D153" s="182"/>
      <c r="E153" s="182"/>
      <c r="F153" s="187" t="s">
        <v>410</v>
      </c>
      <c r="G153" s="447">
        <v>7491585</v>
      </c>
    </row>
    <row r="154" spans="1:7" ht="20.100000000000001" customHeight="1">
      <c r="A154" s="492" t="s">
        <v>411</v>
      </c>
      <c r="B154" s="182"/>
      <c r="C154" s="182"/>
      <c r="D154" s="182"/>
      <c r="E154" s="182"/>
      <c r="F154" s="187" t="s">
        <v>412</v>
      </c>
      <c r="G154" s="447">
        <v>22443</v>
      </c>
    </row>
    <row r="155" spans="1:7" ht="20.100000000000001" customHeight="1">
      <c r="A155" s="492" t="s">
        <v>413</v>
      </c>
      <c r="B155" s="182"/>
      <c r="C155" s="182"/>
      <c r="D155" s="182"/>
      <c r="E155" s="182"/>
      <c r="F155" s="187" t="s">
        <v>414</v>
      </c>
      <c r="G155" s="447">
        <v>2882882</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937752</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38759399</v>
      </c>
    </row>
    <row r="163" spans="1:7" ht="20.100000000000001" customHeight="1">
      <c r="A163" s="492" t="s">
        <v>428</v>
      </c>
      <c r="B163" s="182"/>
      <c r="C163" s="182"/>
      <c r="D163" s="182"/>
      <c r="E163" s="182"/>
      <c r="F163" s="187" t="s">
        <v>429</v>
      </c>
      <c r="G163" s="447">
        <v>546536</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102007</v>
      </c>
    </row>
    <row r="167" spans="1:7" ht="20.100000000000001" customHeight="1">
      <c r="A167" s="492" t="s">
        <v>436</v>
      </c>
      <c r="B167" s="182"/>
      <c r="C167" s="182"/>
      <c r="D167" s="182"/>
      <c r="E167" s="182"/>
      <c r="F167" s="187" t="s">
        <v>437</v>
      </c>
      <c r="G167" s="447">
        <v>23374068</v>
      </c>
    </row>
    <row r="168" spans="1:7" ht="20.100000000000001" customHeight="1">
      <c r="A168" s="492" t="s">
        <v>438</v>
      </c>
      <c r="B168" s="182"/>
      <c r="C168" s="182"/>
      <c r="D168" s="182"/>
      <c r="E168" s="182"/>
      <c r="F168" s="187" t="s">
        <v>439</v>
      </c>
      <c r="G168" s="447">
        <v>442949</v>
      </c>
    </row>
    <row r="169" spans="1:7" ht="20.100000000000001" customHeight="1">
      <c r="A169" s="492" t="s">
        <v>440</v>
      </c>
      <c r="B169" s="182"/>
      <c r="C169" s="182"/>
      <c r="D169" s="182"/>
      <c r="E169" s="182"/>
      <c r="F169" s="187" t="s">
        <v>441</v>
      </c>
      <c r="G169" s="447">
        <v>2835567</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24394001</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80258</v>
      </c>
    </row>
    <row r="178" spans="1:7" ht="20.100000000000001" customHeight="1">
      <c r="A178" s="492" t="s">
        <v>455</v>
      </c>
      <c r="B178" s="182"/>
      <c r="C178" s="182"/>
      <c r="D178" s="182"/>
      <c r="E178" s="182"/>
      <c r="F178" s="187" t="s">
        <v>456</v>
      </c>
      <c r="G178" s="447">
        <v>5378531</v>
      </c>
    </row>
    <row r="179" spans="1:7" ht="20.100000000000001" customHeight="1">
      <c r="A179" s="492" t="s">
        <v>457</v>
      </c>
      <c r="B179" s="182"/>
      <c r="C179" s="182"/>
      <c r="D179" s="182"/>
      <c r="E179" s="182"/>
      <c r="F179" s="187" t="s">
        <v>458</v>
      </c>
      <c r="G179" s="447">
        <v>31987</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100000</v>
      </c>
    </row>
    <row r="185" spans="1:7" ht="20.100000000000001" customHeight="1">
      <c r="A185" s="492" t="s">
        <v>469</v>
      </c>
      <c r="B185" s="182"/>
      <c r="C185" s="182"/>
      <c r="D185" s="182"/>
      <c r="E185" s="182"/>
      <c r="F185" s="187" t="s">
        <v>470</v>
      </c>
      <c r="G185" s="447">
        <v>11302326</v>
      </c>
    </row>
    <row r="186" spans="1:7" ht="20.100000000000001" customHeight="1">
      <c r="A186" s="492" t="s">
        <v>471</v>
      </c>
      <c r="B186" s="182"/>
      <c r="C186" s="182"/>
      <c r="D186" s="182"/>
      <c r="E186" s="182"/>
      <c r="F186" s="187" t="s">
        <v>472</v>
      </c>
      <c r="G186" s="447">
        <v>19396897</v>
      </c>
    </row>
    <row r="187" spans="1:7" ht="20.100000000000001" customHeight="1">
      <c r="A187" s="492" t="s">
        <v>473</v>
      </c>
      <c r="B187" s="182"/>
      <c r="C187" s="182"/>
      <c r="D187" s="182"/>
      <c r="E187" s="182"/>
      <c r="F187" s="187" t="s">
        <v>474</v>
      </c>
      <c r="G187" s="447">
        <v>595000</v>
      </c>
    </row>
    <row r="188" spans="1:7" ht="20.100000000000001" customHeight="1">
      <c r="A188" s="492" t="s">
        <v>475</v>
      </c>
      <c r="B188" s="182"/>
      <c r="C188" s="182"/>
      <c r="D188" s="182"/>
      <c r="E188" s="182"/>
      <c r="F188" s="187" t="s">
        <v>476</v>
      </c>
      <c r="G188" s="447">
        <v>200000</v>
      </c>
    </row>
    <row r="189" spans="1:7" ht="20.100000000000001" customHeight="1">
      <c r="A189" s="492" t="s">
        <v>477</v>
      </c>
      <c r="B189" s="182"/>
      <c r="C189" s="182"/>
      <c r="D189" s="182"/>
      <c r="E189" s="182"/>
      <c r="F189" s="187" t="s">
        <v>478</v>
      </c>
      <c r="G189" s="447">
        <v>200000</v>
      </c>
    </row>
    <row r="190" spans="1:7" ht="20.100000000000001" customHeight="1">
      <c r="A190" s="492" t="s">
        <v>479</v>
      </c>
      <c r="B190" s="182"/>
      <c r="C190" s="182"/>
      <c r="D190" s="182"/>
      <c r="E190" s="182"/>
      <c r="F190" s="205">
        <v>59600</v>
      </c>
      <c r="G190" s="447">
        <v>500000</v>
      </c>
    </row>
    <row r="191" spans="1:7" ht="20.100000000000001" customHeight="1">
      <c r="A191" s="492" t="s">
        <v>480</v>
      </c>
      <c r="B191" s="182"/>
      <c r="C191" s="182"/>
      <c r="D191" s="182"/>
      <c r="E191" s="182"/>
      <c r="F191" s="187" t="s">
        <v>481</v>
      </c>
      <c r="G191" s="447">
        <v>18252673</v>
      </c>
    </row>
    <row r="192" spans="1:7" ht="20.100000000000001" customHeight="1">
      <c r="A192" s="492" t="s">
        <v>482</v>
      </c>
      <c r="B192" s="182"/>
      <c r="C192" s="182"/>
      <c r="D192" s="182"/>
      <c r="E192" s="182"/>
      <c r="F192" s="187" t="s">
        <v>483</v>
      </c>
      <c r="G192" s="447">
        <v>1000000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221820558</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1115000</v>
      </c>
    </row>
    <row r="200" spans="1:7" ht="20.100000000000001" customHeight="1">
      <c r="A200" s="492" t="s">
        <v>490</v>
      </c>
      <c r="B200" s="182"/>
      <c r="C200" s="182"/>
      <c r="D200" s="182"/>
      <c r="E200" s="182"/>
      <c r="F200" s="187" t="s">
        <v>491</v>
      </c>
      <c r="G200" s="447">
        <v>152256</v>
      </c>
    </row>
    <row r="201" spans="1:7" ht="20.100000000000001" customHeight="1">
      <c r="A201" s="492" t="s">
        <v>492</v>
      </c>
      <c r="B201" s="182"/>
      <c r="C201" s="182"/>
      <c r="D201" s="182"/>
      <c r="E201" s="182"/>
      <c r="F201" s="187" t="s">
        <v>493</v>
      </c>
      <c r="G201" s="447">
        <v>1587406</v>
      </c>
    </row>
    <row r="202" spans="1:7" ht="20.100000000000001" customHeight="1">
      <c r="A202" s="492" t="s">
        <v>494</v>
      </c>
      <c r="B202" s="182"/>
      <c r="C202" s="182"/>
      <c r="D202" s="182"/>
      <c r="E202" s="182"/>
      <c r="F202" s="187" t="s">
        <v>495</v>
      </c>
      <c r="G202" s="447">
        <v>390110</v>
      </c>
    </row>
    <row r="203" spans="1:7" ht="20.100000000000001" customHeight="1">
      <c r="A203" s="492" t="s">
        <v>496</v>
      </c>
      <c r="B203" s="182"/>
      <c r="C203" s="182"/>
      <c r="D203" s="182"/>
      <c r="E203" s="182"/>
      <c r="F203" s="187" t="s">
        <v>497</v>
      </c>
      <c r="G203" s="447">
        <v>2237104</v>
      </c>
    </row>
    <row r="204" spans="1:7" ht="20.100000000000001" customHeight="1">
      <c r="A204" s="492" t="s">
        <v>498</v>
      </c>
      <c r="B204" s="182"/>
      <c r="C204" s="182"/>
      <c r="D204" s="182"/>
      <c r="E204" s="182"/>
      <c r="F204" s="187" t="s">
        <v>499</v>
      </c>
      <c r="G204" s="447">
        <v>701388</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4407047</v>
      </c>
    </row>
    <row r="207" spans="1:7" ht="20.100000000000001" customHeight="1">
      <c r="A207" s="492" t="s">
        <v>502</v>
      </c>
      <c r="B207" s="182"/>
      <c r="C207" s="182"/>
      <c r="D207" s="182"/>
      <c r="E207" s="182"/>
      <c r="F207" s="187" t="s">
        <v>503</v>
      </c>
      <c r="G207" s="447">
        <v>5181570</v>
      </c>
    </row>
    <row r="208" spans="1:7" ht="20.100000000000001" customHeight="1">
      <c r="A208" s="492" t="s">
        <v>504</v>
      </c>
      <c r="B208" s="182"/>
      <c r="C208" s="182"/>
      <c r="D208" s="182"/>
      <c r="E208" s="182"/>
      <c r="F208" s="187" t="s">
        <v>505</v>
      </c>
      <c r="G208" s="447">
        <v>12701901</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2189911</v>
      </c>
    </row>
    <row r="212" spans="1:7" ht="20.100000000000001" customHeight="1">
      <c r="A212" s="492" t="s">
        <v>511</v>
      </c>
      <c r="B212" s="182"/>
      <c r="C212" s="182"/>
      <c r="D212" s="182"/>
      <c r="E212" s="182"/>
      <c r="F212" s="187" t="s">
        <v>512</v>
      </c>
      <c r="G212" s="447">
        <v>4306526</v>
      </c>
    </row>
    <row r="213" spans="1:7" ht="20.100000000000001" customHeight="1">
      <c r="A213" s="492" t="s">
        <v>513</v>
      </c>
      <c r="F213" s="205" t="s">
        <v>514</v>
      </c>
      <c r="G213" s="447">
        <v>8020500</v>
      </c>
    </row>
    <row r="214" spans="1:7" ht="20.100000000000001" customHeight="1">
      <c r="A214" s="492" t="s">
        <v>515</v>
      </c>
      <c r="B214" s="182"/>
      <c r="C214" s="182"/>
      <c r="D214" s="182"/>
      <c r="E214" s="182"/>
      <c r="F214" s="187" t="s">
        <v>516</v>
      </c>
      <c r="G214" s="447">
        <v>1040861</v>
      </c>
    </row>
    <row r="215" spans="1:7" ht="20.100000000000001" customHeight="1">
      <c r="A215" s="492" t="s">
        <v>517</v>
      </c>
      <c r="B215" s="182"/>
      <c r="C215" s="182"/>
      <c r="D215" s="182"/>
      <c r="E215" s="182"/>
      <c r="F215" s="187" t="s">
        <v>518</v>
      </c>
      <c r="G215" s="447">
        <v>638753</v>
      </c>
    </row>
    <row r="216" spans="1:7" ht="20.100000000000001" customHeight="1">
      <c r="A216" s="492" t="s">
        <v>519</v>
      </c>
      <c r="B216" s="182"/>
      <c r="C216" s="182"/>
      <c r="D216" s="182"/>
      <c r="E216" s="182"/>
      <c r="F216" s="187" t="s">
        <v>520</v>
      </c>
      <c r="G216" s="447">
        <v>559449</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466310</v>
      </c>
    </row>
    <row r="221" spans="1:7" ht="20.100000000000001" customHeight="1">
      <c r="A221" s="492" t="s">
        <v>529</v>
      </c>
      <c r="B221" s="182"/>
      <c r="C221" s="182"/>
      <c r="D221" s="182"/>
      <c r="E221" s="182"/>
      <c r="F221" s="187" t="s">
        <v>530</v>
      </c>
      <c r="G221" s="447">
        <v>9802</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1320274</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47026168</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3039508</v>
      </c>
    </row>
    <row r="235" spans="1:9" ht="20.100000000000001" customHeight="1">
      <c r="A235" s="492" t="s">
        <v>544</v>
      </c>
      <c r="B235" s="182"/>
      <c r="C235" s="182"/>
      <c r="D235" s="182"/>
      <c r="E235" s="182"/>
      <c r="F235" s="187" t="s">
        <v>545</v>
      </c>
      <c r="G235" s="447">
        <v>237679</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846285</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4123472</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272970198</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500000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400000</v>
      </c>
    </row>
    <row r="261" spans="1:12" ht="20.100000000000001" customHeight="1">
      <c r="A261" s="492" t="s">
        <v>569</v>
      </c>
      <c r="B261" s="182"/>
      <c r="C261" s="182"/>
      <c r="D261" s="182"/>
      <c r="E261" s="182"/>
      <c r="F261" s="199">
        <v>31100</v>
      </c>
      <c r="G261" s="611">
        <v>56339158</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57239158</v>
      </c>
    </row>
    <row r="264" spans="1:12" ht="20.100000000000001" customHeight="1">
      <c r="A264" s="493"/>
      <c r="B264" s="182"/>
      <c r="C264" s="182"/>
      <c r="D264" s="182"/>
      <c r="E264" s="182"/>
      <c r="F264" s="199"/>
      <c r="G264" s="215"/>
    </row>
    <row r="265" spans="1:12" ht="20.100000000000001" customHeight="1" thickBot="1">
      <c r="A265" s="504" t="s">
        <v>774</v>
      </c>
      <c r="F265" s="205">
        <v>30800</v>
      </c>
      <c r="G265" s="448">
        <v>-135372303</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-78133145</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h+JmGs0w/ElpoMjT9nIocXUfB+9c+DFRDWKshOSTVtFlC35YGoNiakWeDyaU/hojywHh5DYT+MYmFVqN8Zcw0g==" saltValue="MjhxrXNFHFRAY6kZ4Vtmp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0.5" bottom="0.5" header="0.5" footer="0.5"/>
  <pageSetup scale="50" fitToHeight="0" orientation="portrait" r:id="rId1"/>
  <headerFooter alignWithMargins="0"/>
  <rowBreaks count="2" manualBreakCount="2">
    <brk id="61" max="6" man="1"/>
    <brk id="209"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2024-06-13T14:23:26Z</cp:lastPrinted>
  <dcterms:created xsi:type="dcterms:W3CDTF">2005-03-22T15:46:43Z</dcterms:created>
  <dcterms:modified xsi:type="dcterms:W3CDTF">2024-08-20T15:54:26Z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7" name="_NewReviewCycle">
    <vt:lpwstr/>
  </property>
</Properties>
</file>