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threadedComments/threadedComment5.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codeName="ThisWorkbook" autoCompressPictures="0"/>
  <mc:AlternateContent xmlns:mc="http://schemas.openxmlformats.org/markup-compatibility/2006">
    <mc:Choice Requires="x15">
      <x15ac:absPath xmlns:x15ac="http://schemas.microsoft.com/office/spreadsheetml/2010/11/ac" url="J:\Finance\Operating Budgets - current year\2024-25 OPERATING BUDGET\Received from Colleges\Tallahassee\"/>
    </mc:Choice>
  </mc:AlternateContent>
  <xr:revisionPtr revIDLastSave="0" documentId="8_{4725868D-15B9-4756-95D1-A46FFD13DECC}" xr6:coauthVersionLast="47" xr6:coauthVersionMax="47" xr10:uidLastSave="{00000000-0000-0000-0000-000000000000}"/>
  <bookViews>
    <workbookView xWindow="-120" yWindow="-120" windowWidth="29040" windowHeight="15720" tabRatio="769" firstSheet="4" activeTab="4" xr2:uid="{00000000-000D-0000-FFFF-FFFF00000000}"/>
  </bookViews>
  <sheets>
    <sheet name="SUMMARY OF CHANGES" sheetId="10" state="hidden" r:id="rId1"/>
    <sheet name="OPB WORKBOOK INSTRUCTIONS" sheetId="25" state="hidden" r:id="rId2"/>
    <sheet name="VLOOKUP" sheetId="23" state="hidden" r:id="rId3"/>
    <sheet name="CHECK SHEET" sheetId="3" state="hidden" r:id="rId4"/>
    <sheet name="EXHIBIT A" sheetId="4" r:id="rId5"/>
    <sheet name="EXHIBIT B" sheetId="5" r:id="rId6"/>
    <sheet name="EXHIBIT C" sheetId="6" r:id="rId7"/>
    <sheet name="EXHIBIT C(2)" sheetId="12" r:id="rId8"/>
    <sheet name="EXHIBIT D" sheetId="7" r:id="rId9"/>
    <sheet name="EXHIBIT E" sheetId="8" r:id="rId10"/>
    <sheet name="EXHIBIT F" sheetId="26" state="hidden" r:id="rId11"/>
    <sheet name="EXHIBIT G" sheetId="15" r:id="rId12"/>
    <sheet name="FEE AUDIT - TUITION AND FEES" sheetId="22" state="hidden" r:id="rId13"/>
    <sheet name="DISCRETIONARY FEE PERCENTAGES" sheetId="18" state="hidden"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SHEET'!$A$106</definedName>
    <definedName name="_2.">'CHECK SHEET'!$A$10</definedName>
    <definedName name="_2004_05_APPROPRIATIONS">'CHECK SHEET'!#REF!</definedName>
    <definedName name="_2005_2006_OPERATING_BUDGET_REVIEW_CHECKSHEET">'CHECK SHEET'!$A$7:$H$113</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SHEET'!$A$79</definedName>
    <definedName name="_8.__EXHIBIT_D__verify_that_amounts_budgeted_for_contingencies_does_not_exceed_2__of_total_fund">'CHECK SHEET'!$A$89</definedName>
    <definedName name="_9.___EXHIBIT_E_totals_for_personnel__current_expense__capital_outlay__and_total_equal_totals_in">'CHECK SHEET'!#REF!</definedName>
    <definedName name="_xlnm._FilterDatabase" localSheetId="11" hidden="1">'EXHIBIT G'!$C$117:$C$129</definedName>
    <definedName name="ACCOUNT_TITLE">'EXHIBIT D'!$B$9</definedName>
    <definedName name="ADDITIONAL__REDUCED_BUDGETED_FEE_REVENUES">'EXHIBIT C(2)'!$E$12</definedName>
    <definedName name="ADDITIONAL_2__CALCULATION">'CHECK SHEET'!#REF!</definedName>
    <definedName name="ADULT" localSheetId="12">#REF!</definedName>
    <definedName name="ADULT">#REF!</definedName>
    <definedName name="BEGINNING_FUND_BALANCE___JULY_1__2024">'EXHIBIT A'!$B$11</definedName>
    <definedName name="BROWARD_COLLEGE" localSheetId="2">'CHECK SHEET'!$D$7</definedName>
    <definedName name="BUDGETED_FEE_REVENUES">'EXHIBIT C'!$H$9</definedName>
    <definedName name="CAPITAL_IMPROVEMENT_FEE__1">'EXHIBIT B'!$E$13</definedName>
    <definedName name="CAPITAL_OUTLAY_______GLC_700S">'EXHIBIT E'!$D$9</definedName>
    <definedName name="CHANGE_IN_CHARGE_PER_STUDENT_CREDIT_HOUR">'EXHIBIT C(2)'!$D$12</definedName>
    <definedName name="CHARGE_PER_STUDENT_CREDIT_HOUR">'EXHIBIT C'!$G$9</definedName>
    <definedName name="CKSHEET_C8">'CHECK SHEET'!#REF!</definedName>
    <definedName name="COLLEGE">'EXHIBIT A'!$B$8</definedName>
    <definedName name="College_C">'EXHIBIT C'!$A$5</definedName>
    <definedName name="College_C2">'EXHIBIT C(2)'!$A$7</definedName>
    <definedName name="College_D">'EXHIBIT D'!$A$2</definedName>
    <definedName name="College_E">'EXHIBIT E'!$A$3</definedName>
    <definedName name="College_G">'EXHIBIT G'!$A$1</definedName>
    <definedName name="CR_AD" localSheetId="13">'[1]VOC PREP'!$A$4:$O$54</definedName>
    <definedName name="CREDIT" localSheetId="12">#REF!</definedName>
    <definedName name="CREDIT">#REF!</definedName>
    <definedName name="CURRENT_EXPENSE_______GLC_600S">'EXHIBIT E'!$C$9</definedName>
    <definedName name="CURRENT_FUNDS___UNRESTRICTED_LOWER_AND_UPPER_LEVEL">'EXHIBIT D'!$G$9</definedName>
    <definedName name="DISCIPLINE">'EXHIBIT C'!$B$9</definedName>
    <definedName name="Discipline_C2">'EXHIBIT C(2)'!$B$12</definedName>
    <definedName name="ESTIMATED_FUND_BALANCE___JUNE_30__2024">'EXHIBIT A'!$B$30</definedName>
    <definedName name="FEE_EXEMPT__DUAL_ENROLLMENT____APPRENTICESHIP__ETC.">'EXHIBIT C'!$E$9</definedName>
    <definedName name="FUNCTION">'EXHIBIT E'!$A$9</definedName>
    <definedName name="GENERAL__LEDGER_CODE">'EXHIBIT C'!$C$9</definedName>
    <definedName name="GENERAL_LEDGER_CODE">'EXHIBIT C(2)'!$C$12</definedName>
    <definedName name="GLCode_D">'EXHIBIT D'!$F$9</definedName>
    <definedName name="GLCode_G">'EXHIBIT G'!$C$8</definedName>
    <definedName name="NOTES" localSheetId="13">'DISCRETIONARY FEE PERCENTAGES'!#REF!</definedName>
    <definedName name="NOTES" localSheetId="12">#REF!</definedName>
    <definedName name="NOTES">#REF!</definedName>
    <definedName name="PERSONNEL____GLC_500S">'EXHIBIT E'!$B$9</definedName>
    <definedName name="PERSONNEL_COSTS">'EXHIBIT G'!$A$9</definedName>
    <definedName name="PLANNED_EXPENDITURES">'EXHIBIT G'!$A$8</definedName>
    <definedName name="_xlnm.Print_Area" localSheetId="3">'CHECK SHEET'!$A$1:$I$138</definedName>
    <definedName name="_xlnm.Print_Area" localSheetId="13">'DISCRETIONARY FEE PERCENTAGES'!$A$1:$C$36</definedName>
    <definedName name="_xlnm.Print_Area" localSheetId="4">'EXHIBIT A'!$A$1:$G$52</definedName>
    <definedName name="_xlnm.Print_Area" localSheetId="5">'EXHIBIT B'!$A$1:$I$45</definedName>
    <definedName name="_xlnm.Print_Area" localSheetId="6">'EXHIBIT C'!$A$1:$H$71</definedName>
    <definedName name="_xlnm.Print_Area" localSheetId="7">'EXHIBIT C(2)'!$A$1:$F$38</definedName>
    <definedName name="_xlnm.Print_Area" localSheetId="8">'EXHIBIT D'!$A$1:$G$267</definedName>
    <definedName name="_xlnm.Print_Area" localSheetId="9">'EXHIBIT E'!$A$1:$E$21</definedName>
    <definedName name="_xlnm.Print_Area" localSheetId="10">'EXHIBIT F'!$A$1:$B$50</definedName>
    <definedName name="_xlnm.Print_Area" localSheetId="11">'EXHIBIT G'!$A$1:$F$137</definedName>
    <definedName name="_xlnm.Print_Area" localSheetId="12">'FEE AUDIT - TUITION AND FEES'!$A$1:$E$81</definedName>
    <definedName name="_xlnm.Print_Area" localSheetId="0">'SUMMARY OF CHANGES'!$A$1:$E$20</definedName>
    <definedName name="_xlnm.Print_Area" localSheetId="2">VLOOKUP!$A$1:$AG$142</definedName>
    <definedName name="_xlnm.Print_Area">#REF!</definedName>
    <definedName name="_xlnm.Print_Titles" localSheetId="11">'EXHIBIT G'!$1:$4</definedName>
    <definedName name="PROGRAMS">'EXHIBIT B'!$A$13</definedName>
    <definedName name="PSAV" localSheetId="12">#REF!</definedName>
    <definedName name="PSAV">#REF!</definedName>
    <definedName name="RESTRICTED_SOURCES">'EXHIBIT G'!$E$8</definedName>
    <definedName name="STUDENT_ACTIVITY_FEE__1">'EXHIBIT B'!$D$13</definedName>
    <definedName name="STUDENT_FEES">'EXHIBIT C(2)'!$A$12</definedName>
    <definedName name="STUDENT_FINANCIAL_AID_FEE__1">'EXHIBIT B'!$C$13</definedName>
    <definedName name="STUDENT_TUITION">'EXHIBIT C'!$A$9</definedName>
    <definedName name="StudTuition_D">'EXHIBIT D'!$A$10</definedName>
    <definedName name="TECHNOLOGY_FEE__1">'EXHIBIT B'!$F$13</definedName>
    <definedName name="TOTAL">'EXHIBIT B'!$G$13</definedName>
    <definedName name="TOTAL_DISBURSEMENTS">'EXHIBIT A'!$B$28</definedName>
    <definedName name="Total_E">'EXHIBIT E'!$E$9</definedName>
    <definedName name="TOTAL_ESTIMATED_AVAILABLE">'EXHIBIT A'!$B$23</definedName>
    <definedName name="TOTAL_FEE_PAYING">'EXHIBIT C'!$F$9</definedName>
    <definedName name="TOTAL_PLANNED_CREDIT_HOURS">'EXHIBIT C'!$D$9</definedName>
    <definedName name="TOTAL_UNRESTRICTED_AND_RESTRICTED_SOURCES">'EXHIBIT G'!$F$8</definedName>
    <definedName name="TUITION">'EXHIBIT B'!$B$13</definedName>
    <definedName name="TUITION_AND_FEES_FOR_ACADEMIC_YEAR__30_HOURS">'EXHIBIT B'!$H$13</definedName>
    <definedName name="UNRESTRICTED_SOURCES">'EXHIBIT G'!$D$8</definedName>
    <definedName name="Z_8CA1AA3C_D3A6_493D_93EE_74DE1406A5FE_.wvu.PrintArea" localSheetId="3" hidden="1">'CHECK SHEET'!$A$3:$G$113</definedName>
    <definedName name="Z_8CA1AA3C_D3A6_493D_93EE_74DE1406A5FE_.wvu.PrintArea" localSheetId="4" hidden="1">'EXHIBIT A'!$B$4:$F$52</definedName>
    <definedName name="Z_8CA1AA3C_D3A6_493D_93EE_74DE1406A5FE_.wvu.PrintArea" localSheetId="6" hidden="1">'EXHIBIT C'!$A$5:$I$89</definedName>
    <definedName name="Z_8CA1AA3C_D3A6_493D_93EE_74DE1406A5FE_.wvu.PrintArea" localSheetId="7" hidden="1">'EXHIBIT C(2)'!$A$3:$F$68</definedName>
    <definedName name="Z_8CA1AA3C_D3A6_493D_93EE_74DE1406A5FE_.wvu.PrintArea" localSheetId="8" hidden="1">'EXHIBIT D'!$A$2:$H$271</definedName>
    <definedName name="Z_8CA1AA3C_D3A6_493D_93EE_74DE1406A5FE_.wvu.PrintArea" localSheetId="9" hidden="1">'EXHIBIT E'!$A$1:$F$23</definedName>
    <definedName name="Z_8CA1AA3C_D3A6_493D_93EE_74DE1406A5FE_.wvu.PrintArea" localSheetId="11" hidden="1">'EXHIBIT G'!$A$1:$E$123</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16" i="7" l="1"/>
  <c r="G199" i="7"/>
  <c r="G207" i="7" l="1"/>
  <c r="G206" i="7"/>
  <c r="E30" i="12" l="1"/>
  <c r="D27" i="6"/>
  <c r="H32" i="5"/>
  <c r="I32" i="5" s="1"/>
  <c r="D54" i="23"/>
  <c r="E53" i="23"/>
  <c r="E52" i="23"/>
  <c r="E48" i="23"/>
  <c r="E46" i="23"/>
  <c r="E47" i="23"/>
  <c r="E25" i="6" l="1"/>
  <c r="F25" i="6" s="1"/>
  <c r="G27" i="7" s="1"/>
  <c r="AO111" i="23"/>
  <c r="D109" i="23"/>
  <c r="G109" i="23"/>
  <c r="J109" i="23"/>
  <c r="M109" i="23"/>
  <c r="P109" i="23"/>
  <c r="S109" i="23"/>
  <c r="V109" i="23"/>
  <c r="T109" i="23" l="1"/>
  <c r="A185" i="23" l="1"/>
  <c r="A186" i="23"/>
  <c r="A187" i="23"/>
  <c r="A188" i="23"/>
  <c r="A189" i="23"/>
  <c r="A190" i="23"/>
  <c r="A191" i="23"/>
  <c r="A192" i="23"/>
  <c r="A193" i="23"/>
  <c r="A194" i="23"/>
  <c r="A195" i="23"/>
  <c r="A196" i="23"/>
  <c r="A197" i="23"/>
  <c r="A198" i="23"/>
  <c r="A199" i="23"/>
  <c r="A200" i="23"/>
  <c r="A201" i="23"/>
  <c r="A202" i="23"/>
  <c r="A203" i="23"/>
  <c r="A204" i="23"/>
  <c r="A205" i="23"/>
  <c r="A206" i="23"/>
  <c r="A207" i="23"/>
  <c r="A208" i="23"/>
  <c r="A209" i="23"/>
  <c r="A210" i="23"/>
  <c r="A211" i="23"/>
  <c r="A212" i="23"/>
  <c r="B183" i="23"/>
  <c r="B148" i="23"/>
  <c r="A150" i="23"/>
  <c r="A151" i="23"/>
  <c r="A152" i="23"/>
  <c r="A153" i="23"/>
  <c r="A154" i="23"/>
  <c r="A155" i="23"/>
  <c r="A156" i="23"/>
  <c r="A157" i="23"/>
  <c r="A158" i="23"/>
  <c r="A159" i="23"/>
  <c r="A160" i="23"/>
  <c r="A161" i="23"/>
  <c r="A162" i="23"/>
  <c r="A163" i="23"/>
  <c r="A164" i="23"/>
  <c r="A165" i="23"/>
  <c r="A166" i="23"/>
  <c r="A167" i="23"/>
  <c r="A168" i="23"/>
  <c r="A169" i="23"/>
  <c r="A170" i="23"/>
  <c r="A171" i="23"/>
  <c r="A172" i="23"/>
  <c r="A173" i="23"/>
  <c r="A174" i="23"/>
  <c r="A175" i="23"/>
  <c r="A176" i="23"/>
  <c r="A177" i="23"/>
  <c r="E26" i="4"/>
  <c r="E19" i="4"/>
  <c r="G14" i="5" l="1"/>
  <c r="D16" i="23" l="1"/>
  <c r="D15" i="23"/>
  <c r="D14" i="23"/>
  <c r="D13" i="23"/>
  <c r="D12" i="23"/>
  <c r="D11" i="23"/>
  <c r="D10" i="23"/>
  <c r="D9" i="23"/>
  <c r="D8" i="23"/>
  <c r="D7" i="23"/>
  <c r="D17" i="23"/>
  <c r="D18" i="23"/>
  <c r="D19" i="23"/>
  <c r="D20" i="23"/>
  <c r="D21" i="23"/>
  <c r="D22" i="23"/>
  <c r="D23" i="23"/>
  <c r="D24" i="23"/>
  <c r="D25" i="23"/>
  <c r="D26" i="23"/>
  <c r="D27" i="23"/>
  <c r="D28" i="23"/>
  <c r="D29" i="23"/>
  <c r="D30" i="23"/>
  <c r="D31" i="23"/>
  <c r="D32" i="23"/>
  <c r="D33" i="23"/>
  <c r="D34" i="23"/>
  <c r="E51" i="23" l="1"/>
  <c r="B35" i="23" l="1"/>
  <c r="D87" i="3" l="1"/>
  <c r="B213" i="23"/>
  <c r="D85" i="3"/>
  <c r="B178" i="23" l="1"/>
  <c r="E11" i="8" l="1"/>
  <c r="E87" i="3" l="1"/>
  <c r="F87" i="3" s="1"/>
  <c r="C54" i="23" l="1"/>
  <c r="E44" i="23"/>
  <c r="E45" i="23"/>
  <c r="E49" i="23"/>
  <c r="E50" i="23"/>
  <c r="F106" i="15" l="1"/>
  <c r="F104" i="15"/>
  <c r="F103" i="15"/>
  <c r="F13" i="6" l="1"/>
  <c r="AG109" i="23" l="1"/>
  <c r="AB109" i="23" s="1"/>
  <c r="Z109" i="23" s="1"/>
  <c r="G10" i="6" l="1"/>
  <c r="G11" i="6"/>
  <c r="G12" i="6"/>
  <c r="G13" i="6"/>
  <c r="H13" i="6" s="1"/>
  <c r="G15" i="7" s="1"/>
  <c r="G14" i="6"/>
  <c r="G15" i="6"/>
  <c r="F33" i="6"/>
  <c r="G33" i="6"/>
  <c r="F34" i="6"/>
  <c r="G34" i="6"/>
  <c r="H34" i="6" s="1"/>
  <c r="G32" i="7" s="1"/>
  <c r="F35" i="6"/>
  <c r="G35" i="6"/>
  <c r="F36" i="6"/>
  <c r="G36" i="6"/>
  <c r="E19" i="6"/>
  <c r="F19" i="6" s="1"/>
  <c r="E20" i="6"/>
  <c r="F20" i="6" s="1"/>
  <c r="G22" i="7" s="1"/>
  <c r="E21" i="6"/>
  <c r="F21" i="6" s="1"/>
  <c r="G23" i="7" s="1"/>
  <c r="E22" i="6"/>
  <c r="F22" i="6" s="1"/>
  <c r="G24" i="7" s="1"/>
  <c r="E23" i="6"/>
  <c r="F23" i="6" s="1"/>
  <c r="G25" i="7" s="1"/>
  <c r="E24" i="6"/>
  <c r="F24" i="6" s="1"/>
  <c r="G26" i="7" s="1"/>
  <c r="B35" i="5"/>
  <c r="H35" i="5" s="1"/>
  <c r="I35" i="5" s="1"/>
  <c r="B36" i="5"/>
  <c r="E41" i="6" s="1"/>
  <c r="F41" i="6" s="1"/>
  <c r="G39" i="7" s="1"/>
  <c r="B38" i="5"/>
  <c r="E42" i="6" s="1"/>
  <c r="F42" i="6" s="1"/>
  <c r="G40" i="7" s="1"/>
  <c r="B39" i="5"/>
  <c r="E43" i="6" s="1"/>
  <c r="F43" i="6" s="1"/>
  <c r="G41" i="7" s="1"/>
  <c r="G72" i="7"/>
  <c r="D84" i="3"/>
  <c r="G97" i="7"/>
  <c r="G106" i="7"/>
  <c r="G116" i="7"/>
  <c r="G120" i="7"/>
  <c r="G129" i="7"/>
  <c r="G141" i="7"/>
  <c r="C72" i="23"/>
  <c r="D72" i="23" s="1"/>
  <c r="E72" i="23" s="1"/>
  <c r="F72" i="23" s="1"/>
  <c r="A109" i="23"/>
  <c r="AD109" i="23" s="1"/>
  <c r="A110" i="23"/>
  <c r="A111" i="23"/>
  <c r="AD111" i="23" s="1"/>
  <c r="A112" i="23"/>
  <c r="AD112" i="23" s="1"/>
  <c r="D110" i="23"/>
  <c r="G110" i="23"/>
  <c r="J110" i="23"/>
  <c r="M110" i="23"/>
  <c r="P110" i="23"/>
  <c r="S110" i="23"/>
  <c r="D111" i="23"/>
  <c r="G111" i="23"/>
  <c r="J111" i="23"/>
  <c r="M111" i="23"/>
  <c r="P111" i="23"/>
  <c r="S111" i="23"/>
  <c r="D112" i="23"/>
  <c r="G112" i="23"/>
  <c r="J112" i="23"/>
  <c r="M112" i="23"/>
  <c r="P112" i="23"/>
  <c r="S112" i="23"/>
  <c r="A113" i="23"/>
  <c r="AD113" i="23" s="1"/>
  <c r="D113" i="23"/>
  <c r="G113" i="23"/>
  <c r="J113" i="23"/>
  <c r="M113" i="23"/>
  <c r="P113" i="23"/>
  <c r="S113" i="23"/>
  <c r="A114" i="23"/>
  <c r="AD114" i="23" s="1"/>
  <c r="D114" i="23"/>
  <c r="G114" i="23"/>
  <c r="J114" i="23"/>
  <c r="M114" i="23"/>
  <c r="P114" i="23"/>
  <c r="S114" i="23"/>
  <c r="A115" i="23"/>
  <c r="AD115" i="23" s="1"/>
  <c r="D115" i="23"/>
  <c r="G115" i="23"/>
  <c r="J115" i="23"/>
  <c r="M115" i="23"/>
  <c r="P115" i="23"/>
  <c r="S115" i="23"/>
  <c r="A116" i="23"/>
  <c r="AD116" i="23" s="1"/>
  <c r="D116" i="23"/>
  <c r="G116" i="23"/>
  <c r="J116" i="23"/>
  <c r="M116" i="23"/>
  <c r="P116" i="23"/>
  <c r="S116" i="23"/>
  <c r="A117" i="23"/>
  <c r="AD117" i="23" s="1"/>
  <c r="D117" i="23"/>
  <c r="G117" i="23"/>
  <c r="J117" i="23"/>
  <c r="M117" i="23"/>
  <c r="P117" i="23"/>
  <c r="S117" i="23"/>
  <c r="A118" i="23"/>
  <c r="AD118" i="23" s="1"/>
  <c r="D118" i="23"/>
  <c r="G118" i="23"/>
  <c r="J118" i="23"/>
  <c r="M118" i="23"/>
  <c r="P118" i="23"/>
  <c r="S118" i="23"/>
  <c r="A119" i="23"/>
  <c r="AD119" i="23" s="1"/>
  <c r="D119" i="23"/>
  <c r="G119" i="23"/>
  <c r="J119" i="23"/>
  <c r="M119" i="23"/>
  <c r="P119" i="23"/>
  <c r="S119" i="23"/>
  <c r="A120" i="23"/>
  <c r="AD120" i="23" s="1"/>
  <c r="D120" i="23"/>
  <c r="G120" i="23"/>
  <c r="J120" i="23"/>
  <c r="M120" i="23"/>
  <c r="P120" i="23"/>
  <c r="S120" i="23"/>
  <c r="A121" i="23"/>
  <c r="AD121" i="23" s="1"/>
  <c r="D121" i="23"/>
  <c r="G121" i="23"/>
  <c r="J121" i="23"/>
  <c r="M121" i="23"/>
  <c r="P121" i="23"/>
  <c r="S121" i="23"/>
  <c r="A122" i="23"/>
  <c r="AD122" i="23" s="1"/>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AD128" i="23" s="1"/>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B137" i="23"/>
  <c r="E137" i="23"/>
  <c r="F137" i="23"/>
  <c r="H137" i="23"/>
  <c r="I137" i="23"/>
  <c r="K137" i="23"/>
  <c r="L137" i="23"/>
  <c r="N137" i="23"/>
  <c r="O137" i="23"/>
  <c r="Q137" i="23"/>
  <c r="R137" i="23"/>
  <c r="E43" i="23"/>
  <c r="E54" i="23" s="1"/>
  <c r="V110" i="23"/>
  <c r="V111" i="23"/>
  <c r="V112" i="23"/>
  <c r="V113"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C108" i="3"/>
  <c r="C112" i="3"/>
  <c r="E40" i="3"/>
  <c r="E55" i="3" s="1"/>
  <c r="B62" i="23"/>
  <c r="A44" i="23"/>
  <c r="A43" i="23"/>
  <c r="A61" i="23"/>
  <c r="E30" i="5"/>
  <c r="E29" i="5"/>
  <c r="AE137" i="23"/>
  <c r="A74" i="23"/>
  <c r="C61" i="15"/>
  <c r="A67" i="23"/>
  <c r="C76" i="23"/>
  <c r="D76" i="23" s="1"/>
  <c r="E76" i="23" s="1"/>
  <c r="F76" i="23" s="1"/>
  <c r="A94" i="23"/>
  <c r="A93" i="23"/>
  <c r="A92" i="23"/>
  <c r="A91" i="23"/>
  <c r="A90" i="23"/>
  <c r="A89" i="23"/>
  <c r="A88" i="23"/>
  <c r="A87" i="23"/>
  <c r="A86" i="23"/>
  <c r="A85" i="23"/>
  <c r="A84" i="23"/>
  <c r="A83" i="23"/>
  <c r="A82" i="23"/>
  <c r="A81" i="23"/>
  <c r="A80" i="23"/>
  <c r="A79" i="23"/>
  <c r="A78" i="23"/>
  <c r="A77" i="23"/>
  <c r="A76" i="23"/>
  <c r="A75" i="23"/>
  <c r="A73" i="23"/>
  <c r="A72" i="23"/>
  <c r="A71" i="23"/>
  <c r="A70" i="23"/>
  <c r="A69" i="23"/>
  <c r="A68" i="23"/>
  <c r="A39" i="5"/>
  <c r="A38" i="5"/>
  <c r="A36" i="5"/>
  <c r="A35" i="5"/>
  <c r="A31" i="5"/>
  <c r="A30" i="5"/>
  <c r="A29" i="5"/>
  <c r="B3" i="8"/>
  <c r="A28" i="18"/>
  <c r="A25" i="18"/>
  <c r="A22" i="18"/>
  <c r="A19" i="18"/>
  <c r="A16" i="18"/>
  <c r="A13" i="18"/>
  <c r="A10" i="18"/>
  <c r="E77" i="22"/>
  <c r="D77" i="22"/>
  <c r="D55" i="3"/>
  <c r="D86" i="3"/>
  <c r="G82" i="7" s="1"/>
  <c r="E86" i="3" s="1"/>
  <c r="C35" i="23"/>
  <c r="E85" i="3"/>
  <c r="F85" i="3" s="1"/>
  <c r="B95" i="23"/>
  <c r="C67" i="23"/>
  <c r="D67" i="23" s="1"/>
  <c r="C68" i="23"/>
  <c r="D68" i="23" s="1"/>
  <c r="E68" i="23" s="1"/>
  <c r="F68" i="23" s="1"/>
  <c r="C69" i="23"/>
  <c r="D69" i="23" s="1"/>
  <c r="E69" i="23" s="1"/>
  <c r="F69" i="23" s="1"/>
  <c r="C70" i="23"/>
  <c r="D70" i="23" s="1"/>
  <c r="E70" i="23" s="1"/>
  <c r="F70" i="23" s="1"/>
  <c r="C71" i="23"/>
  <c r="D71" i="23" s="1"/>
  <c r="E71" i="23" s="1"/>
  <c r="F71" i="23" s="1"/>
  <c r="C73" i="23"/>
  <c r="D73" i="23" s="1"/>
  <c r="E73" i="23" s="1"/>
  <c r="F73" i="23" s="1"/>
  <c r="C74" i="23"/>
  <c r="D74" i="23" s="1"/>
  <c r="E74" i="23" s="1"/>
  <c r="F74" i="23" s="1"/>
  <c r="C75" i="23"/>
  <c r="D75" i="23" s="1"/>
  <c r="E75" i="23" s="1"/>
  <c r="F75" i="23" s="1"/>
  <c r="C77" i="23"/>
  <c r="D77" i="23" s="1"/>
  <c r="E77" i="23" s="1"/>
  <c r="F77" i="23" s="1"/>
  <c r="C78" i="23"/>
  <c r="C79" i="23"/>
  <c r="D79" i="23" s="1"/>
  <c r="E79" i="23" s="1"/>
  <c r="C80" i="23"/>
  <c r="D80" i="23" s="1"/>
  <c r="E80" i="23" s="1"/>
  <c r="F80" i="23" s="1"/>
  <c r="C81" i="23"/>
  <c r="D81" i="23" s="1"/>
  <c r="E81" i="23" s="1"/>
  <c r="C82" i="23"/>
  <c r="D82" i="23" s="1"/>
  <c r="E82" i="23" s="1"/>
  <c r="F82" i="23" s="1"/>
  <c r="C83" i="23"/>
  <c r="D83" i="23" s="1"/>
  <c r="E83" i="23" s="1"/>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F90" i="23" s="1"/>
  <c r="C91" i="23"/>
  <c r="D91" i="23" s="1"/>
  <c r="E91" i="23" s="1"/>
  <c r="C92" i="23"/>
  <c r="D92" i="23" s="1"/>
  <c r="E92" i="23" s="1"/>
  <c r="F92" i="23" s="1"/>
  <c r="C93" i="23"/>
  <c r="D93" i="23" s="1"/>
  <c r="E93" i="23" s="1"/>
  <c r="C94" i="23"/>
  <c r="D94" i="23" s="1"/>
  <c r="E94" i="23" s="1"/>
  <c r="C96" i="15"/>
  <c r="B1" i="15"/>
  <c r="B2" i="7"/>
  <c r="B7" i="12"/>
  <c r="B5" i="6"/>
  <c r="D8" i="5"/>
  <c r="E40" i="4"/>
  <c r="C101" i="3" s="1"/>
  <c r="C8" i="4"/>
  <c r="AF137" i="23"/>
  <c r="AA137" i="23"/>
  <c r="W137" i="23"/>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AG119" i="23"/>
  <c r="AB119" i="23" s="1"/>
  <c r="Z119" i="23" s="1"/>
  <c r="AG118" i="23"/>
  <c r="AB118" i="23" s="1"/>
  <c r="Z118" i="23" s="1"/>
  <c r="AG117" i="23"/>
  <c r="AB117" i="23" s="1"/>
  <c r="Z117" i="23" s="1"/>
  <c r="AG116" i="23"/>
  <c r="AB116" i="23" s="1"/>
  <c r="Z116" i="23" s="1"/>
  <c r="AG115" i="23"/>
  <c r="AB115" i="23" s="1"/>
  <c r="Z115" i="23" s="1"/>
  <c r="AG114" i="23"/>
  <c r="AB114" i="23" s="1"/>
  <c r="Z114" i="23" s="1"/>
  <c r="AG113" i="23"/>
  <c r="AB113" i="23" s="1"/>
  <c r="Z113" i="23" s="1"/>
  <c r="AG112" i="23"/>
  <c r="AB112" i="23" s="1"/>
  <c r="Z112" i="23" s="1"/>
  <c r="AG111" i="23"/>
  <c r="AB111" i="23" s="1"/>
  <c r="Z111" i="23" s="1"/>
  <c r="AG110" i="23"/>
  <c r="AB110" i="23" s="1"/>
  <c r="Z110" i="23"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1" i="15"/>
  <c r="F72" i="15"/>
  <c r="F73" i="15"/>
  <c r="F74" i="15"/>
  <c r="F75" i="15"/>
  <c r="F76" i="15"/>
  <c r="F77" i="15"/>
  <c r="F78" i="15"/>
  <c r="F79" i="15"/>
  <c r="F80" i="15"/>
  <c r="F81" i="15"/>
  <c r="F82" i="15"/>
  <c r="F83" i="15"/>
  <c r="F84" i="15"/>
  <c r="F85" i="15"/>
  <c r="F86" i="15"/>
  <c r="F87" i="15"/>
  <c r="F88" i="15"/>
  <c r="F89" i="15"/>
  <c r="F90" i="15"/>
  <c r="F91" i="15"/>
  <c r="F92" i="15"/>
  <c r="D93" i="15"/>
  <c r="E93" i="15"/>
  <c r="F98" i="15"/>
  <c r="F99" i="15"/>
  <c r="F100" i="15"/>
  <c r="F101" i="15"/>
  <c r="F102" i="15"/>
  <c r="F105" i="15"/>
  <c r="F107" i="15"/>
  <c r="F108" i="15"/>
  <c r="F109" i="15"/>
  <c r="F110" i="15"/>
  <c r="D111" i="15"/>
  <c r="E111" i="15"/>
  <c r="F120" i="15"/>
  <c r="F121" i="15"/>
  <c r="F122" i="15"/>
  <c r="F123" i="15"/>
  <c r="F124" i="15"/>
  <c r="F125" i="15"/>
  <c r="F126" i="15"/>
  <c r="F127" i="15"/>
  <c r="F128" i="15"/>
  <c r="E129" i="15"/>
  <c r="B53" i="22"/>
  <c r="D75" i="22"/>
  <c r="E75" i="22"/>
  <c r="E65" i="22"/>
  <c r="E66" i="22" s="1"/>
  <c r="D65" i="22"/>
  <c r="D67" i="22" s="1"/>
  <c r="D59" i="22"/>
  <c r="D60" i="22" s="1"/>
  <c r="B52" i="22"/>
  <c r="E33" i="22"/>
  <c r="E34" i="22" s="1"/>
  <c r="D33" i="22"/>
  <c r="D34" i="22" s="1"/>
  <c r="D26" i="22"/>
  <c r="D38" i="22"/>
  <c r="C38" i="22"/>
  <c r="E15" i="22"/>
  <c r="D15" i="22"/>
  <c r="B46" i="22"/>
  <c r="E26" i="22"/>
  <c r="E59" i="22"/>
  <c r="E61" i="22" s="1"/>
  <c r="E38" i="22"/>
  <c r="B29" i="5"/>
  <c r="H14" i="5"/>
  <c r="G247" i="7"/>
  <c r="E15" i="8"/>
  <c r="E37" i="6"/>
  <c r="D37" i="6"/>
  <c r="D44" i="6"/>
  <c r="E17" i="6"/>
  <c r="G20" i="5"/>
  <c r="H20" i="5" s="1"/>
  <c r="G19" i="5"/>
  <c r="H19" i="5" s="1"/>
  <c r="G22" i="5"/>
  <c r="H22" i="5" s="1"/>
  <c r="G23" i="5"/>
  <c r="H23" i="5" s="1"/>
  <c r="E20" i="12"/>
  <c r="E31" i="12" s="1"/>
  <c r="G195" i="7"/>
  <c r="D21" i="8"/>
  <c r="E59" i="3"/>
  <c r="C95" i="12"/>
  <c r="B31" i="5"/>
  <c r="H31" i="5" s="1"/>
  <c r="I31" i="5" s="1"/>
  <c r="B30" i="5"/>
  <c r="G16" i="5"/>
  <c r="H16" i="5" s="1"/>
  <c r="G15" i="5"/>
  <c r="H15" i="5" s="1"/>
  <c r="D96" i="8"/>
  <c r="C96" i="8"/>
  <c r="B70" i="6"/>
  <c r="C75" i="3" s="1"/>
  <c r="E60" i="3"/>
  <c r="E61" i="3"/>
  <c r="E62" i="3"/>
  <c r="E63" i="3"/>
  <c r="E64" i="3"/>
  <c r="B21" i="8"/>
  <c r="C21" i="8"/>
  <c r="E10" i="8"/>
  <c r="E12" i="8"/>
  <c r="E16" i="8"/>
  <c r="E17" i="8"/>
  <c r="E18" i="8"/>
  <c r="E19" i="8"/>
  <c r="E20" i="8"/>
  <c r="E36" i="4"/>
  <c r="C109" i="3" s="1"/>
  <c r="D33" i="4"/>
  <c r="B61" i="6"/>
  <c r="C78" i="3" s="1"/>
  <c r="E16" i="4"/>
  <c r="G263" i="7"/>
  <c r="G267" i="7" s="1"/>
  <c r="C102" i="3" s="1"/>
  <c r="E67" i="22"/>
  <c r="E14" i="8"/>
  <c r="G229" i="7"/>
  <c r="X137" i="23"/>
  <c r="E60" i="22"/>
  <c r="H36" i="6"/>
  <c r="G34" i="7" s="1"/>
  <c r="E62" i="22"/>
  <c r="D17" i="6"/>
  <c r="F12" i="6"/>
  <c r="F11" i="6"/>
  <c r="E45" i="3" s="1"/>
  <c r="F14" i="6"/>
  <c r="F15" i="6"/>
  <c r="E49" i="3" s="1"/>
  <c r="F10" i="6"/>
  <c r="E44" i="3" s="1"/>
  <c r="E47" i="3"/>
  <c r="E70" i="22" l="1"/>
  <c r="C93" i="3"/>
  <c r="H11" i="6"/>
  <c r="G13" i="7" s="1"/>
  <c r="H30" i="5"/>
  <c r="I30" i="5" s="1"/>
  <c r="H36" i="5"/>
  <c r="I36" i="5" s="1"/>
  <c r="G21" i="7"/>
  <c r="G29" i="7" s="1"/>
  <c r="F27" i="6"/>
  <c r="H38" i="5"/>
  <c r="I38" i="5" s="1"/>
  <c r="H39" i="5"/>
  <c r="I39" i="5" s="1"/>
  <c r="H15" i="6"/>
  <c r="G17" i="7" s="1"/>
  <c r="F37" i="6"/>
  <c r="H14" i="6"/>
  <c r="G16" i="7" s="1"/>
  <c r="C74" i="3"/>
  <c r="H35" i="6"/>
  <c r="G33" i="7" s="1"/>
  <c r="E40" i="6"/>
  <c r="F40" i="6" s="1"/>
  <c r="F44" i="6" s="1"/>
  <c r="H33" i="6"/>
  <c r="G31" i="7" s="1"/>
  <c r="G36" i="7" s="1"/>
  <c r="H12" i="6"/>
  <c r="G14" i="7" s="1"/>
  <c r="E46" i="3"/>
  <c r="D66" i="22"/>
  <c r="C95" i="3"/>
  <c r="E48" i="3"/>
  <c r="E68" i="22"/>
  <c r="D61" i="22"/>
  <c r="H29" i="5"/>
  <c r="I29" i="5" s="1"/>
  <c r="H10" i="6"/>
  <c r="E69" i="22"/>
  <c r="D62" i="22"/>
  <c r="F17" i="6"/>
  <c r="E50" i="3" s="1"/>
  <c r="B71" i="6"/>
  <c r="E21" i="8"/>
  <c r="C77" i="3"/>
  <c r="E65" i="3"/>
  <c r="G76" i="7"/>
  <c r="G86" i="7" s="1"/>
  <c r="D88" i="3"/>
  <c r="F111" i="15"/>
  <c r="G249" i="7"/>
  <c r="C94" i="3"/>
  <c r="C103" i="3"/>
  <c r="D119" i="15"/>
  <c r="C110" i="3"/>
  <c r="C114" i="3" s="1"/>
  <c r="E113" i="15"/>
  <c r="E131" i="15" s="1"/>
  <c r="F93" i="15"/>
  <c r="D113" i="15"/>
  <c r="F57" i="15"/>
  <c r="T133" i="23"/>
  <c r="T118" i="23"/>
  <c r="T111" i="23"/>
  <c r="T135" i="23"/>
  <c r="J137" i="23"/>
  <c r="T129" i="23"/>
  <c r="T128" i="23"/>
  <c r="T134" i="23"/>
  <c r="T124" i="23"/>
  <c r="T122" i="23"/>
  <c r="T117" i="23"/>
  <c r="F86" i="23"/>
  <c r="T121" i="23"/>
  <c r="M137" i="23"/>
  <c r="G137" i="23"/>
  <c r="S137" i="23"/>
  <c r="D59" i="3"/>
  <c r="D44" i="3" s="1"/>
  <c r="T131" i="23"/>
  <c r="AG137" i="23"/>
  <c r="F87" i="23"/>
  <c r="V137" i="23"/>
  <c r="T120" i="23"/>
  <c r="T119" i="23"/>
  <c r="T116" i="23"/>
  <c r="T115" i="23"/>
  <c r="T114" i="23"/>
  <c r="T113" i="23"/>
  <c r="T112" i="23"/>
  <c r="T110" i="23"/>
  <c r="T132" i="23"/>
  <c r="T130" i="23"/>
  <c r="T123" i="23"/>
  <c r="F94" i="23"/>
  <c r="T136" i="23"/>
  <c r="T127" i="23"/>
  <c r="T126" i="23"/>
  <c r="T125" i="23"/>
  <c r="Z137" i="23"/>
  <c r="AB137" i="23"/>
  <c r="F93" i="23"/>
  <c r="D48" i="3"/>
  <c r="D64" i="3"/>
  <c r="F64" i="3" s="1"/>
  <c r="G64" i="3" s="1"/>
  <c r="D137" i="23"/>
  <c r="P137" i="23"/>
  <c r="D60" i="3"/>
  <c r="D45" i="3" s="1"/>
  <c r="F45" i="3" s="1"/>
  <c r="G45" i="3" s="1"/>
  <c r="D63" i="3"/>
  <c r="F63" i="3" s="1"/>
  <c r="G63" i="3" s="1"/>
  <c r="D61" i="3"/>
  <c r="F61" i="3" s="1"/>
  <c r="G61" i="3" s="1"/>
  <c r="D78" i="23"/>
  <c r="E78" i="23" s="1"/>
  <c r="F78" i="23" s="1"/>
  <c r="E67" i="23"/>
  <c r="AD110" i="23"/>
  <c r="C95" i="23"/>
  <c r="F81" i="23"/>
  <c r="F79" i="23"/>
  <c r="D62" i="3"/>
  <c r="F62" i="3" s="1"/>
  <c r="G62" i="3" s="1"/>
  <c r="D49" i="3"/>
  <c r="F49" i="3" s="1"/>
  <c r="G49" i="3" s="1"/>
  <c r="F83" i="23"/>
  <c r="F91" i="23"/>
  <c r="D47" i="3"/>
  <c r="F47" i="3" s="1"/>
  <c r="G47" i="3" s="1"/>
  <c r="D46" i="3"/>
  <c r="F86" i="3"/>
  <c r="D35" i="23"/>
  <c r="F48" i="3" l="1"/>
  <c r="G48" i="3" s="1"/>
  <c r="F46" i="3"/>
  <c r="G46" i="3" s="1"/>
  <c r="H37" i="6"/>
  <c r="H45" i="6"/>
  <c r="G38" i="7"/>
  <c r="G43" i="7" s="1"/>
  <c r="H17" i="6"/>
  <c r="H28" i="6" s="1"/>
  <c r="H47" i="6" s="1"/>
  <c r="E25" i="4"/>
  <c r="E28" i="4" s="1"/>
  <c r="D68" i="22"/>
  <c r="D69" i="22"/>
  <c r="D70" i="22"/>
  <c r="G12" i="7"/>
  <c r="G19" i="7" s="1"/>
  <c r="D118" i="15"/>
  <c r="D129" i="15" s="1"/>
  <c r="D131" i="15" s="1"/>
  <c r="E84" i="3"/>
  <c r="E88" i="3" s="1"/>
  <c r="F113" i="15"/>
  <c r="C96" i="3"/>
  <c r="C121" i="3"/>
  <c r="F119" i="15"/>
  <c r="C129" i="3"/>
  <c r="D50" i="3"/>
  <c r="F50" i="3" s="1"/>
  <c r="G50" i="3" s="1"/>
  <c r="AO109" i="23"/>
  <c r="AO112" i="23" s="1"/>
  <c r="AO115" i="23" s="1"/>
  <c r="AO116" i="23" s="1"/>
  <c r="AO118" i="23" s="1"/>
  <c r="D65" i="3"/>
  <c r="F65" i="3" s="1"/>
  <c r="G65" i="3" s="1"/>
  <c r="T137" i="23"/>
  <c r="F59" i="3"/>
  <c r="G59" i="3" s="1"/>
  <c r="F44" i="3"/>
  <c r="G44" i="3" s="1"/>
  <c r="F67" i="23"/>
  <c r="E95" i="23"/>
  <c r="F95" i="23" s="1"/>
  <c r="D95" i="23"/>
  <c r="F60" i="3"/>
  <c r="G60" i="3" s="1"/>
  <c r="G45" i="7" l="1"/>
  <c r="G64" i="7" s="1"/>
  <c r="G143" i="7" s="1"/>
  <c r="E18" i="4" s="1"/>
  <c r="E21" i="4" s="1"/>
  <c r="E23" i="4" s="1"/>
  <c r="E44" i="4" s="1"/>
  <c r="C17" i="3" s="1"/>
  <c r="C126" i="3"/>
  <c r="F118" i="15"/>
  <c r="F129" i="15" s="1"/>
  <c r="C119" i="3"/>
  <c r="F84" i="3"/>
  <c r="F88" i="3" s="1"/>
  <c r="C34" i="3" l="1"/>
  <c r="F131" i="15"/>
  <c r="C135" i="3"/>
  <c r="D32" i="4"/>
  <c r="E35" i="4" s="1"/>
  <c r="E38"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tc={36C3EBC9-D425-49C4-88D9-7163D2A68669}</author>
    <author>Nieto, Eve</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tc={36C3EBC9-D425-49C5-88D9-7163D2A68669}</author>
  </authors>
  <commentList>
    <comment ref="B6" authorId="0" shapeId="0" xr:uid="{00000000-0006-0000-0200-000001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C6" authorId="1" shapeId="0" xr:uid="{00000000-0006-0000-0200-000002000000}">
      <text>
        <r>
          <rPr>
            <b/>
            <sz val="9"/>
            <color indexed="81"/>
            <rFont val="Tahoma"/>
            <family val="2"/>
          </rPr>
          <t>Nieto, Eve:</t>
        </r>
        <r>
          <rPr>
            <sz val="9"/>
            <color indexed="81"/>
            <rFont val="Tahoma"/>
            <family val="2"/>
          </rPr>
          <t xml:space="preserve">
</t>
        </r>
        <r>
          <rPr>
            <sz val="14"/>
            <color indexed="81"/>
            <rFont val="Tahoma"/>
            <family val="2"/>
          </rPr>
          <t>Source: FY 24-25 FCS ALLOCATION WORKSHEET
4.4.23</t>
        </r>
        <r>
          <rPr>
            <sz val="9"/>
            <color indexed="81"/>
            <rFont val="Tahoma"/>
            <family val="2"/>
          </rPr>
          <t xml:space="preserve">
</t>
        </r>
      </text>
    </comment>
    <comment ref="A40" authorId="1" shapeId="0" xr:uid="{00000000-0006-0000-0200-000003000000}">
      <text>
        <r>
          <rPr>
            <b/>
            <sz val="9"/>
            <color indexed="81"/>
            <rFont val="Tahoma"/>
            <family val="2"/>
          </rPr>
          <t>Nieto, Eve:</t>
        </r>
        <r>
          <rPr>
            <sz val="9"/>
            <color indexed="81"/>
            <rFont val="Tahoma"/>
            <family val="2"/>
          </rPr>
          <t xml:space="preserve">
</t>
        </r>
        <r>
          <rPr>
            <sz val="14"/>
            <color indexed="81"/>
            <rFont val="Tahoma"/>
            <family val="2"/>
          </rPr>
          <t>GAA APPROPRIATION 128 RECURRING AND NON RECURRING FUNDS.</t>
        </r>
        <r>
          <rPr>
            <sz val="9"/>
            <color indexed="81"/>
            <rFont val="Tahoma"/>
            <family val="2"/>
          </rPr>
          <t xml:space="preserve">
</t>
        </r>
        <r>
          <rPr>
            <sz val="14"/>
            <color indexed="81"/>
            <rFont val="Tahoma"/>
            <family val="2"/>
          </rPr>
          <t>EN 4.4.24</t>
        </r>
        <r>
          <rPr>
            <sz val="9"/>
            <color indexed="81"/>
            <rFont val="Tahoma"/>
            <family val="2"/>
          </rPr>
          <t xml:space="preserve">
</t>
        </r>
      </text>
    </comment>
    <comment ref="A59" authorId="2" shapeId="0" xr:uid="{00000000-0006-0000-0200-000005000000}">
      <text>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28.
</t>
      </text>
    </comment>
    <comment ref="A61" authorId="1" shapeId="0" xr:uid="{00000000-0006-0000-0200-000006000000}">
      <text>
        <r>
          <rPr>
            <b/>
            <sz val="14"/>
            <color indexed="81"/>
            <rFont val="Tahoma"/>
            <family val="2"/>
          </rPr>
          <t>Nieto, Eve:</t>
        </r>
        <r>
          <rPr>
            <sz val="14"/>
            <color indexed="81"/>
            <rFont val="Tahoma"/>
            <family val="2"/>
          </rPr>
          <t xml:space="preserve">
TCC Adults with Disb Program App#28
4.4.24</t>
        </r>
        <r>
          <rPr>
            <sz val="9"/>
            <color indexed="81"/>
            <rFont val="Tahoma"/>
            <family val="2"/>
          </rPr>
          <t xml:space="preserve">
</t>
        </r>
      </text>
    </comment>
    <comment ref="B66" authorId="3" shapeId="0" xr:uid="{00000000-0006-0000-0200-000007000000}">
      <text>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J:\Finance\Fees\2024-25\Fee Calculator 2023-24 (Using 2023-24 FTE-2A)  FALL 2023 FEES 4.3.24DRS.xlsx
Use the 2023-24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E66" authorId="4" shapeId="0" xr:uid="{00000000-0006-0000-0200-000008000000}">
      <text>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A104" authorId="5" shapeId="0" xr:uid="{00000000-0006-0000-0200-000009000000}">
      <text>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J:\Finance\Fees\2024-25\Fee Calculator 2023-24 (Using 2023-24 FTE-2A)  FALL 2023 FEES 4.3.24DRS.xlsx
Use the 2023-24 Tab to complete this chart.
</t>
      </text>
    </comment>
    <comment ref="T105" authorId="6" shapeId="0" xr:uid="{00000000-0006-0000-0200-00000A000000}">
      <text>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text>
    </comment>
    <comment ref="B108" authorId="7" shapeId="0" xr:uid="{00000000-0006-0000-0200-00000B000000}">
      <text>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text>
    </comment>
    <comment ref="E108" authorId="8" shapeId="0" xr:uid="{00000000-0006-0000-0200-00000C000000}">
      <text>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text>
    </comment>
    <comment ref="F108" authorId="9" shapeId="0" xr:uid="{00000000-0006-0000-0200-00000D000000}">
      <text>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text>
    </comment>
    <comment ref="H108" authorId="10" shapeId="0" xr:uid="{00000000-0006-0000-0200-00000E000000}">
      <text>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text>
    </comment>
    <comment ref="I108" authorId="11" shapeId="0" xr:uid="{00000000-0006-0000-0200-00000F000000}">
      <text>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text>
    </comment>
    <comment ref="K108" authorId="12" shapeId="0" xr:uid="{00000000-0006-0000-0200-000010000000}">
      <text>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text>
    </comment>
    <comment ref="L108" authorId="13" shapeId="0" xr:uid="{00000000-0006-0000-0200-000011000000}">
      <text>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text>
    </comment>
    <comment ref="N108" authorId="14" shapeId="0" xr:uid="{00000000-0006-0000-0200-000012000000}">
      <text>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text>
    </comment>
    <comment ref="O108" authorId="15" shapeId="0" xr:uid="{00000000-0006-0000-0200-000013000000}">
      <text>
        <t>[Threaded comment]
Your version of Excel allows you to read this threaded comment; however, any edits to it will get removed if the file is opened in a newer version of Excel. Learn more: https://go.microsoft.com/fwlink/?linkid=870924
Comment:
    EPI Estimated Non-Florida Resident FTE, Cell W54</t>
      </text>
    </comment>
    <comment ref="Q108" authorId="16" shapeId="0" xr:uid="{00000000-0006-0000-0200-000014000000}">
      <text>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text>
    </comment>
    <comment ref="R108" authorId="17" shapeId="0" xr:uid="{00000000-0006-0000-0200-000015000000}">
      <text>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text>
    </comment>
    <comment ref="W108" authorId="18" shapeId="0" xr:uid="{00000000-0006-0000-0200-000016000000}">
      <text>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text>
    </comment>
    <comment ref="X108" authorId="19" shapeId="0" xr:uid="{00000000-0006-0000-0200-000017000000}">
      <text>
        <t xml:space="preserve">[Threaded comment]
Your version of Excel allows you to read this threaded comment; however, any edits to it will get removed if the file is opened in a newer version of Excel. Learn more: https://go.microsoft.com/fwlink/?linkid=870924
Comment:
    Voc. Prep FTE Total, Cell G54
</t>
      </text>
    </comment>
    <comment ref="Z108" authorId="1" shapeId="0" xr:uid="{00000000-0006-0000-0200-000018000000}">
      <text>
        <r>
          <rPr>
            <b/>
            <sz val="14"/>
            <color indexed="81"/>
            <rFont val="Tahoma"/>
            <family val="2"/>
          </rPr>
          <t>Nieto, Eve:</t>
        </r>
        <r>
          <rPr>
            <sz val="14"/>
            <color indexed="81"/>
            <rFont val="Tahoma"/>
            <family val="2"/>
          </rPr>
          <t xml:space="preserve">
Formulas in place.
 Complete columns AE and AF first. </t>
        </r>
      </text>
    </comment>
    <comment ref="AA108" authorId="20" shapeId="0" xr:uid="{00000000-0006-0000-0200-000019000000}">
      <text>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text>
    </comment>
    <comment ref="AE108" authorId="21" shapeId="0" xr:uid="{00000000-0006-0000-0200-00001A000000}">
      <text>
        <t xml:space="preserve">[Threaded comment]
Your version of Excel allows you to read this threaded comment; however, any edits to it will get removed if the file is opened in a newer version of Excel. Learn more: https://go.microsoft.com/fwlink/?linkid=870924
Comment:
    Adult Basic FTE, Cell H54
 </t>
      </text>
    </comment>
    <comment ref="AF108" authorId="22" shapeId="0" xr:uid="{00000000-0006-0000-0200-00001B000000}">
      <text>
        <t>[Threaded comment]
Your version of Excel allows you to read this threaded comment; however, any edits to it will get removed if the file is opened in a newer version of Excel. Learn more: https://go.microsoft.com/fwlink/?linkid=870924
Comment:
    Adult Second. &amp; GED  FTE, Cell I54</t>
      </text>
    </comment>
    <comment ref="AO110" authorId="23" shapeId="0" xr:uid="{00000000-0006-0000-0200-00001C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text>
    </comment>
    <comment ref="AO111" authorId="24" shapeId="0" xr:uid="{00000000-0006-0000-0200-00001D000000}">
      <text>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text>
    </comment>
    <comment ref="AO114" authorId="25" shapeId="0" xr:uid="{00000000-0006-0000-0200-00001E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text>
    </comment>
    <comment ref="B149" authorId="26" shapeId="0" xr:uid="{00000000-0006-0000-0200-00001F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B184" authorId="1" shapeId="0" xr:uid="{00000000-0006-0000-0200-000020000000}">
      <text>
        <r>
          <rPr>
            <b/>
            <sz val="9"/>
            <color indexed="81"/>
            <rFont val="Tahoma"/>
            <family val="2"/>
          </rPr>
          <t>Nieto, Eve:</t>
        </r>
        <r>
          <rPr>
            <sz val="9"/>
            <color indexed="81"/>
            <rFont val="Tahoma"/>
            <family val="2"/>
          </rPr>
          <t xml:space="preserve">
</t>
        </r>
        <r>
          <rPr>
            <sz val="12"/>
            <color indexed="81"/>
            <rFont val="Tahoma"/>
            <family val="2"/>
          </rPr>
          <t xml:space="preserve">GAA APPROPRIATION 129
EN 4.3.24
Hand enter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tc={C59C0FD2-0420-46F8-BA5D-9B1F5B311F31}</author>
    <author>tc={929E1006-F16D-4CDE-BD0D-80B88A081C3F}</author>
    <author>tc={78B00E4D-4A44-48B6-9998-D3F172A541B4}</author>
    <author>tc={B82D3A2A-092B-4169-B2AA-2D42D095B31B}</author>
    <author>tc={E0869CB5-879F-4AF0-AFAA-5ABEF5EA25B0}</author>
  </authors>
  <commentList>
    <comment ref="D43" authorId="0"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VLOOKUP Tab - Cells A108 to S141</t>
      </text>
    </comment>
    <comment ref="G43" authorId="1"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text>
    </comment>
    <comment ref="D58" authorId="2" shapeId="0" xr:uid="{00000000-0006-0000-0300-000004000000}">
      <text>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text>
    </comment>
    <comment ref="G58" authorId="3" shapeId="0" xr:uid="{00000000-0006-0000-0300-000005000000}">
      <text>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text>
    </comment>
    <comment ref="C103" authorId="4" shapeId="0" xr:uid="{00000000-0006-0000-0300-000006000000}">
      <text>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tc={61CE53BA-2559-4201-B3F9-7A910C1A273B}</author>
  </authors>
  <commentList>
    <comment ref="G78" authorId="0" shapeId="0" xr:uid="{00000000-0006-0000-0800-000001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text>
    </comment>
    <comment ref="G81" authorId="1" shapeId="0" xr:uid="{00000000-0006-0000-0800-000002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text>
    </comment>
    <comment ref="G265" authorId="2" shapeId="0" xr:uid="{00000000-0006-0000-0800-000003000000}">
      <text>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t xml:space="preserve">[Threaded comment]
Your version of Excel allows you to read this threaded comment; however, any edits to it will get removed if the file is opened in a newer version of Excel. Learn more: https://go.microsoft.com/fwlink/?linkid=870924
Comment:
    Pursuant to Rule 6A-14.029, FAC.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xr:uid="{00000000-0006-0000-0B00-000002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9" authorId="2" shapeId="0" xr:uid="{00000000-0006-0000-0B00-000003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sharedStrings.xml><?xml version="1.0" encoding="utf-8"?>
<sst xmlns="http://schemas.openxmlformats.org/spreadsheetml/2006/main" count="1301" uniqueCount="786">
  <si>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</si>
  <si>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</si>
  <si>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</si>
  <si>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</si>
  <si>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</si>
  <si>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</si>
  <si>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</si>
  <si>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</si>
  <si>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</si>
  <si>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</si>
  <si>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</si>
  <si>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</si>
  <si>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</si>
  <si>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</si>
  <si>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</si>
  <si>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</si>
  <si>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</si>
  <si>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</si>
  <si>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</si>
  <si>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</si>
  <si>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</si>
  <si>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</si>
  <si>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</si>
  <si>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</si>
  <si>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</si>
  <si>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</si>
  <si>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</si>
  <si>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</si>
  <si>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</si>
  <si>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</si>
  <si>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</si>
  <si>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</si>
  <si>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</si>
  <si>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</si>
  <si>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</si>
  <si>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</si>
  <si>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</si>
  <si>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</si>
  <si>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</si>
  <si>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</si>
  <si>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</si>
  <si>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</si>
  <si>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</si>
  <si>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</si>
  <si>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</si>
  <si>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</si>
  <si>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</si>
  <si>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</si>
  <si>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</si>
  <si>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</si>
  <si>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</si>
  <si>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</si>
  <si>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</si>
  <si>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</si>
  <si>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</si>
  <si>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</si>
  <si>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</si>
  <si>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</si>
  <si>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</si>
  <si>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</si>
  <si>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</si>
  <si>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</si>
  <si>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</si>
  <si>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</si>
  <si>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</si>
  <si>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</si>
  <si>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</si>
  <si>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</si>
  <si>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</si>
  <si>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</si>
  <si>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</si>
  <si>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</si>
  <si>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</si>
  <si>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</si>
  <si>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</si>
  <si>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</si>
  <si>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</si>
  <si>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</si>
  <si>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</si>
  <si>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</si>
  <si>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</si>
  <si>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</si>
  <si>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</si>
  <si>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</si>
  <si>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</si>
  <si>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</si>
  <si>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</si>
  <si>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</si>
  <si>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</si>
  <si>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</si>
  <si>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</si>
  <si>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</si>
  <si>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</si>
  <si>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</si>
  <si>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</si>
  <si>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</si>
  <si>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</si>
  <si>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</si>
  <si>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</si>
  <si>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</si>
  <si>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</si>
  <si>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</si>
  <si>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</si>
  <si>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</si>
  <si>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</si>
  <si>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</si>
  <si>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</si>
  <si>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</si>
  <si>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</si>
  <si>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</si>
  <si>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</si>
  <si>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</si>
  <si>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</si>
  <si>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</si>
  <si>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</si>
  <si>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</si>
  <si>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</si>
  <si>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</si>
  <si>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</si>
  <si>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</si>
  <si>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</si>
  <si>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</si>
  <si>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</si>
  <si>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</si>
  <si>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</si>
  <si>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</si>
  <si>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</si>
  <si>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</si>
  <si>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</si>
  <si>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</si>
  <si>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</si>
  <si>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</si>
  <si>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</si>
  <si>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</si>
  <si>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</si>
  <si>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</si>
  <si>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</si>
  <si>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</si>
  <si>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</si>
  <si>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</si>
  <si>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</si>
  <si>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</si>
  <si>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</si>
  <si>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</si>
  <si>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</si>
  <si>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</si>
  <si>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</si>
  <si>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</si>
  <si>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</si>
  <si>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</si>
  <si>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</si>
  <si>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</si>
  <si>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</si>
  <si>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</si>
  <si>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</si>
  <si>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</si>
  <si>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</si>
  <si>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</si>
  <si>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</si>
  <si>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</si>
  <si>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t>Difference</t>
  </si>
  <si>
    <t>Amount budgeted in GLC 59300 for the Compensated Absence Expense</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</si>
  <si>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</si>
  <si>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</si>
  <si>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</si>
  <si>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</si>
  <si>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</si>
  <si>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</si>
  <si>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</si>
  <si>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</si>
  <si>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</si>
  <si>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</si>
  <si>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</si>
  <si>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</si>
  <si>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</si>
  <si>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</si>
  <si>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</si>
  <si>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</si>
  <si>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</si>
  <si>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</si>
  <si>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</si>
  <si>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</si>
  <si>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</si>
  <si>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</si>
  <si>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</si>
  <si>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</si>
  <si>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</si>
  <si>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</si>
  <si>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</si>
  <si>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</si>
  <si>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</si>
  <si>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</si>
  <si>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</si>
  <si>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</si>
  <si>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</si>
  <si>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</si>
  <si>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</si>
  <si>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</si>
  <si>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</si>
  <si>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</si>
  <si>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</si>
  <si>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</si>
  <si>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</si>
  <si>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</si>
  <si>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</si>
  <si>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</si>
  <si>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</si>
  <si>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</si>
  <si>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</si>
  <si>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</si>
  <si>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</si>
  <si>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</si>
  <si>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</si>
  <si>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</si>
  <si>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</si>
  <si>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</si>
  <si>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</si>
  <si>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</si>
  <si>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</si>
  <si>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</si>
  <si>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</si>
  <si>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</si>
  <si>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</si>
  <si>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</si>
  <si>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</si>
  <si>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</si>
  <si>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</si>
  <si>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</si>
  <si>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</si>
  <si>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</si>
  <si>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</si>
  <si>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</si>
  <si>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</si>
  <si>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</si>
  <si>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</si>
  <si>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</si>
  <si>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</si>
  <si>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</si>
  <si>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</si>
  <si>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</si>
  <si>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</si>
  <si>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</si>
  <si>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</si>
  <si>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</si>
  <si>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</si>
  <si>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</si>
  <si>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</si>
  <si>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</si>
  <si>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</si>
  <si>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</si>
  <si>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</si>
  <si>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</si>
  <si>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</si>
  <si>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</si>
  <si>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</si>
  <si>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</si>
  <si>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</si>
  <si>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</si>
  <si>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</si>
  <si>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</si>
  <si>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</si>
  <si>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</si>
  <si>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</si>
  <si>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</si>
  <si>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</si>
  <si>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</si>
  <si>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</si>
  <si>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</si>
  <si>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</si>
  <si>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</si>
  <si>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</si>
  <si>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</si>
  <si>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</si>
  <si>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</si>
  <si>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</si>
  <si>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</si>
  <si>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</si>
  <si>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</si>
  <si>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</si>
  <si>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</si>
  <si>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</si>
  <si>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</si>
  <si>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</si>
  <si>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</si>
  <si>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</si>
  <si>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</si>
  <si>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</si>
  <si>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</si>
  <si>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</si>
  <si>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</si>
  <si>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</si>
  <si>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</si>
  <si>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</si>
  <si>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</si>
  <si>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</si>
  <si>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</si>
  <si>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</si>
  <si>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</si>
  <si>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</si>
  <si>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</si>
  <si>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</si>
  <si>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</si>
  <si>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</si>
  <si>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</si>
  <si>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</si>
  <si>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</si>
  <si>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</si>
  <si>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</si>
  <si>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</si>
  <si>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</si>
  <si>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</si>
  <si>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</si>
  <si>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</si>
  <si>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</si>
  <si>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</si>
  <si>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</si>
  <si>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</si>
  <si>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</si>
  <si>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</si>
  <si>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</si>
  <si>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</si>
  <si>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</si>
  <si>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</si>
  <si>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</si>
  <si>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</si>
  <si>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</si>
  <si>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</si>
  <si>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</si>
  <si>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</si>
  <si>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</si>
  <si>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INCENTIVE GRANTS FOR EXPANDED PROGRAMS</t>
  </si>
  <si>
    <t>42160</t>
  </si>
  <si>
    <t>LICENSE TAG FEES APPROPRIATION</t>
  </si>
  <si>
    <t>42210</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</si>
  <si>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</si>
  <si>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</si>
  <si>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</si>
  <si>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</si>
  <si>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</si>
  <si>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</si>
  <si>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</si>
  <si>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</si>
  <si>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</si>
  <si>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</si>
  <si>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</si>
  <si>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</si>
  <si>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</si>
  <si>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</si>
  <si>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</si>
  <si>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</si>
  <si>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</si>
  <si>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</si>
  <si>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</si>
  <si>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</si>
  <si>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</si>
  <si>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</si>
  <si>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</si>
  <si>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</si>
  <si>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</si>
  <si>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</si>
  <si>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</si>
  <si>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</si>
  <si>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</si>
  <si>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</si>
  <si>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</si>
  <si>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</si>
  <si>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</si>
  <si>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</si>
  <si>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</si>
  <si>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</si>
  <si>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</si>
  <si>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</si>
  <si>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</si>
  <si>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</si>
  <si>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</si>
  <si>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</si>
  <si>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</si>
  <si>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</si>
  <si>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</si>
  <si>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</si>
  <si>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</si>
  <si>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</si>
  <si>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</si>
  <si>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</si>
  <si>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</si>
  <si>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</si>
  <si>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</si>
  <si>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</si>
  <si>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</si>
  <si>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</si>
  <si>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</si>
  <si>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</si>
  <si>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</si>
  <si>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</si>
  <si>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</si>
  <si>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</si>
  <si>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</si>
  <si>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</si>
  <si>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</si>
  <si>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</si>
  <si>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</si>
  <si>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</si>
  <si>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</si>
  <si>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</si>
  <si>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</si>
  <si>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</si>
  <si>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</si>
  <si>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</si>
  <si>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</si>
  <si>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</si>
  <si>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</si>
  <si>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</si>
  <si>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</si>
  <si>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</si>
  <si>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</si>
  <si>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</si>
  <si>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</si>
  <si>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</si>
  <si>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</si>
  <si>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</si>
  <si>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</si>
  <si>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</si>
  <si>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</si>
  <si>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</si>
  <si>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</si>
  <si>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</si>
  <si>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</si>
  <si>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</si>
  <si>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</si>
  <si>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</si>
  <si>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</si>
  <si>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</si>
  <si>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</si>
  <si>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</si>
  <si>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</si>
  <si>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</si>
  <si>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</si>
  <si>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</si>
  <si>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</si>
  <si>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</si>
  <si>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</si>
  <si>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</si>
  <si>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</si>
  <si>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</si>
  <si>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</si>
  <si>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</si>
  <si>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</si>
  <si>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</si>
  <si>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</si>
  <si>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</si>
  <si>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</si>
  <si>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</si>
  <si>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</si>
  <si>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</si>
  <si>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</si>
  <si>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</si>
  <si>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</si>
  <si>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</si>
  <si>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</si>
  <si>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</si>
  <si>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</si>
  <si>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</si>
  <si>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</si>
  <si>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</si>
  <si>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</si>
  <si>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</si>
  <si>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</si>
  <si>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</si>
  <si>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</si>
  <si>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</si>
  <si>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</si>
  <si>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</si>
  <si>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</si>
  <si>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</si>
  <si>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</si>
  <si>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</si>
  <si>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</si>
  <si>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</si>
  <si>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</si>
  <si>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</si>
  <si>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</si>
  <si>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</si>
  <si>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</si>
  <si>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</si>
  <si>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</si>
  <si>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</si>
  <si>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</si>
  <si>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</si>
  <si>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</si>
  <si>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</si>
  <si>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</si>
  <si>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</si>
  <si>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</si>
  <si>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</si>
  <si>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</si>
  <si>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</si>
  <si>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</si>
  <si>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</si>
  <si>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</si>
  <si>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</si>
  <si>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</si>
  <si>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</si>
  <si>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</si>
  <si>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</si>
  <si>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</si>
  <si>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</si>
  <si>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</si>
  <si>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</si>
  <si>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</si>
  <si>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</si>
  <si>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</si>
  <si>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</si>
  <si>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</si>
  <si>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</si>
  <si>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</si>
  <si>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</si>
  <si>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</si>
  <si>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</si>
  <si>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</si>
  <si>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</si>
  <si>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</si>
  <si>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</si>
  <si>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</si>
  <si>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</si>
  <si>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</si>
  <si>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</si>
  <si>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</si>
  <si>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</si>
  <si>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</si>
  <si>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</si>
  <si>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</si>
  <si>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</si>
  <si>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</si>
  <si>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</si>
  <si>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</si>
  <si>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</si>
  <si>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</si>
  <si>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</si>
  <si>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</si>
  <si>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</si>
  <si>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</si>
  <si>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</si>
  <si>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</si>
  <si>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</si>
  <si>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</si>
  <si>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</si>
  <si>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</si>
  <si>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</si>
  <si>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</si>
  <si>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</si>
  <si>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</si>
  <si>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</si>
  <si>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</si>
  <si>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</si>
  <si>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</si>
  <si>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</si>
  <si>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</si>
  <si>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</si>
  <si>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</si>
  <si>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</si>
  <si>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</si>
  <si>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</si>
  <si>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</si>
  <si>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</si>
  <si>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</si>
  <si>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</si>
  <si>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</si>
  <si>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</si>
  <si>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</si>
  <si>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</si>
  <si>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</si>
  <si>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</si>
  <si>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</si>
  <si>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</si>
  <si>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</si>
  <si>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</si>
  <si>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</si>
  <si>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</si>
  <si>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</si>
  <si>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</si>
  <si>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</si>
  <si>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</si>
  <si>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</si>
  <si>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</si>
  <si>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</si>
  <si>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</si>
  <si>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</si>
  <si>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</si>
  <si>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</si>
  <si>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</si>
  <si>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</si>
  <si>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</si>
  <si>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</si>
  <si>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</si>
  <si>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</si>
  <si>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</si>
  <si>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</si>
  <si>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</si>
  <si>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</si>
  <si>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</si>
  <si>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</si>
  <si>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</si>
  <si>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</si>
  <si>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</si>
  <si>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</si>
  <si>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</si>
  <si>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</si>
  <si>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</si>
  <si>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</si>
  <si>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</si>
  <si>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</si>
  <si>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</si>
  <si>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</si>
  <si>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</si>
  <si>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</si>
  <si>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</si>
  <si>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</si>
  <si>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</si>
  <si>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</si>
  <si>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</si>
  <si>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</si>
  <si>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</si>
  <si>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</si>
  <si>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</si>
  <si>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</si>
  <si>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</si>
  <si>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</si>
  <si>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</si>
  <si>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</si>
  <si>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</si>
  <si>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</si>
  <si>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</si>
  <si>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</si>
  <si>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</si>
  <si>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</si>
  <si>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</si>
  <si>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</si>
  <si>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</si>
  <si>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</si>
  <si>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</si>
  <si>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</si>
  <si>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</si>
  <si>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</si>
  <si>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</si>
  <si>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</si>
  <si>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</si>
  <si>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</si>
  <si>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</si>
  <si>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</si>
  <si>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</si>
  <si>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</si>
  <si>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</si>
  <si>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</si>
  <si>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</si>
  <si>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</si>
  <si>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</si>
  <si>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</si>
  <si>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</si>
  <si>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</si>
  <si>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</si>
  <si>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</si>
  <si>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</si>
  <si>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</si>
  <si>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</si>
  <si>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</si>
  <si>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</si>
  <si>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</si>
  <si>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</si>
  <si>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</si>
  <si>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</si>
  <si>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</si>
  <si>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</si>
  <si>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</si>
  <si>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</si>
  <si>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</si>
  <si>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</si>
  <si>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</si>
  <si>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</si>
  <si>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</si>
  <si>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</si>
  <si>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</si>
  <si>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</si>
  <si>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</si>
  <si>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WORKFORCE/WAGES/GRANT PARTICIPANT SUPPORT COSTS</t>
  </si>
  <si>
    <t>Current</t>
  </si>
  <si>
    <t>Auxiliary</t>
  </si>
  <si>
    <t>2021-22 COLLEGE OPERATING BUDGET</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</si>
  <si>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</si>
  <si>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</si>
  <si>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(LONG-TERM/ASSET=&gt;$5,000)</t>
  </si>
  <si>
    <t>LEASE PAYMENTS (LONG-TERM/ASSET&lt;$5,000)</t>
  </si>
  <si>
    <t>UNINSURED LOSS RECOVERY</t>
  </si>
  <si>
    <t>OTHER LICENCES</t>
  </si>
  <si>
    <t>DATA LICENSES - PERPETUAL</t>
  </si>
  <si>
    <t>FEE PAYING</t>
  </si>
  <si>
    <t>DO NOT DELETE (THIS CALCULATION CHECKS THE ACCURACY OF THE DATA EACH EACH YEAR)</t>
  </si>
  <si>
    <t>PIPELINE (GL Code 42130)</t>
  </si>
  <si>
    <t>SPECIAL APPROPRIATION - OTHER (TO INCLUDE PIPELINE)</t>
  </si>
  <si>
    <t>INSTRUCTIONAL - SABBATICAL</t>
  </si>
  <si>
    <t>NON-MANDATORY TRANSFERS IN</t>
  </si>
  <si>
    <t>MANDATORY TRANSFERS-OUT</t>
  </si>
  <si>
    <t>NON-MANDATORY TRANSFERS-OUT</t>
  </si>
  <si>
    <t xml:space="preserve">UTILITIES </t>
  </si>
  <si>
    <r>
      <t xml:space="preserve">* Exhibit G, Grand Total Expenditures (Row 113) should agree with Total Source of Funds (Row 129). There should be adequate sources of funds to cover the cost of the expenditures reported. However, if there is a difference reported in cells D thru F, Row 131,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</si>
  <si>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131, CELLS D THROUGH F.</t>
  </si>
  <si>
    <t>Difference -- The Estimated Unencumbered Fund Balance and the Total Available Fund Balance minus Encumbered Reserves should equal "zero" (0). If not, please verify that the amounts automatically populated in Cells C101 and C102 are reported correctly on Exhibits A and D.</t>
  </si>
  <si>
    <t>Cell C114 should be "zero (0)". If this cell is red, please verify that the amounts automatically populated in Cells C108, C109 and C112 are reported correctly.</t>
  </si>
  <si>
    <t>EXHIBIT G, Upper Level - Resident Student Fee Revenue (Cell D118) should agree with EXHIBIT C, Upper Level - Budgeted Fee Revenues (Cell H10).</t>
  </si>
  <si>
    <t>EXHIBIT G, Upper Level - Nonresident Student Fee Revenue (Cell D119)  should agree with EXHIBIT C, Upper Level - Budgeted Fee Revenues (Cell F19).</t>
  </si>
  <si>
    <r>
      <t>EXHIBIT G, Grand Total Expenditures ( Row 113) should agree with Total Source of Funds (Row 129).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C135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</si>
  <si>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Beginning and Ending Compensated Absence Reserve Balances should equal "zero (0)" in Cell C108, unless an amount was budgeted for the Compensated Absence Expense (GLC 59300) in Cell C112. </t>
    </r>
    <r>
      <rPr>
        <b/>
        <sz val="16"/>
        <color rgb="FFFF0000"/>
        <rFont val="Calibri"/>
        <family val="2"/>
        <scheme val="minor"/>
      </rPr>
      <t xml:space="preserve">Please note if there is a "Difference" in Cell C110, then the same amount should agree with the budgeted Compensated Absence Expense automatically populated in Cell C112. </t>
    </r>
  </si>
  <si>
    <t>2023-24 MAXIMUM DISCRETIONARY FEE PERCENTAGES</t>
  </si>
  <si>
    <t>THE PURPOSE OF THIS CHECK SHEET WILL ALLOW THE COLLEGE TO VERIFY THE OPERATING BUDGET DATA BEFORE SUBMITTING THE WORKBOOK TO THE BUDGET OFFICE</t>
  </si>
  <si>
    <t>Explanation: Do not press Enter until complete.</t>
  </si>
  <si>
    <t>EXPLANATION: Do not press Enter until complete.</t>
  </si>
  <si>
    <t>PERFORMANCE-BASED INCENTIVE PROGRAM (CATEGORICAL APPROPRIATIONS, INDUSTRY CERTIFICATIONS)</t>
  </si>
  <si>
    <t xml:space="preserve">IF YOU ENTER AN AMOUNT BELOW, YOU MUST ENTER THE APPROPRIATE FUND NUMBER IN THE "FUND TRANSFERRED FROM" COLUMN AND THE "FUND TRANSFERRED TO" COLUMN. PLEASE DO NOT LEAVE BLANK. </t>
  </si>
  <si>
    <t>UPDATE COLUMN HIGHLIGHTED IN YELLOW</t>
  </si>
  <si>
    <t>CAREER CERTIFICATE AND APPLIED TECHNOLOGY DIPLOMA (PSAV)</t>
  </si>
  <si>
    <t>Florida Southwestern State College</t>
  </si>
  <si>
    <t xml:space="preserve">2024-25 BASE BUDGET </t>
  </si>
  <si>
    <t>Tallahassee State College</t>
  </si>
  <si>
    <t>2024-25</t>
  </si>
  <si>
    <t>2024-25 FINANCIAL AID FEES ADDITIONAL 2% CALCULATION</t>
  </si>
  <si>
    <t xml:space="preserve"> FALL 2024-25 COLLEGE OPERATING BUDGET CHECK SHEET</t>
  </si>
  <si>
    <t xml:space="preserve"> FISCAL YEAR 2024-25</t>
  </si>
  <si>
    <t xml:space="preserve">FALL 2024-25 STUDENT TUITION AND FEE RATES AND BLOCK TUITION </t>
  </si>
  <si>
    <t>FALL 2024-25 BUDGET WORKSHEET FOR ESTIMATED STUDENT TUITION AND TRANSFERS</t>
  </si>
  <si>
    <t>FOR THE FISCAL YEAR 2024-25</t>
  </si>
  <si>
    <t>FISCAL YEAR 2024-25</t>
  </si>
  <si>
    <t>BEGINNING FUND BALANCE - JULY 1, 2024:</t>
  </si>
  <si>
    <r>
      <t xml:space="preserve">ESTIMATED AFR FUND BALANCE - </t>
    </r>
    <r>
      <rPr>
        <b/>
        <sz val="16"/>
        <rFont val="Calibri"/>
        <family val="2"/>
        <scheme val="minor"/>
      </rPr>
      <t>JUNE 30, 2024</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</si>
  <si>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2024</t>
    </r>
  </si>
  <si>
    <t>ESTIMATED FUND BALANCE - JUNE 30, 2024:</t>
  </si>
  <si>
    <r>
      <t xml:space="preserve">TOTAL ESTIMATED RESERVE AND UNENCUMBERED FUND BALANCE - </t>
    </r>
    <r>
      <rPr>
        <b/>
        <sz val="16"/>
        <rFont val="Calibri"/>
        <family val="2"/>
        <scheme val="minor"/>
      </rPr>
      <t>JUNE 30, 2025</t>
    </r>
  </si>
  <si>
    <r>
      <t xml:space="preserve">LESS ESTIMATED AMOUNT EXPECTED TO BE FINANCED IN FUTURE YEARS (GLC 30800) - </t>
    </r>
    <r>
      <rPr>
        <b/>
        <sz val="16"/>
        <rFont val="Calibri"/>
        <family val="2"/>
        <scheme val="minor"/>
      </rPr>
      <t>JUNE 30, 2025</t>
    </r>
  </si>
  <si>
    <t>TOTAL ESTIMATED FUND BALANCE - JUNE 30, 2025</t>
  </si>
  <si>
    <r>
      <t>ESTIMATED UNENCUMBERED FUND BALANCE -</t>
    </r>
    <r>
      <rPr>
        <b/>
        <sz val="16"/>
        <rFont val="Calibri"/>
        <family val="2"/>
        <scheme val="minor"/>
      </rPr>
      <t xml:space="preserve"> JUNE 30, 2025</t>
    </r>
  </si>
  <si>
    <t>AS OF JUNE 30, 2025, TO ESTIMATED FUNDS AVAILABLE</t>
  </si>
  <si>
    <r>
      <t xml:space="preserve">The completed board-approved operating budget forms should be submitted electronically to collegereporting@fldoe.org, </t>
    </r>
    <r>
      <rPr>
        <b/>
        <u/>
        <sz val="16"/>
        <rFont val="Calibri"/>
        <family val="2"/>
        <scheme val="minor"/>
      </rPr>
      <t>no later than Friday, June 28, 2024, to receive the scheduled disbursement of funds on or around July 15, 2024</t>
    </r>
    <r>
      <rPr>
        <b/>
        <sz val="16"/>
        <rFont val="Calibri"/>
        <family val="2"/>
        <scheme val="minor"/>
      </rPr>
      <t>. However, if the board-approved operating budget is submitted after June 30,  but before Friday, July 19th, the college will  receive the July disbursement on or around Friday, July 26, 2024.</t>
    </r>
  </si>
  <si>
    <t xml:space="preserve">Estimated Unencumbered Fund Balance as of June 30, 2024 (populated from EXHIBIT A) is equal to Total Available Fund Balance as of June 30, 2024 minus the Encumbered Reserves (populated from EXHIBIT D). </t>
  </si>
  <si>
    <r>
      <t xml:space="preserve">Estimated Unencumbered Fund Balance - </t>
    </r>
    <r>
      <rPr>
        <b/>
        <sz val="16"/>
        <rFont val="Calibri"/>
        <family val="2"/>
        <scheme val="minor"/>
      </rPr>
      <t>As of June 30, 2024</t>
    </r>
  </si>
  <si>
    <r>
      <t xml:space="preserve">Total Available Fund Balance </t>
    </r>
    <r>
      <rPr>
        <b/>
        <sz val="16"/>
        <color indexed="8"/>
        <rFont val="Calibri"/>
        <family val="2"/>
        <scheme val="minor"/>
      </rPr>
      <t xml:space="preserve">June 30, 2024 </t>
    </r>
    <r>
      <rPr>
        <sz val="16"/>
        <color indexed="8"/>
        <rFont val="Calibri"/>
        <family val="2"/>
        <scheme val="minor"/>
      </rPr>
      <t>minus Encumbrances</t>
    </r>
  </si>
  <si>
    <r>
      <t xml:space="preserve">(Beginning Compensated Absence Reserve) - </t>
    </r>
    <r>
      <rPr>
        <b/>
        <sz val="16"/>
        <rFont val="Calibri"/>
        <family val="2"/>
        <scheme val="minor"/>
      </rPr>
      <t>As of July 1, 2024</t>
    </r>
  </si>
  <si>
    <r>
      <t xml:space="preserve">(Ending Compensated Absence Reserve) - </t>
    </r>
    <r>
      <rPr>
        <b/>
        <sz val="16"/>
        <rFont val="Calibri"/>
        <family val="2"/>
        <scheme val="minor"/>
      </rPr>
      <t>Estimated at June 30, 2025</t>
    </r>
  </si>
  <si>
    <t>FALL 2024-25 TUITION INCREASED BY 0%</t>
  </si>
  <si>
    <t xml:space="preserve"> TOTAL 2024-25 PROJECTED TUITION AND OUT-OF-STATE FEE REVENUE</t>
  </si>
  <si>
    <t xml:space="preserve">2The 2024-25 General Revenue appropriations does not include the $30,000,000 appropriated for Performance Based Incentive Funding.  </t>
  </si>
  <si>
    <t>updated 4.3.24 EN</t>
  </si>
  <si>
    <t>UPDATE THE CELLS HIGHLIGHTED IN YELLOW USING THE SOURCE DATA AT:  J:\Finance\Fees\2023-24\Fee Calculator 2023-24 (Using 2023-24 FTE-2A) FALL 2023 FEES 4.3.24.DRS.xlsx</t>
  </si>
  <si>
    <t>DIVISION'S ESTIMATES BASED ON THE 2023-24 FTE-2A REPORT</t>
  </si>
  <si>
    <t>THIS IS THE DIVISION'S ESTIMATES BASED ON THE 2023-24 ESTIMATED FTE-2A  REPORT</t>
  </si>
  <si>
    <t>Total 2023-24 Estimated FTE-2A Report</t>
  </si>
  <si>
    <t>This amount should agree with 2023-24 FTE-2A Report (Cell L82)</t>
  </si>
  <si>
    <t>Date Updated:   04.3.24;    BY:  EN</t>
  </si>
  <si>
    <t>J:\Finance\Operating Budgets - current year\2024-25 OPERATING BUDGET\Forms and Instructions\Working Documents</t>
  </si>
  <si>
    <t>Date Updated: 4.3.24</t>
  </si>
  <si>
    <t>Updated 4.3.24 EN</t>
  </si>
  <si>
    <t>2024-25 SPECIAL PROJECTS</t>
  </si>
  <si>
    <t>Heating, Air Conditioning and Refrigeration Program</t>
  </si>
  <si>
    <t>Auto Service Technology Program Improvements</t>
  </si>
  <si>
    <t>Fire Fighting Training Program Breathing Apparatus</t>
  </si>
  <si>
    <t>Emergency Medical Services Training Center Critical Equipment</t>
  </si>
  <si>
    <t>Institute of Innovation and Emerging Technologies</t>
  </si>
  <si>
    <t>Radiologic Technology Program Enhancement and Emerging Technologies</t>
  </si>
  <si>
    <t>Expanding Teacher Pipeline</t>
  </si>
  <si>
    <t>Victims of Communism Exhibit and Education</t>
  </si>
  <si>
    <t xml:space="preserve"> Pasco-Hernando State College Porter Campus</t>
  </si>
  <si>
    <t>Nursing and Allied Health Advancement Institute</t>
  </si>
  <si>
    <t>Dental Education Clinic</t>
  </si>
  <si>
    <t>Updated: 4.4.24 EN</t>
  </si>
  <si>
    <t>Date Updated 4.4.24</t>
  </si>
  <si>
    <t>ADULTS WITH DISABILITIES APPROPRIATION  (PROVIDED FOR INFORMATION PURPOSES ONLY APPROPRIATION 28 NOT ADDED INTO GR ABOVE)</t>
  </si>
  <si>
    <t>CDL Consortium</t>
  </si>
  <si>
    <t xml:space="preserve">2024-25 INSTRUCTIONS </t>
  </si>
  <si>
    <t>DISTANCE LEARNING</t>
  </si>
  <si>
    <t>XXXXX</t>
  </si>
  <si>
    <t xml:space="preserve">Note:  </t>
  </si>
  <si>
    <t>DISTANCE LEARNING (2)</t>
  </si>
  <si>
    <t>(1) These Fees Are Not Required. The 2024-25 Fee Audit and Discretionary Fee calculations are provided at the end of the Workbook, to assist the college in verifying that the tuition and fee</t>
  </si>
  <si>
    <t xml:space="preserve"> rates are in compliance with sections 1009.22 and 1009.23, Florida Statutes.</t>
  </si>
  <si>
    <r>
      <t xml:space="preserve">(2)HB 1285- Beginning with the 2024-25 academic year, </t>
    </r>
    <r>
      <rPr>
        <b/>
        <sz val="16"/>
        <rFont val="Calibri"/>
        <family val="2"/>
        <scheme val="minor"/>
      </rPr>
      <t>Miami Dade College, Polk State College</t>
    </r>
    <r>
      <rPr>
        <sz val="16"/>
        <rFont val="Calibri"/>
        <family val="2"/>
        <scheme val="minor"/>
      </rPr>
      <t xml:space="preserve">, and </t>
    </r>
    <r>
      <rPr>
        <b/>
        <sz val="16"/>
        <rFont val="Calibri"/>
        <family val="2"/>
        <scheme val="minor"/>
      </rPr>
      <t>Tallahassee State College</t>
    </r>
    <r>
      <rPr>
        <sz val="16"/>
        <rFont val="Calibri"/>
        <family val="2"/>
        <scheme val="minor"/>
      </rPr>
      <t xml:space="preserve"> are authorized to charge an amount not to exceed $290 per </t>
    </r>
  </si>
  <si>
    <t>credit hour for nonresident tuition and fees for distance learning. Such institutions may phase in this nonresident tuition rate by degree program.</t>
  </si>
  <si>
    <t>AMOUNT EXPECTED TO BE FINANCED IN FUTURE YEARS - ESTIMATED AS OF JUNE 30, 2025</t>
  </si>
  <si>
    <t>Based on current data, the College is projecting a 5% increase in student credit hours for FY 24-25.</t>
  </si>
  <si>
    <t xml:space="preserve">Baccalaureate A&amp;P credit hours are based on actual data for current year, but the College is projecting an overall 5% increase in student hours for FY 24-25.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</si>
</sst>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b/>
      <sz val="18"/>
      <color theme="3"/>
      <name val="Calibri"/>
      <family val="2"/>
      <scheme val="minor"/>
    </font>
    <font>
      <b/>
      <sz val="16"/>
      <color rgb="FF002060"/>
      <name val="Calibri"/>
      <family val="2"/>
      <scheme val="minor"/>
    </font>
    <font>
      <sz val="16"/>
      <color rgb="FF002060"/>
      <name val="Calibri"/>
      <family val="2"/>
      <scheme val="minor"/>
    </font>
    <font>
      <b/>
      <sz val="24"/>
      <name val="Calibri"/>
      <family val="2"/>
      <scheme val="minor"/>
    </font>
    <font>
      <b/>
      <sz val="10"/>
      <name val="Calibri"/>
      <family val="2"/>
      <scheme val="minor"/>
    </font>
    <font>
      <b/>
      <sz val="14"/>
      <color indexed="81"/>
      <name val="Tahoma"/>
      <family val="2"/>
    </font>
    <font>
      <sz val="14"/>
      <color indexed="81"/>
      <name val="Tahoma"/>
      <family val="2"/>
    </font>
  </fonts>
  <fills count="8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
      <patternFill patternType="solid">
        <fgColor rgb="FFFF7C80"/>
        <bgColor indexed="64"/>
      </patternFill>
    </fill>
    <fill>
      <patternFill patternType="solid">
        <fgColor theme="9" tint="0.79998168889431442"/>
        <bgColor indexed="64"/>
      </patternFill>
    </fill>
  </fills>
  <borders count="31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medium">
        <color theme="1"/>
      </left>
      <right/>
      <top style="medium">
        <color theme="1"/>
      </top>
      <bottom style="medium">
        <color indexed="64"/>
      </bottom>
      <diagonal/>
    </border>
    <border>
      <left/>
      <right/>
      <top style="medium">
        <color theme="1"/>
      </top>
      <bottom style="medium">
        <color indexed="64"/>
      </bottom>
      <diagonal/>
    </border>
    <border>
      <left/>
      <right style="medium">
        <color theme="1"/>
      </right>
      <top style="medium">
        <color theme="1"/>
      </top>
      <bottom style="medium">
        <color indexed="64"/>
      </bottom>
      <diagonal/>
    </border>
    <border>
      <left style="medium">
        <color theme="1"/>
      </left>
      <right/>
      <top style="medium">
        <color indexed="8"/>
      </top>
      <bottom style="medium">
        <color indexed="64"/>
      </bottom>
      <diagonal/>
    </border>
    <border>
      <left/>
      <right/>
      <top style="medium">
        <color indexed="8"/>
      </top>
      <bottom style="medium">
        <color indexed="64"/>
      </bottom>
      <diagonal/>
    </border>
    <border>
      <left/>
      <right style="medium">
        <color theme="1"/>
      </right>
      <top style="medium">
        <color indexed="8"/>
      </top>
      <bottom style="medium">
        <color indexed="64"/>
      </bottom>
      <diagonal/>
    </border>
    <border>
      <left style="medium">
        <color indexed="64"/>
      </left>
      <right style="medium">
        <color indexed="64"/>
      </right>
      <top style="thin">
        <color indexed="64"/>
      </top>
      <bottom style="medium">
        <color auto="1"/>
      </bottom>
      <diagonal/>
    </border>
    <border>
      <left style="medium">
        <color auto="1"/>
      </left>
      <right style="medium">
        <color auto="1"/>
      </right>
      <top/>
      <bottom style="thin">
        <color auto="1"/>
      </bottom>
      <diagonal/>
    </border>
    <border>
      <left style="medium">
        <color auto="1"/>
      </left>
      <right style="medium">
        <color auto="1"/>
      </right>
      <top/>
      <bottom style="medium">
        <color auto="1"/>
      </bottom>
      <diagonal/>
    </border>
    <border>
      <left/>
      <right/>
      <top/>
      <bottom style="medium">
        <color indexed="64"/>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43" fillId="20" borderId="77"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69" applyNumberFormat="0" applyAlignment="0" applyProtection="0"/>
    <xf numFmtId="0" fontId="30" fillId="20" borderId="69" applyNumberFormat="0" applyAlignment="0" applyProtection="0"/>
    <xf numFmtId="0" fontId="30" fillId="20" borderId="69"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5" applyNumberFormat="0" applyAlignment="0" applyProtection="0"/>
    <xf numFmtId="0" fontId="28" fillId="7" borderId="73" applyNumberFormat="0" applyAlignment="0" applyProtection="0"/>
    <xf numFmtId="0" fontId="50" fillId="7" borderId="73" applyNumberFormat="0" applyAlignment="0" applyProtection="0"/>
    <xf numFmtId="0" fontId="50" fillId="7" borderId="85" applyNumberFormat="0" applyAlignment="0" applyProtection="0"/>
    <xf numFmtId="44" fontId="13" fillId="0" borderId="0" applyFont="0" applyFill="0" applyBorder="0" applyAlignment="0" applyProtection="0"/>
    <xf numFmtId="0" fontId="50" fillId="7" borderId="77" applyNumberFormat="0" applyAlignment="0" applyProtection="0"/>
    <xf numFmtId="0" fontId="28" fillId="7" borderId="77" applyNumberFormat="0" applyAlignment="0" applyProtection="0"/>
    <xf numFmtId="0" fontId="50" fillId="7" borderId="69" applyNumberFormat="0" applyAlignment="0" applyProtection="0"/>
    <xf numFmtId="0" fontId="28" fillId="7" borderId="69" applyNumberFormat="0" applyAlignment="0" applyProtection="0"/>
    <xf numFmtId="0" fontId="30" fillId="20" borderId="85" applyNumberFormat="0" applyAlignment="0" applyProtection="0"/>
    <xf numFmtId="0" fontId="30" fillId="20" borderId="85" applyNumberFormat="0" applyAlignment="0" applyProtection="0"/>
    <xf numFmtId="0" fontId="30" fillId="20" borderId="73" applyNumberFormat="0" applyAlignment="0" applyProtection="0"/>
    <xf numFmtId="0" fontId="30" fillId="20" borderId="73" applyNumberFormat="0" applyAlignment="0" applyProtection="0"/>
    <xf numFmtId="0" fontId="43" fillId="20" borderId="73" applyNumberFormat="0" applyAlignment="0" applyProtection="0"/>
    <xf numFmtId="0" fontId="43" fillId="20" borderId="85" applyNumberFormat="0" applyAlignment="0" applyProtection="0"/>
    <xf numFmtId="0" fontId="11" fillId="0" borderId="0"/>
    <xf numFmtId="0" fontId="11" fillId="0" borderId="0"/>
    <xf numFmtId="0" fontId="11" fillId="0" borderId="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4"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53" fillId="20" borderId="71" applyNumberFormat="0" applyAlignment="0" applyProtection="0"/>
    <xf numFmtId="0" fontId="29" fillId="20" borderId="71" applyNumberFormat="0" applyAlignment="0" applyProtection="0"/>
    <xf numFmtId="0" fontId="29" fillId="20" borderId="71" applyNumberForma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9" fontId="13"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54" fillId="0" borderId="72" applyNumberFormat="0" applyFill="0" applyAlignment="0" applyProtection="0"/>
    <xf numFmtId="0" fontId="35" fillId="0" borderId="72" applyNumberFormat="0" applyFill="0" applyAlignment="0" applyProtection="0"/>
    <xf numFmtId="0" fontId="35" fillId="0" borderId="72"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4"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3" fillId="20" borderId="87" applyNumberFormat="0" applyAlignment="0" applyProtection="0"/>
    <xf numFmtId="0" fontId="29" fillId="20" borderId="87" applyNumberFormat="0" applyAlignment="0" applyProtection="0"/>
    <xf numFmtId="0" fontId="29" fillId="20" borderId="87" applyNumberFormat="0" applyAlignment="0" applyProtection="0"/>
    <xf numFmtId="0" fontId="54" fillId="0" borderId="88" applyNumberFormat="0" applyFill="0" applyAlignment="0" applyProtection="0"/>
    <xf numFmtId="0" fontId="35" fillId="0" borderId="88" applyNumberFormat="0" applyFill="0" applyAlignment="0" applyProtection="0"/>
    <xf numFmtId="0" fontId="35" fillId="0" borderId="88"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2" applyNumberFormat="0" applyAlignment="0" applyProtection="0"/>
    <xf numFmtId="0" fontId="30" fillId="20" borderId="92" applyNumberFormat="0" applyAlignment="0" applyProtection="0"/>
    <xf numFmtId="0" fontId="30" fillId="20" borderId="92" applyNumberFormat="0" applyAlignment="0" applyProtection="0"/>
    <xf numFmtId="0" fontId="50" fillId="7" borderId="92" applyNumberFormat="0" applyAlignment="0" applyProtection="0"/>
    <xf numFmtId="0" fontId="28" fillId="7" borderId="92" applyNumberFormat="0" applyAlignment="0" applyProtection="0"/>
    <xf numFmtId="0" fontId="10" fillId="0" borderId="0"/>
    <xf numFmtId="0" fontId="10" fillId="0" borderId="0"/>
    <xf numFmtId="0" fontId="10"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4"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53" fillId="20" borderId="94" applyNumberFormat="0" applyAlignment="0" applyProtection="0"/>
    <xf numFmtId="0" fontId="29" fillId="20" borderId="94" applyNumberFormat="0" applyAlignment="0" applyProtection="0"/>
    <xf numFmtId="0" fontId="29" fillId="20" borderId="94" applyNumberFormat="0" applyAlignment="0" applyProtection="0"/>
    <xf numFmtId="0" fontId="54" fillId="0" borderId="95" applyNumberFormat="0" applyFill="0" applyAlignment="0" applyProtection="0"/>
    <xf numFmtId="0" fontId="35" fillId="0" borderId="95" applyNumberFormat="0" applyFill="0" applyAlignment="0" applyProtection="0"/>
    <xf numFmtId="0" fontId="35" fillId="0" borderId="95" applyNumberFormat="0" applyFill="0" applyAlignment="0" applyProtection="0"/>
    <xf numFmtId="0" fontId="9" fillId="0" borderId="0"/>
    <xf numFmtId="0" fontId="9" fillId="0" borderId="0"/>
    <xf numFmtId="0" fontId="9"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06" applyNumberFormat="0" applyAlignment="0" applyProtection="0"/>
    <xf numFmtId="0" fontId="30" fillId="20" borderId="106" applyNumberFormat="0" applyAlignment="0" applyProtection="0"/>
    <xf numFmtId="0" fontId="30" fillId="20" borderId="106" applyNumberFormat="0" applyAlignment="0" applyProtection="0"/>
    <xf numFmtId="0" fontId="50" fillId="7" borderId="106" applyNumberFormat="0" applyAlignment="0" applyProtection="0"/>
    <xf numFmtId="0" fontId="28" fillId="7" borderId="106" applyNumberFormat="0" applyAlignment="0" applyProtection="0"/>
    <xf numFmtId="0" fontId="6" fillId="0" borderId="0"/>
    <xf numFmtId="0" fontId="6" fillId="0" borderId="0"/>
    <xf numFmtId="0" fontId="6" fillId="0" borderId="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4"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53" fillId="20" borderId="108" applyNumberFormat="0" applyAlignment="0" applyProtection="0"/>
    <xf numFmtId="0" fontId="29" fillId="20" borderId="108" applyNumberFormat="0" applyAlignment="0" applyProtection="0"/>
    <xf numFmtId="0" fontId="29" fillId="20" borderId="108" applyNumberFormat="0" applyAlignment="0" applyProtection="0"/>
    <xf numFmtId="0" fontId="54" fillId="0" borderId="109" applyNumberFormat="0" applyFill="0" applyAlignment="0" applyProtection="0"/>
    <xf numFmtId="0" fontId="35" fillId="0" borderId="109" applyNumberFormat="0" applyFill="0" applyAlignment="0" applyProtection="0"/>
    <xf numFmtId="0" fontId="35" fillId="0" borderId="109"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28"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43" fillId="20"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81" fillId="0" borderId="0" applyNumberFormat="0" applyFill="0" applyBorder="0" applyAlignment="0" applyProtection="0"/>
    <xf numFmtId="0" fontId="83" fillId="46"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0"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8"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2"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6"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7"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1"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5"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7"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8"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2" borderId="0" applyNumberFormat="0" applyBorder="0" applyAlignment="0" applyProtection="0"/>
    <xf numFmtId="0" fontId="84" fillId="56"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0"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4" borderId="0" applyNumberFormat="0" applyBorder="0" applyAlignment="0" applyProtection="0"/>
    <xf numFmtId="0" fontId="84" fillId="68"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5"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49"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3"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7"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1" borderId="0" applyNumberFormat="0" applyBorder="0" applyAlignment="0" applyProtection="0"/>
    <xf numFmtId="0" fontId="84" fillId="65" borderId="0" applyNumberFormat="0" applyBorder="0" applyAlignment="0" applyProtection="0"/>
    <xf numFmtId="0" fontId="85" fillId="39"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2" borderId="132" applyNumberFormat="0" applyAlignment="0" applyProtection="0"/>
    <xf numFmtId="0" fontId="87" fillId="43" borderId="135"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8" borderId="0" applyNumberFormat="0" applyBorder="0" applyAlignment="0" applyProtection="0"/>
    <xf numFmtId="0" fontId="90" fillId="0" borderId="129"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0"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1"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1" borderId="132" applyNumberFormat="0" applyAlignment="0" applyProtection="0"/>
    <xf numFmtId="0" fontId="94" fillId="0" borderId="134" applyNumberFormat="0" applyFill="0" applyAlignment="0" applyProtection="0"/>
    <xf numFmtId="0" fontId="95" fillId="40"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1"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96" fillId="42" borderId="133"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37"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28"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43" fillId="20"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cellStyleXfs>
  <cellXfs count="1167">
    <xf numFmtId="0" fontId="0" fillId="0" borderId="0" xfId="0"/>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xf numFmtId="4" fontId="18" fillId="0" borderId="0" xfId="0" applyNumberFormat="1" applyFont="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Alignment="1">
      <alignment horizontal="center"/>
    </xf>
    <xf numFmtId="37" fontId="66" fillId="31" borderId="0" xfId="0" applyNumberFormat="1" applyFont="1" applyFill="1"/>
    <xf numFmtId="0" fontId="69" fillId="31" borderId="0" xfId="0" applyFont="1" applyFill="1" applyAlignment="1">
      <alignment horizontal="center"/>
    </xf>
    <xf numFmtId="4" fontId="66" fillId="31" borderId="0" xfId="0" applyNumberFormat="1" applyFont="1" applyFill="1"/>
    <xf numFmtId="0" fontId="66" fillId="31" borderId="0" xfId="0" applyFont="1" applyFill="1" applyAlignment="1">
      <alignment horizontal="center"/>
    </xf>
    <xf numFmtId="4" fontId="70" fillId="31" borderId="0" xfId="0" applyNumberFormat="1" applyFont="1" applyFill="1"/>
    <xf numFmtId="0" fontId="70" fillId="31" borderId="0" xfId="0" applyFont="1" applyFill="1" applyAlignment="1">
      <alignment horizontal="center"/>
    </xf>
    <xf numFmtId="0" fontId="71" fillId="0" borderId="0" xfId="0" applyFont="1"/>
    <xf numFmtId="0" fontId="72" fillId="0" borderId="0" xfId="0" applyFont="1"/>
    <xf numFmtId="0" fontId="71" fillId="0" borderId="19" xfId="0" applyFont="1" applyBorder="1"/>
    <xf numFmtId="0" fontId="74" fillId="0" borderId="0" xfId="0" applyFont="1" applyAlignment="1">
      <alignment horizontal="center"/>
    </xf>
    <xf numFmtId="3" fontId="72" fillId="0" borderId="43" xfId="0" applyNumberFormat="1" applyFont="1" applyBorder="1"/>
    <xf numFmtId="0" fontId="74" fillId="0" borderId="0" xfId="0" applyFont="1" applyAlignment="1">
      <alignment horizontal="center" wrapText="1"/>
    </xf>
    <xf numFmtId="0" fontId="71" fillId="0" borderId="0" xfId="0" applyFont="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4" xfId="0" applyFont="1" applyBorder="1" applyAlignment="1">
      <alignment horizontal="center" wrapText="1"/>
    </xf>
    <xf numFmtId="0" fontId="74" fillId="0" borderId="40" xfId="0" applyFont="1" applyBorder="1" applyAlignment="1">
      <alignment horizontal="center" wrapText="1"/>
    </xf>
    <xf numFmtId="3" fontId="72" fillId="0" borderId="42" xfId="0" applyNumberFormat="1" applyFont="1" applyBorder="1"/>
    <xf numFmtId="0" fontId="74" fillId="0" borderId="0" xfId="0" applyFont="1"/>
    <xf numFmtId="0" fontId="75" fillId="0" borderId="0" xfId="0" applyFont="1"/>
    <xf numFmtId="0" fontId="74" fillId="0" borderId="83" xfId="0" applyFont="1" applyBorder="1"/>
    <xf numFmtId="0" fontId="72" fillId="0" borderId="0" xfId="0" applyFont="1" applyAlignment="1">
      <alignment horizontal="center"/>
    </xf>
    <xf numFmtId="0" fontId="74" fillId="0" borderId="0" xfId="0" applyFont="1" applyAlignment="1">
      <alignment wrapText="1"/>
    </xf>
    <xf numFmtId="0" fontId="74" fillId="0" borderId="81" xfId="0" applyFont="1" applyBorder="1" applyAlignment="1">
      <alignment wrapText="1"/>
    </xf>
    <xf numFmtId="0" fontId="74" fillId="0" borderId="83" xfId="0" applyFont="1" applyBorder="1" applyAlignment="1">
      <alignment wrapText="1"/>
    </xf>
    <xf numFmtId="0" fontId="74" fillId="0" borderId="82" xfId="0" applyFont="1" applyBorder="1" applyAlignment="1">
      <alignment wrapText="1"/>
    </xf>
    <xf numFmtId="0" fontId="72" fillId="0" borderId="47" xfId="0" applyFont="1" applyBorder="1" applyAlignment="1">
      <alignment horizontal="center"/>
    </xf>
    <xf numFmtId="0" fontId="74" fillId="0" borderId="102" xfId="0" applyFont="1" applyBorder="1" applyAlignment="1">
      <alignment horizontal="center"/>
    </xf>
    <xf numFmtId="0" fontId="74" fillId="0" borderId="81" xfId="0" applyFont="1" applyBorder="1" applyAlignment="1">
      <alignment horizontal="center" wrapText="1"/>
    </xf>
    <xf numFmtId="0" fontId="74" fillId="0" borderId="82" xfId="0" applyFont="1" applyBorder="1" applyAlignment="1">
      <alignment horizontal="center" wrapText="1"/>
    </xf>
    <xf numFmtId="0" fontId="74" fillId="0" borderId="41" xfId="0" applyFont="1" applyBorder="1"/>
    <xf numFmtId="170" fontId="74" fillId="0" borderId="0" xfId="181" applyNumberFormat="1" applyFont="1" applyFill="1" applyBorder="1"/>
    <xf numFmtId="170" fontId="74" fillId="0" borderId="0" xfId="181" applyNumberFormat="1" applyFont="1" applyFill="1"/>
    <xf numFmtId="0" fontId="80" fillId="31" borderId="0" xfId="0" applyFont="1" applyFill="1"/>
    <xf numFmtId="0" fontId="74" fillId="0" borderId="81" xfId="0" applyFont="1" applyBorder="1" applyAlignment="1">
      <alignment horizontal="center"/>
    </xf>
    <xf numFmtId="0" fontId="73" fillId="0" borderId="19" xfId="0" applyFont="1" applyBorder="1" applyAlignment="1">
      <alignment horizontal="center"/>
    </xf>
    <xf numFmtId="0" fontId="74" fillId="0" borderId="19" xfId="0" applyFont="1" applyBorder="1" applyAlignment="1">
      <alignment horizontal="center"/>
    </xf>
    <xf numFmtId="0" fontId="99" fillId="0" borderId="19" xfId="0" applyFont="1" applyBorder="1" applyAlignment="1">
      <alignment horizontal="left" wrapText="1"/>
    </xf>
    <xf numFmtId="3" fontId="72" fillId="0" borderId="0" xfId="0" applyNumberFormat="1" applyFont="1"/>
    <xf numFmtId="0" fontId="74" fillId="0" borderId="19" xfId="495" applyFont="1" applyBorder="1" applyAlignment="1">
      <alignment horizontal="center" wrapText="1"/>
    </xf>
    <xf numFmtId="3" fontId="75" fillId="0" borderId="19" xfId="495" applyNumberFormat="1" applyFont="1" applyBorder="1" applyAlignment="1">
      <alignment horizontal="center"/>
    </xf>
    <xf numFmtId="10" fontId="75" fillId="0" borderId="82" xfId="495" applyNumberFormat="1" applyFont="1" applyBorder="1" applyAlignment="1">
      <alignment horizontal="center"/>
    </xf>
    <xf numFmtId="0" fontId="73" fillId="0" borderId="29" xfId="0" applyFont="1" applyBorder="1" applyAlignment="1">
      <alignment horizontal="center"/>
    </xf>
    <xf numFmtId="0" fontId="77" fillId="0" borderId="0" xfId="0" applyFont="1" applyAlignment="1">
      <alignment wrapText="1"/>
    </xf>
    <xf numFmtId="166" fontId="72" fillId="36" borderId="34" xfId="0" applyNumberFormat="1" applyFont="1" applyFill="1" applyBorder="1"/>
    <xf numFmtId="0" fontId="103" fillId="0" borderId="19" xfId="0" applyFont="1" applyBorder="1" applyAlignment="1">
      <alignment horizontal="center"/>
    </xf>
    <xf numFmtId="3" fontId="74" fillId="70" borderId="17" xfId="0" applyNumberFormat="1" applyFont="1" applyFill="1" applyBorder="1"/>
    <xf numFmtId="0" fontId="74" fillId="0" borderId="16" xfId="0" applyFont="1" applyBorder="1" applyAlignment="1">
      <alignment horizontal="center"/>
    </xf>
    <xf numFmtId="0" fontId="74" fillId="70" borderId="83" xfId="0" applyFont="1" applyFill="1" applyBorder="1" applyAlignment="1">
      <alignment horizontal="center"/>
    </xf>
    <xf numFmtId="0" fontId="74" fillId="70" borderId="83" xfId="0" applyFont="1" applyFill="1" applyBorder="1" applyAlignment="1">
      <alignment wrapText="1"/>
    </xf>
    <xf numFmtId="3" fontId="77" fillId="0" borderId="0" xfId="0" applyNumberFormat="1" applyFont="1" applyAlignment="1">
      <alignment wrapText="1"/>
    </xf>
    <xf numFmtId="0" fontId="74" fillId="0" borderId="21" xfId="0" applyFont="1" applyBorder="1" applyAlignment="1">
      <alignment horizontal="center" wrapText="1"/>
    </xf>
    <xf numFmtId="0" fontId="73" fillId="0" borderId="81" xfId="0" applyFont="1" applyBorder="1" applyAlignment="1">
      <alignment horizontal="center"/>
    </xf>
    <xf numFmtId="0" fontId="71" fillId="0" borderId="81" xfId="0" applyFont="1" applyBorder="1"/>
    <xf numFmtId="0" fontId="71" fillId="0" borderId="83" xfId="0" applyFont="1" applyBorder="1"/>
    <xf numFmtId="0" fontId="105" fillId="0" borderId="19" xfId="0" applyFont="1" applyBorder="1"/>
    <xf numFmtId="3" fontId="105" fillId="0" borderId="37" xfId="0" applyNumberFormat="1" applyFont="1" applyBorder="1"/>
    <xf numFmtId="166" fontId="105" fillId="69" borderId="14" xfId="0" applyNumberFormat="1" applyFont="1" applyFill="1" applyBorder="1"/>
    <xf numFmtId="166" fontId="105" fillId="36" borderId="23" xfId="0" applyNumberFormat="1" applyFont="1" applyFill="1" applyBorder="1"/>
    <xf numFmtId="0" fontId="106" fillId="0" borderId="0" xfId="0" applyFont="1"/>
    <xf numFmtId="166" fontId="105" fillId="70" borderId="101" xfId="0" applyNumberFormat="1" applyFont="1" applyFill="1" applyBorder="1"/>
    <xf numFmtId="3" fontId="105" fillId="0" borderId="0" xfId="0" applyNumberFormat="1" applyFont="1"/>
    <xf numFmtId="0" fontId="73" fillId="0" borderId="0" xfId="0" applyFont="1" applyAlignment="1">
      <alignment horizontal="center"/>
    </xf>
    <xf numFmtId="0" fontId="71" fillId="0" borderId="82" xfId="0" applyFont="1" applyBorder="1"/>
    <xf numFmtId="3" fontId="72" fillId="36" borderId="150" xfId="0" applyNumberFormat="1" applyFont="1" applyFill="1" applyBorder="1"/>
    <xf numFmtId="3" fontId="72" fillId="36" borderId="151" xfId="0" applyNumberFormat="1" applyFont="1" applyFill="1" applyBorder="1"/>
    <xf numFmtId="0" fontId="74" fillId="0" borderId="22" xfId="0" applyFont="1" applyBorder="1" applyAlignment="1">
      <alignment horizontal="center" wrapText="1"/>
    </xf>
    <xf numFmtId="0" fontId="100" fillId="0" borderId="0" xfId="17654" applyFont="1"/>
    <xf numFmtId="0" fontId="107" fillId="0" borderId="0" xfId="17654" applyFont="1"/>
    <xf numFmtId="169" fontId="109" fillId="70" borderId="0" xfId="17654" applyNumberFormat="1" applyFont="1" applyFill="1"/>
    <xf numFmtId="3" fontId="74" fillId="0" borderId="23" xfId="0" applyNumberFormat="1" applyFont="1" applyBorder="1" applyAlignment="1">
      <alignment horizontal="center"/>
    </xf>
    <xf numFmtId="168" fontId="72" fillId="36" borderId="149" xfId="0" applyNumberFormat="1" applyFont="1" applyFill="1" applyBorder="1"/>
    <xf numFmtId="0" fontId="113" fillId="0" borderId="0" xfId="663" applyFont="1"/>
    <xf numFmtId="0" fontId="112" fillId="0" borderId="15" xfId="0" applyFont="1" applyBorder="1"/>
    <xf numFmtId="0" fontId="112" fillId="0" borderId="0" xfId="0" applyFont="1"/>
    <xf numFmtId="0" fontId="72" fillId="0" borderId="0" xfId="663" applyFont="1"/>
    <xf numFmtId="0" fontId="71" fillId="0" borderId="0" xfId="0" applyFont="1" applyAlignment="1">
      <alignment vertical="center" wrapText="1"/>
    </xf>
    <xf numFmtId="0" fontId="75" fillId="0" borderId="0" xfId="530" applyFont="1" applyAlignment="1">
      <alignment horizontal="right"/>
    </xf>
    <xf numFmtId="0" fontId="78" fillId="0" borderId="0" xfId="0" applyFont="1"/>
    <xf numFmtId="0" fontId="74" fillId="0" borderId="0" xfId="0" applyFont="1" applyAlignment="1">
      <alignment horizontal="left" wrapText="1"/>
    </xf>
    <xf numFmtId="0" fontId="72" fillId="0" borderId="0" xfId="0" applyFont="1" applyAlignment="1">
      <alignment wrapText="1"/>
    </xf>
    <xf numFmtId="49" fontId="75" fillId="0" borderId="0" xfId="0" applyNumberFormat="1" applyFont="1" applyAlignment="1">
      <alignment horizontal="left"/>
    </xf>
    <xf numFmtId="0" fontId="76" fillId="0" borderId="0" xfId="0" applyFont="1"/>
    <xf numFmtId="3" fontId="78" fillId="0" borderId="0" xfId="0" applyNumberFormat="1" applyFont="1"/>
    <xf numFmtId="0" fontId="75" fillId="0" borderId="0" xfId="0" applyFont="1" applyAlignment="1">
      <alignment horizontal="left" vertical="center"/>
    </xf>
    <xf numFmtId="49" fontId="74" fillId="0" borderId="0" xfId="0" applyNumberFormat="1" applyFont="1"/>
    <xf numFmtId="0" fontId="116" fillId="0" borderId="0" xfId="0" applyFont="1"/>
    <xf numFmtId="49" fontId="75" fillId="0" borderId="0" xfId="0" applyNumberFormat="1" applyFont="1"/>
    <xf numFmtId="49" fontId="78" fillId="0" borderId="0" xfId="0" applyNumberFormat="1" applyFont="1"/>
    <xf numFmtId="0" fontId="76" fillId="0" borderId="0" xfId="0" quotePrefix="1" applyFont="1"/>
    <xf numFmtId="165" fontId="78" fillId="0" borderId="0" xfId="0" applyNumberFormat="1" applyFont="1"/>
    <xf numFmtId="43" fontId="78" fillId="0" borderId="0" xfId="0" applyNumberFormat="1" applyFont="1"/>
    <xf numFmtId="0" fontId="72" fillId="0" borderId="116" xfId="0" applyFont="1" applyBorder="1"/>
    <xf numFmtId="0" fontId="74" fillId="0" borderId="117" xfId="0" applyFont="1" applyBorder="1" applyAlignment="1">
      <alignment horizontal="center"/>
    </xf>
    <xf numFmtId="0" fontId="72" fillId="0" borderId="118" xfId="0" applyFont="1" applyBorder="1"/>
    <xf numFmtId="0" fontId="72" fillId="0" borderId="119" xfId="0" applyFont="1" applyBorder="1"/>
    <xf numFmtId="49" fontId="75" fillId="0" borderId="120" xfId="0" applyNumberFormat="1" applyFont="1" applyBorder="1" applyAlignment="1">
      <alignment horizontal="center"/>
    </xf>
    <xf numFmtId="0" fontId="75" fillId="0" borderId="10" xfId="0" applyFont="1" applyBorder="1" applyAlignment="1">
      <alignment horizontal="center"/>
    </xf>
    <xf numFmtId="0" fontId="75" fillId="0" borderId="115" xfId="0" applyFont="1" applyBorder="1" applyAlignment="1">
      <alignment horizontal="center"/>
    </xf>
    <xf numFmtId="0" fontId="75" fillId="0" borderId="44" xfId="0" applyFont="1" applyBorder="1" applyAlignment="1">
      <alignment horizontal="center"/>
    </xf>
    <xf numFmtId="0" fontId="74" fillId="0" borderId="120" xfId="0" applyFont="1" applyBorder="1" applyAlignment="1">
      <alignment horizontal="center"/>
    </xf>
    <xf numFmtId="0" fontId="75" fillId="0" borderId="121" xfId="0" applyFont="1" applyBorder="1" applyAlignment="1">
      <alignment horizontal="center"/>
    </xf>
    <xf numFmtId="37" fontId="72" fillId="0" borderId="122" xfId="0" applyNumberFormat="1" applyFont="1" applyBorder="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3" xfId="3292" applyNumberFormat="1" applyFont="1" applyBorder="1" applyAlignment="1" applyProtection="1">
      <alignment horizontal="right"/>
    </xf>
    <xf numFmtId="0" fontId="72" fillId="0" borderId="120" xfId="0" applyFont="1" applyBorder="1"/>
    <xf numFmtId="3" fontId="78" fillId="0" borderId="115" xfId="181" applyNumberFormat="1" applyFont="1" applyBorder="1" applyProtection="1"/>
    <xf numFmtId="0" fontId="74" fillId="0" borderId="124" xfId="0" applyFont="1" applyBorder="1"/>
    <xf numFmtId="3" fontId="75" fillId="0" borderId="90" xfId="181" applyNumberFormat="1" applyFont="1" applyFill="1" applyBorder="1" applyAlignment="1" applyProtection="1"/>
    <xf numFmtId="3" fontId="75" fillId="0" borderId="91" xfId="181" applyNumberFormat="1" applyFont="1" applyBorder="1" applyProtection="1"/>
    <xf numFmtId="10" fontId="75" fillId="0" borderId="89" xfId="3292" quotePrefix="1" applyNumberFormat="1" applyFont="1" applyFill="1" applyBorder="1" applyAlignment="1" applyProtection="1">
      <alignment horizontal="right"/>
    </xf>
    <xf numFmtId="167" fontId="75" fillId="0" borderId="125" xfId="3292" applyNumberFormat="1" applyFont="1" applyBorder="1" applyAlignment="1" applyProtection="1">
      <alignment horizontal="right"/>
    </xf>
    <xf numFmtId="9" fontId="78" fillId="0" borderId="0" xfId="3292" applyFont="1" applyProtection="1"/>
    <xf numFmtId="4" fontId="78" fillId="0" borderId="0" xfId="3292" quotePrefix="1" applyNumberFormat="1" applyFont="1" applyFill="1" applyBorder="1" applyAlignment="1" applyProtection="1">
      <alignment horizontal="right"/>
    </xf>
    <xf numFmtId="49" fontId="75" fillId="0" borderId="126" xfId="0" applyNumberFormat="1" applyFont="1" applyBorder="1" applyAlignment="1">
      <alignment horizontal="center"/>
    </xf>
    <xf numFmtId="0" fontId="75" fillId="0" borderId="24" xfId="0" applyFont="1" applyBorder="1" applyAlignment="1">
      <alignment horizontal="center"/>
    </xf>
    <xf numFmtId="0" fontId="75" fillId="0" borderId="25" xfId="0" applyFont="1" applyBorder="1" applyAlignment="1">
      <alignment horizontal="center"/>
    </xf>
    <xf numFmtId="0" fontId="75" fillId="0" borderId="127" xfId="0" applyFont="1" applyBorder="1" applyAlignment="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28" xfId="3292" applyNumberFormat="1" applyFont="1" applyBorder="1" applyAlignment="1" applyProtection="1">
      <alignment horizontal="right"/>
    </xf>
    <xf numFmtId="0" fontId="118" fillId="0" borderId="0" xfId="0" applyFont="1"/>
    <xf numFmtId="0" fontId="119" fillId="0" borderId="0" xfId="0" applyFont="1"/>
    <xf numFmtId="0" fontId="120" fillId="0" borderId="0" xfId="0" applyFont="1"/>
    <xf numFmtId="49" fontId="75" fillId="0" borderId="0" xfId="0" applyNumberFormat="1" applyFont="1" applyAlignment="1">
      <alignment vertical="top"/>
    </xf>
    <xf numFmtId="37" fontId="78" fillId="24" borderId="0" xfId="0" quotePrefix="1" applyNumberFormat="1" applyFont="1" applyFill="1" applyAlignment="1">
      <alignment horizontal="right"/>
    </xf>
    <xf numFmtId="0" fontId="75" fillId="0" borderId="103" xfId="0" applyFont="1" applyBorder="1" applyAlignment="1">
      <alignment horizontal="center"/>
    </xf>
    <xf numFmtId="0" fontId="75" fillId="0" borderId="36" xfId="0" applyFont="1" applyBorder="1" applyAlignment="1">
      <alignment horizontal="center" wrapText="1"/>
    </xf>
    <xf numFmtId="37" fontId="78" fillId="0" borderId="104" xfId="0" applyNumberFormat="1" applyFont="1" applyBorder="1"/>
    <xf numFmtId="0" fontId="75" fillId="0" borderId="105" xfId="0" applyFont="1" applyBorder="1"/>
    <xf numFmtId="37" fontId="78" fillId="24" borderId="37" xfId="0" applyNumberFormat="1" applyFont="1" applyFill="1" applyBorder="1" applyAlignment="1">
      <alignment horizontal="right"/>
    </xf>
    <xf numFmtId="164" fontId="72" fillId="0" borderId="0" xfId="0" applyNumberFormat="1" applyFont="1"/>
    <xf numFmtId="0" fontId="121" fillId="0" borderId="0" xfId="0" applyFont="1"/>
    <xf numFmtId="0" fontId="73" fillId="0" borderId="0" xfId="0" applyFont="1"/>
    <xf numFmtId="49" fontId="74" fillId="0" borderId="0" xfId="0" applyNumberFormat="1" applyFont="1" applyAlignment="1">
      <alignment horizontal="left" vertical="top"/>
    </xf>
    <xf numFmtId="49" fontId="74" fillId="0" borderId="0" xfId="0" applyNumberFormat="1" applyFont="1" applyAlignment="1">
      <alignment horizontal="left"/>
    </xf>
    <xf numFmtId="49" fontId="72" fillId="0" borderId="0" xfId="0" applyNumberFormat="1" applyFont="1"/>
    <xf numFmtId="0" fontId="78" fillId="24" borderId="0" xfId="0" applyFont="1" applyFill="1"/>
    <xf numFmtId="49" fontId="74" fillId="0" borderId="0" xfId="0" applyNumberFormat="1" applyFont="1" applyAlignment="1">
      <alignment vertical="top"/>
    </xf>
    <xf numFmtId="37" fontId="72" fillId="0" borderId="0" xfId="0" applyNumberFormat="1" applyFont="1"/>
    <xf numFmtId="0" fontId="74" fillId="0" borderId="0" xfId="0" applyFont="1" applyAlignment="1">
      <alignment vertical="top"/>
    </xf>
    <xf numFmtId="4" fontId="71" fillId="0" borderId="62" xfId="0" quotePrefix="1" applyNumberFormat="1" applyFont="1" applyBorder="1" applyAlignment="1">
      <alignment horizontal="center"/>
    </xf>
    <xf numFmtId="0" fontId="122" fillId="0" borderId="0" xfId="0" applyFont="1"/>
    <xf numFmtId="4" fontId="71" fillId="0" borderId="62" xfId="0" applyNumberFormat="1" applyFont="1" applyBorder="1" applyAlignment="1">
      <alignment horizontal="center"/>
    </xf>
    <xf numFmtId="4" fontId="71" fillId="0" borderId="0" xfId="0" applyNumberFormat="1" applyFont="1" applyAlignment="1">
      <alignment horizontal="center"/>
    </xf>
    <xf numFmtId="0" fontId="72" fillId="0" borderId="0" xfId="0" applyFont="1" applyAlignment="1" applyProtection="1">
      <alignment vertical="top"/>
      <protection locked="0"/>
    </xf>
    <xf numFmtId="168" fontId="72" fillId="0" borderId="0" xfId="0" applyNumberFormat="1" applyFont="1"/>
    <xf numFmtId="37" fontId="72" fillId="0" borderId="0" xfId="181" applyNumberFormat="1" applyFont="1" applyBorder="1" applyProtection="1"/>
    <xf numFmtId="37" fontId="72" fillId="0" borderId="0" xfId="181" applyNumberFormat="1" applyFont="1" applyProtection="1"/>
    <xf numFmtId="3" fontId="72" fillId="0" borderId="0" xfId="181" applyNumberFormat="1" applyFont="1" applyProtection="1"/>
    <xf numFmtId="5" fontId="72" fillId="0" borderId="0" xfId="0" applyNumberFormat="1" applyFont="1" applyAlignment="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xf numFmtId="0" fontId="74" fillId="0" borderId="0" xfId="0" applyFont="1" applyAlignment="1">
      <alignment horizontal="right"/>
    </xf>
    <xf numFmtId="0" fontId="124" fillId="0" borderId="0" xfId="0" applyFont="1"/>
    <xf numFmtId="0" fontId="125" fillId="0" borderId="0" xfId="0" applyFont="1"/>
    <xf numFmtId="0" fontId="108" fillId="0" borderId="0" xfId="0" applyFont="1"/>
    <xf numFmtId="0" fontId="128" fillId="0" borderId="0" xfId="0" applyFont="1" applyAlignment="1">
      <alignment horizontal="left" wrapText="1"/>
    </xf>
    <xf numFmtId="0" fontId="131" fillId="0" borderId="0" xfId="0" applyFont="1"/>
    <xf numFmtId="37" fontId="100" fillId="0" borderId="0" xfId="0" applyNumberFormat="1" applyFont="1"/>
    <xf numFmtId="37" fontId="100" fillId="0" borderId="10" xfId="0" applyNumberFormat="1" applyFont="1" applyBorder="1"/>
    <xf numFmtId="37" fontId="100" fillId="0" borderId="11" xfId="0" applyNumberFormat="1" applyFont="1" applyBorder="1"/>
    <xf numFmtId="49" fontId="100" fillId="0" borderId="10" xfId="0" applyNumberFormat="1" applyFont="1" applyBorder="1" applyAlignment="1">
      <alignment horizontal="right"/>
    </xf>
    <xf numFmtId="168" fontId="100" fillId="24" borderId="11" xfId="0" applyNumberFormat="1" applyFont="1" applyFill="1" applyBorder="1"/>
    <xf numFmtId="37" fontId="100" fillId="0" borderId="10" xfId="0" applyNumberFormat="1" applyFont="1" applyBorder="1" applyAlignment="1">
      <alignment horizontal="right"/>
    </xf>
    <xf numFmtId="0" fontId="100" fillId="0" borderId="0" xfId="0" applyFont="1" applyAlignment="1">
      <alignment vertical="center"/>
    </xf>
    <xf numFmtId="3" fontId="100" fillId="24" borderId="11" xfId="181" applyNumberFormat="1" applyFont="1" applyFill="1" applyBorder="1" applyAlignment="1" applyProtection="1">
      <alignment horizontal="right"/>
    </xf>
    <xf numFmtId="5" fontId="130" fillId="24" borderId="11" xfId="0" applyNumberFormat="1" applyFont="1" applyFill="1" applyBorder="1" applyAlignment="1">
      <alignment horizontal="right"/>
    </xf>
    <xf numFmtId="5" fontId="100" fillId="0" borderId="11" xfId="0" applyNumberFormat="1" applyFont="1" applyBorder="1" applyAlignment="1">
      <alignment horizontal="right"/>
    </xf>
    <xf numFmtId="37" fontId="100" fillId="24" borderId="11" xfId="0" applyNumberFormat="1" applyFont="1" applyFill="1" applyBorder="1" applyAlignment="1">
      <alignment horizontal="right"/>
    </xf>
    <xf numFmtId="37" fontId="129" fillId="24" borderId="11" xfId="0" applyNumberFormat="1" applyFont="1" applyFill="1" applyBorder="1" applyAlignment="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lignment horizontal="right"/>
    </xf>
    <xf numFmtId="37" fontId="132" fillId="0" borderId="0" xfId="0" applyNumberFormat="1" applyFont="1"/>
    <xf numFmtId="37" fontId="100" fillId="0" borderId="10" xfId="0" quotePrefix="1" applyNumberFormat="1" applyFont="1" applyBorder="1" applyAlignment="1">
      <alignment horizontal="right"/>
    </xf>
    <xf numFmtId="164" fontId="100" fillId="0" borderId="10" xfId="0" applyNumberFormat="1" applyFont="1" applyBorder="1" applyAlignment="1">
      <alignment horizontal="right"/>
    </xf>
    <xf numFmtId="37" fontId="100" fillId="24" borderId="10" xfId="0" applyNumberFormat="1" applyFont="1" applyFill="1" applyBorder="1" applyAlignment="1">
      <alignment horizontal="right"/>
    </xf>
    <xf numFmtId="37" fontId="129" fillId="0" borderId="10" xfId="0" applyNumberFormat="1" applyFont="1" applyBorder="1" applyAlignment="1">
      <alignment horizontal="right"/>
    </xf>
    <xf numFmtId="5" fontId="100" fillId="0" borderId="0" xfId="0" applyNumberFormat="1" applyFont="1"/>
    <xf numFmtId="37" fontId="100" fillId="0" borderId="11" xfId="0" applyNumberFormat="1" applyFont="1" applyBorder="1" applyAlignment="1">
      <alignment horizontal="right"/>
    </xf>
    <xf numFmtId="37" fontId="129" fillId="24" borderId="10" xfId="0" applyNumberFormat="1" applyFont="1" applyFill="1" applyBorder="1" applyAlignment="1">
      <alignment horizontal="right"/>
    </xf>
    <xf numFmtId="0" fontId="100" fillId="0" borderId="10" xfId="0" applyFont="1" applyBorder="1" applyAlignment="1">
      <alignment horizontal="right"/>
    </xf>
    <xf numFmtId="37" fontId="133" fillId="24" borderId="10" xfId="0" applyNumberFormat="1" applyFont="1" applyFill="1" applyBorder="1" applyAlignment="1">
      <alignment horizontal="right"/>
    </xf>
    <xf numFmtId="37" fontId="129" fillId="24" borderId="10" xfId="0" applyNumberFormat="1" applyFont="1" applyFill="1" applyBorder="1"/>
    <xf numFmtId="49" fontId="100" fillId="0" borderId="10" xfId="0" quotePrefix="1" applyNumberFormat="1" applyFont="1" applyBorder="1" applyAlignment="1">
      <alignment horizontal="right"/>
    </xf>
    <xf numFmtId="37" fontId="108" fillId="0" borderId="0" xfId="0" applyNumberFormat="1" applyFont="1" applyAlignment="1">
      <alignment horizontal="fill"/>
    </xf>
    <xf numFmtId="37" fontId="130" fillId="24" borderId="10" xfId="0" applyNumberFormat="1" applyFont="1" applyFill="1" applyBorder="1" applyAlignment="1">
      <alignment horizontal="fill"/>
    </xf>
    <xf numFmtId="37" fontId="135" fillId="0" borderId="0" xfId="0" applyNumberFormat="1" applyFont="1"/>
    <xf numFmtId="37" fontId="100" fillId="25" borderId="0" xfId="0" applyNumberFormat="1" applyFont="1" applyFill="1"/>
    <xf numFmtId="37" fontId="135" fillId="25" borderId="0" xfId="0" applyNumberFormat="1" applyFont="1" applyFill="1"/>
    <xf numFmtId="0" fontId="133" fillId="0" borderId="0" xfId="0" applyFont="1"/>
    <xf numFmtId="37" fontId="100" fillId="24" borderId="10" xfId="0" applyNumberFormat="1" applyFont="1" applyFill="1" applyBorder="1"/>
    <xf numFmtId="37" fontId="136" fillId="0" borderId="0" xfId="0" applyNumberFormat="1" applyFont="1"/>
    <xf numFmtId="37" fontId="136" fillId="0" borderId="0" xfId="0" applyNumberFormat="1" applyFont="1" applyAlignment="1">
      <alignment horizontal="right"/>
    </xf>
    <xf numFmtId="37" fontId="136" fillId="24" borderId="0" xfId="0" applyNumberFormat="1" applyFont="1" applyFill="1"/>
    <xf numFmtId="0" fontId="136" fillId="0" borderId="0" xfId="0" applyFont="1"/>
    <xf numFmtId="5" fontId="130" fillId="74" borderId="11" xfId="0" applyNumberFormat="1" applyFont="1" applyFill="1" applyBorder="1" applyAlignment="1">
      <alignment horizontal="right"/>
    </xf>
    <xf numFmtId="5" fontId="130" fillId="74" borderId="10" xfId="0" applyNumberFormat="1" applyFont="1" applyFill="1" applyBorder="1" applyAlignment="1">
      <alignment horizontal="right"/>
    </xf>
    <xf numFmtId="37" fontId="108" fillId="0" borderId="11" xfId="0" applyNumberFormat="1" applyFont="1" applyBorder="1" applyAlignment="1">
      <alignment horizontal="fill"/>
    </xf>
    <xf numFmtId="0" fontId="126" fillId="0" borderId="0" xfId="0" applyFont="1"/>
    <xf numFmtId="0" fontId="109" fillId="0" borderId="0" xfId="0" applyFont="1"/>
    <xf numFmtId="0" fontId="141" fillId="0" borderId="0" xfId="0" applyFont="1"/>
    <xf numFmtId="0" fontId="105" fillId="0" borderId="0" xfId="0" applyFont="1" applyAlignment="1">
      <alignment vertical="center" wrapText="1"/>
    </xf>
    <xf numFmtId="3" fontId="129" fillId="0" borderId="0" xfId="0" applyNumberFormat="1" applyFont="1"/>
    <xf numFmtId="0" fontId="130" fillId="0" borderId="0" xfId="0" applyFont="1" applyAlignment="1">
      <alignment horizontal="left"/>
    </xf>
    <xf numFmtId="0" fontId="129" fillId="0" borderId="0" xfId="0" applyFont="1"/>
    <xf numFmtId="0" fontId="75" fillId="0" borderId="0" xfId="0" applyFont="1" applyAlignment="1">
      <alignment horizontal="center"/>
    </xf>
    <xf numFmtId="0" fontId="140" fillId="30" borderId="19" xfId="0" applyFont="1" applyFill="1" applyBorder="1" applyAlignment="1">
      <alignment horizontal="center" wrapText="1"/>
    </xf>
    <xf numFmtId="0" fontId="140" fillId="30" borderId="20" xfId="0" applyFont="1" applyFill="1" applyBorder="1" applyAlignment="1">
      <alignment horizontal="center" wrapText="1"/>
    </xf>
    <xf numFmtId="0" fontId="106" fillId="0" borderId="35" xfId="0" applyFont="1" applyBorder="1"/>
    <xf numFmtId="168" fontId="106" fillId="0" borderId="34" xfId="0" applyNumberFormat="1" applyFont="1" applyBorder="1"/>
    <xf numFmtId="37" fontId="105" fillId="26" borderId="147" xfId="0" applyNumberFormat="1" applyFont="1" applyFill="1" applyBorder="1" applyAlignment="1">
      <alignment horizontal="fill"/>
    </xf>
    <xf numFmtId="37" fontId="105" fillId="26" borderId="67" xfId="0" applyNumberFormat="1" applyFont="1" applyFill="1" applyBorder="1" applyAlignment="1">
      <alignment horizontal="fill"/>
    </xf>
    <xf numFmtId="37" fontId="105" fillId="0" borderId="0" xfId="0" applyNumberFormat="1" applyFont="1" applyAlignment="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lignment horizontal="right"/>
    </xf>
    <xf numFmtId="165" fontId="106" fillId="35" borderId="19" xfId="181" applyNumberFormat="1" applyFont="1" applyFill="1" applyBorder="1" applyProtection="1"/>
    <xf numFmtId="0" fontId="106" fillId="0" borderId="56" xfId="0" applyFont="1" applyBorder="1"/>
    <xf numFmtId="0" fontId="106" fillId="0" borderId="34" xfId="0" applyFont="1" applyBorder="1" applyAlignment="1">
      <alignment horizontal="center"/>
    </xf>
    <xf numFmtId="37" fontId="75" fillId="25" borderId="0" xfId="0" applyNumberFormat="1" applyFont="1" applyFill="1" applyAlignment="1">
      <alignment horizontal="fill"/>
    </xf>
    <xf numFmtId="165" fontId="75" fillId="25" borderId="0" xfId="181" applyNumberFormat="1" applyFont="1" applyFill="1" applyBorder="1" applyAlignment="1" applyProtection="1">
      <alignment horizontal="fill"/>
    </xf>
    <xf numFmtId="37" fontId="140" fillId="0" borderId="0" xfId="0" applyNumberFormat="1" applyFont="1" applyAlignment="1">
      <alignment horizontal="fill"/>
    </xf>
    <xf numFmtId="0" fontId="72" fillId="0" borderId="0" xfId="0" applyFont="1" applyAlignment="1">
      <alignment horizontal="right"/>
    </xf>
    <xf numFmtId="37" fontId="105" fillId="0" borderId="0" xfId="0" applyNumberFormat="1" applyFont="1" applyAlignment="1">
      <alignment horizontal="left"/>
    </xf>
    <xf numFmtId="37" fontId="106" fillId="0" borderId="0" xfId="0" applyNumberFormat="1" applyFont="1"/>
    <xf numFmtId="168" fontId="105" fillId="0" borderId="0" xfId="378" applyNumberFormat="1" applyFont="1" applyFill="1" applyBorder="1" applyProtection="1"/>
    <xf numFmtId="5" fontId="142" fillId="32" borderId="0" xfId="0" applyNumberFormat="1" applyFont="1" applyFill="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Font="1"/>
    <xf numFmtId="37" fontId="143" fillId="30" borderId="19" xfId="0" applyNumberFormat="1" applyFont="1" applyFill="1" applyBorder="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4" xfId="0" applyFont="1" applyBorder="1"/>
    <xf numFmtId="0" fontId="106" fillId="75" borderId="34" xfId="0" applyFont="1" applyFill="1" applyBorder="1"/>
    <xf numFmtId="37" fontId="104" fillId="30" borderId="29" xfId="0" applyNumberFormat="1" applyFont="1" applyFill="1" applyBorder="1"/>
    <xf numFmtId="37" fontId="143" fillId="30" borderId="29" xfId="0" applyNumberFormat="1" applyFont="1" applyFill="1" applyBorder="1"/>
    <xf numFmtId="168" fontId="104" fillId="30" borderId="19" xfId="378" applyNumberFormat="1" applyFont="1" applyFill="1" applyBorder="1" applyProtection="1"/>
    <xf numFmtId="37" fontId="143" fillId="76" borderId="19" xfId="0" applyNumberFormat="1" applyFont="1" applyFill="1" applyBorder="1" applyAlignment="1">
      <alignment horizontal="right"/>
    </xf>
    <xf numFmtId="37" fontId="104" fillId="30" borderId="47" xfId="0" applyNumberFormat="1" applyFont="1" applyFill="1" applyBorder="1"/>
    <xf numFmtId="37" fontId="143" fillId="30" borderId="47" xfId="0" applyNumberFormat="1" applyFont="1" applyFill="1" applyBorder="1"/>
    <xf numFmtId="168" fontId="104" fillId="30" borderId="47" xfId="378" applyNumberFormat="1" applyFont="1" applyFill="1" applyBorder="1" applyProtection="1"/>
    <xf numFmtId="37" fontId="104" fillId="73" borderId="19" xfId="0" applyNumberFormat="1" applyFont="1" applyFill="1" applyBorder="1" applyAlignment="1">
      <alignment horizontal="fill"/>
    </xf>
    <xf numFmtId="3" fontId="104" fillId="73" borderId="19" xfId="181" applyNumberFormat="1" applyFont="1" applyFill="1" applyBorder="1" applyAlignment="1" applyProtection="1">
      <alignment horizontal="fill"/>
    </xf>
    <xf numFmtId="44" fontId="143" fillId="30" borderId="19" xfId="378" applyFont="1" applyFill="1" applyBorder="1" applyProtection="1"/>
    <xf numFmtId="37" fontId="104" fillId="73" borderId="81" xfId="0" applyNumberFormat="1" applyFont="1" applyFill="1" applyBorder="1" applyAlignment="1">
      <alignment horizontal="fill"/>
    </xf>
    <xf numFmtId="37" fontId="104" fillId="73" borderId="82" xfId="0" applyNumberFormat="1" applyFont="1" applyFill="1" applyBorder="1" applyAlignment="1">
      <alignment horizontal="fill"/>
    </xf>
    <xf numFmtId="0" fontId="74" fillId="0" borderId="0" xfId="663" applyFont="1" applyAlignment="1">
      <alignment horizontal="center"/>
    </xf>
    <xf numFmtId="0" fontId="124" fillId="0" borderId="0" xfId="663" applyFont="1"/>
    <xf numFmtId="0" fontId="109" fillId="0" borderId="0" xfId="663" applyFont="1"/>
    <xf numFmtId="44" fontId="109" fillId="0" borderId="0" xfId="378" applyFont="1" applyFill="1" applyBorder="1" applyAlignment="1" applyProtection="1">
      <alignment horizontal="right"/>
    </xf>
    <xf numFmtId="0" fontId="109" fillId="0" borderId="0" xfId="663" applyFont="1" applyAlignment="1">
      <alignment horizontal="left"/>
    </xf>
    <xf numFmtId="39" fontId="124" fillId="0" borderId="0" xfId="663" applyNumberFormat="1" applyFont="1" applyAlignment="1">
      <alignment wrapText="1"/>
    </xf>
    <xf numFmtId="0" fontId="124" fillId="0" borderId="0" xfId="663" applyFont="1" applyAlignment="1">
      <alignment wrapText="1"/>
    </xf>
    <xf numFmtId="0" fontId="124" fillId="0" borderId="0" xfId="663" applyFont="1" applyAlignment="1">
      <alignment horizontal="left"/>
    </xf>
    <xf numFmtId="44" fontId="109" fillId="0" borderId="0" xfId="378" applyFont="1" applyFill="1" applyBorder="1" applyProtection="1"/>
    <xf numFmtId="0" fontId="104" fillId="0" borderId="0" xfId="0" applyFont="1"/>
    <xf numFmtId="0" fontId="143" fillId="0" borderId="0" xfId="0" applyFont="1"/>
    <xf numFmtId="0" fontId="105" fillId="0" borderId="0" xfId="0" applyFont="1" applyAlignment="1">
      <alignment horizontal="right"/>
    </xf>
    <xf numFmtId="0" fontId="74" fillId="30" borderId="19" xfId="0" applyFont="1" applyFill="1" applyBorder="1" applyAlignment="1">
      <alignment horizontal="center"/>
    </xf>
    <xf numFmtId="0" fontId="74" fillId="72" borderId="19" xfId="0" applyFont="1" applyFill="1" applyBorder="1"/>
    <xf numFmtId="0" fontId="72" fillId="72" borderId="19" xfId="0" applyFont="1" applyFill="1" applyBorder="1"/>
    <xf numFmtId="0" fontId="72" fillId="30" borderId="19" xfId="530" applyFont="1" applyFill="1" applyBorder="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0" xfId="0" applyFont="1" applyFill="1" applyBorder="1" applyAlignment="1">
      <alignment horizontal="center" wrapText="1"/>
    </xf>
    <xf numFmtId="0" fontId="74" fillId="30" borderId="20" xfId="0" applyFont="1" applyFill="1" applyBorder="1" applyAlignment="1">
      <alignment horizontal="center" wrapText="1"/>
    </xf>
    <xf numFmtId="0" fontId="72" fillId="73" borderId="100" xfId="530" applyFont="1" applyFill="1" applyBorder="1"/>
    <xf numFmtId="0" fontId="72" fillId="73" borderId="33" xfId="530" applyFont="1" applyFill="1" applyBorder="1"/>
    <xf numFmtId="4" fontId="72" fillId="73" borderId="100" xfId="530" applyNumberFormat="1" applyFont="1" applyFill="1" applyBorder="1"/>
    <xf numFmtId="3" fontId="72" fillId="73" borderId="100" xfId="530" applyNumberFormat="1" applyFont="1" applyFill="1" applyBorder="1"/>
    <xf numFmtId="0" fontId="72" fillId="0" borderId="100" xfId="0" applyFont="1" applyBorder="1"/>
    <xf numFmtId="0" fontId="74" fillId="0" borderId="100" xfId="0" applyFont="1" applyBorder="1"/>
    <xf numFmtId="3" fontId="74" fillId="0" borderId="100" xfId="0" applyNumberFormat="1" applyFont="1" applyBorder="1"/>
    <xf numFmtId="4" fontId="74" fillId="0" borderId="100" xfId="0" applyNumberFormat="1" applyFont="1" applyBorder="1"/>
    <xf numFmtId="168" fontId="74" fillId="0" borderId="100" xfId="0" applyNumberFormat="1" applyFont="1" applyBorder="1"/>
    <xf numFmtId="0" fontId="74" fillId="30" borderId="19" xfId="0" applyFont="1" applyFill="1" applyBorder="1" applyAlignment="1">
      <alignment horizontal="center" wrapText="1"/>
    </xf>
    <xf numFmtId="3" fontId="72" fillId="0" borderId="0" xfId="181" applyNumberFormat="1" applyFont="1" applyBorder="1" applyProtection="1"/>
    <xf numFmtId="0" fontId="72" fillId="73" borderId="19" xfId="530" applyFont="1" applyFill="1" applyBorder="1"/>
    <xf numFmtId="4" fontId="72" fillId="73" borderId="19" xfId="530" applyNumberFormat="1" applyFont="1" applyFill="1" applyBorder="1"/>
    <xf numFmtId="3" fontId="72" fillId="73" borderId="19" xfId="530" applyNumberFormat="1" applyFont="1" applyFill="1" applyBorder="1"/>
    <xf numFmtId="3" fontId="74" fillId="0" borderId="0" xfId="0" applyNumberFormat="1" applyFont="1"/>
    <xf numFmtId="0" fontId="74" fillId="0" borderId="23" xfId="0" applyFont="1" applyBorder="1"/>
    <xf numFmtId="3" fontId="74" fillId="0" borderId="23" xfId="0" applyNumberFormat="1" applyFont="1" applyBorder="1"/>
    <xf numFmtId="168" fontId="74" fillId="0" borderId="19" xfId="0" applyNumberFormat="1" applyFont="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xf numFmtId="0" fontId="74" fillId="71" borderId="23" xfId="0" applyFont="1" applyFill="1" applyBorder="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47" xfId="0" applyFont="1" applyFill="1" applyBorder="1" applyAlignment="1">
      <alignment horizontal="center" wrapText="1"/>
    </xf>
    <xf numFmtId="0" fontId="72" fillId="0" borderId="23" xfId="0"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2" xfId="0" applyFont="1" applyBorder="1"/>
    <xf numFmtId="0" fontId="72" fillId="0" borderId="0" xfId="0" applyFont="1" applyAlignment="1">
      <alignment vertical="top"/>
    </xf>
    <xf numFmtId="0" fontId="106" fillId="0" borderId="0" xfId="0" applyFont="1" applyAlignment="1">
      <alignment horizontal="centerContinuous"/>
    </xf>
    <xf numFmtId="0" fontId="105" fillId="0" borderId="0" xfId="181" applyNumberFormat="1" applyFont="1" applyBorder="1" applyAlignment="1" applyProtection="1"/>
    <xf numFmtId="10" fontId="106" fillId="0" borderId="0" xfId="0" applyNumberFormat="1" applyFont="1"/>
    <xf numFmtId="5" fontId="106" fillId="0" borderId="0" xfId="0" applyNumberFormat="1" applyFont="1"/>
    <xf numFmtId="0" fontId="104" fillId="0" borderId="0" xfId="0" applyFont="1" applyAlignment="1">
      <alignment horizontal="right"/>
    </xf>
    <xf numFmtId="0" fontId="140" fillId="0" borderId="0" xfId="0" applyFont="1" applyAlignment="1">
      <alignment horizontal="right"/>
    </xf>
    <xf numFmtId="0" fontId="104" fillId="0" borderId="0" xfId="0" applyFont="1" applyAlignment="1">
      <alignment horizontal="left"/>
    </xf>
    <xf numFmtId="0" fontId="74" fillId="0" borderId="22" xfId="0" applyFont="1" applyBorder="1" applyAlignment="1">
      <alignment horizontal="center"/>
    </xf>
    <xf numFmtId="4" fontId="72" fillId="0" borderId="16" xfId="181" applyNumberFormat="1" applyFont="1" applyBorder="1" applyProtection="1"/>
    <xf numFmtId="4" fontId="72" fillId="0" borderId="23" xfId="181" applyNumberFormat="1" applyFont="1" applyBorder="1" applyProtection="1"/>
    <xf numFmtId="4" fontId="72" fillId="30" borderId="82" xfId="181" applyNumberFormat="1" applyFont="1" applyFill="1" applyBorder="1" applyProtection="1"/>
    <xf numFmtId="4" fontId="72" fillId="0" borderId="29" xfId="181" applyNumberFormat="1" applyFont="1" applyBorder="1" applyProtection="1"/>
    <xf numFmtId="0" fontId="74" fillId="30" borderId="81" xfId="0" applyFont="1" applyFill="1" applyBorder="1"/>
    <xf numFmtId="4" fontId="72" fillId="0" borderId="34" xfId="181" applyNumberFormat="1" applyFont="1" applyBorder="1" applyProtection="1"/>
    <xf numFmtId="4" fontId="72" fillId="0" borderId="0" xfId="0" applyNumberFormat="1" applyFont="1"/>
    <xf numFmtId="4" fontId="78" fillId="0" borderId="34" xfId="0" applyNumberFormat="1" applyFont="1" applyBorder="1"/>
    <xf numFmtId="4" fontId="72" fillId="0" borderId="34" xfId="181" applyNumberFormat="1" applyFont="1" applyFill="1" applyBorder="1" applyProtection="1"/>
    <xf numFmtId="0" fontId="74" fillId="30" borderId="82" xfId="0" applyFont="1" applyFill="1" applyBorder="1"/>
    <xf numFmtId="0" fontId="74" fillId="0" borderId="17" xfId="0" applyFont="1" applyBorder="1" applyAlignment="1">
      <alignment horizontal="center"/>
    </xf>
    <xf numFmtId="4" fontId="149" fillId="0" borderId="34" xfId="0" applyNumberFormat="1" applyFont="1" applyBorder="1"/>
    <xf numFmtId="4" fontId="72" fillId="0" borderId="23" xfId="181" applyNumberFormat="1" applyFont="1" applyFill="1" applyBorder="1" applyProtection="1"/>
    <xf numFmtId="4" fontId="74" fillId="0" borderId="0" xfId="0" applyNumberFormat="1" applyFont="1"/>
    <xf numFmtId="10" fontId="72" fillId="0" borderId="0" xfId="0" applyNumberFormat="1" applyFont="1"/>
    <xf numFmtId="168" fontId="74" fillId="30" borderId="83" xfId="0" applyNumberFormat="1" applyFont="1" applyFill="1" applyBorder="1"/>
    <xf numFmtId="0" fontId="74" fillId="30" borderId="82" xfId="0" applyFont="1" applyFill="1" applyBorder="1" applyAlignment="1">
      <alignment horizontal="center"/>
    </xf>
    <xf numFmtId="168" fontId="74" fillId="30" borderId="82" xfId="0" applyNumberFormat="1" applyFont="1" applyFill="1" applyBorder="1"/>
    <xf numFmtId="168" fontId="74" fillId="30" borderId="19" xfId="0" applyNumberFormat="1" applyFont="1" applyFill="1" applyBorder="1"/>
    <xf numFmtId="0" fontId="74" fillId="0" borderId="159" xfId="0" applyFont="1" applyBorder="1"/>
    <xf numFmtId="4" fontId="74" fillId="30" borderId="19" xfId="0" applyNumberFormat="1" applyFont="1" applyFill="1" applyBorder="1"/>
    <xf numFmtId="4" fontId="72" fillId="0" borderId="56"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56"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0" xfId="181" applyNumberFormat="1" applyFont="1" applyBorder="1" applyProtection="1"/>
    <xf numFmtId="0" fontId="74" fillId="71" borderId="29" xfId="0" applyFont="1" applyFill="1" applyBorder="1"/>
    <xf numFmtId="0" fontId="74" fillId="71" borderId="19" xfId="0" applyFont="1" applyFill="1" applyBorder="1"/>
    <xf numFmtId="0" fontId="100" fillId="0" borderId="29" xfId="0" applyFont="1" applyBorder="1"/>
    <xf numFmtId="168" fontId="150" fillId="0" borderId="16" xfId="0" applyNumberFormat="1" applyFont="1" applyBorder="1"/>
    <xf numFmtId="3" fontId="150" fillId="0" borderId="16" xfId="0" applyNumberFormat="1" applyFont="1" applyBorder="1"/>
    <xf numFmtId="0" fontId="100" fillId="30" borderId="81" xfId="0" applyFont="1" applyFill="1" applyBorder="1"/>
    <xf numFmtId="0" fontId="100" fillId="30" borderId="19" xfId="0" applyFont="1" applyFill="1" applyBorder="1"/>
    <xf numFmtId="0" fontId="100" fillId="30" borderId="82" xfId="0" applyFont="1" applyFill="1" applyBorder="1"/>
    <xf numFmtId="0" fontId="105" fillId="0" borderId="0" xfId="0" applyFont="1"/>
    <xf numFmtId="166" fontId="105" fillId="0" borderId="0" xfId="0" applyNumberFormat="1" applyFont="1"/>
    <xf numFmtId="166" fontId="105" fillId="0" borderId="101" xfId="0" applyNumberFormat="1" applyFont="1" applyBorder="1"/>
    <xf numFmtId="3" fontId="72" fillId="77" borderId="43" xfId="0" applyNumberFormat="1" applyFont="1" applyFill="1" applyBorder="1"/>
    <xf numFmtId="0" fontId="72" fillId="0" borderId="155" xfId="0" applyFont="1" applyBorder="1"/>
    <xf numFmtId="0" fontId="105" fillId="0" borderId="23" xfId="0" applyFont="1" applyBorder="1"/>
    <xf numFmtId="166" fontId="105" fillId="32" borderId="81" xfId="0" applyNumberFormat="1" applyFont="1" applyFill="1" applyBorder="1"/>
    <xf numFmtId="166" fontId="105" fillId="32" borderId="14" xfId="0" applyNumberFormat="1" applyFont="1" applyFill="1" applyBorder="1"/>
    <xf numFmtId="0" fontId="74" fillId="70" borderId="14" xfId="0" applyFont="1" applyFill="1" applyBorder="1" applyAlignment="1">
      <alignment horizontal="center" wrapText="1"/>
    </xf>
    <xf numFmtId="0" fontId="72" fillId="0" borderId="29" xfId="0" applyFont="1" applyBorder="1"/>
    <xf numFmtId="0" fontId="152" fillId="0" borderId="0" xfId="0" applyFont="1"/>
    <xf numFmtId="170" fontId="122" fillId="31" borderId="0" xfId="181" applyNumberFormat="1" applyFont="1" applyFill="1" applyBorder="1"/>
    <xf numFmtId="43" fontId="122" fillId="31" borderId="0" xfId="181" applyFont="1" applyFill="1"/>
    <xf numFmtId="0" fontId="151" fillId="0" borderId="162" xfId="0" applyFont="1" applyBorder="1" applyAlignment="1">
      <alignment vertical="center"/>
    </xf>
    <xf numFmtId="0" fontId="151" fillId="0" borderId="161" xfId="0" applyFont="1" applyBorder="1" applyAlignment="1">
      <alignment vertical="center"/>
    </xf>
    <xf numFmtId="0" fontId="105" fillId="0" borderId="38" xfId="0" applyFont="1" applyBorder="1"/>
    <xf numFmtId="10" fontId="75" fillId="36" borderId="67" xfId="495" applyNumberFormat="1" applyFont="1" applyFill="1" applyBorder="1" applyAlignment="1">
      <alignment horizontal="center"/>
    </xf>
    <xf numFmtId="0" fontId="71" fillId="0" borderId="19" xfId="0" applyFont="1" applyBorder="1" applyAlignment="1">
      <alignment wrapText="1"/>
    </xf>
    <xf numFmtId="168" fontId="105" fillId="0" borderId="0" xfId="0" applyNumberFormat="1" applyFont="1"/>
    <xf numFmtId="166" fontId="72" fillId="36" borderId="56" xfId="0" applyNumberFormat="1" applyFont="1" applyFill="1" applyBorder="1"/>
    <xf numFmtId="166" fontId="105" fillId="36" borderId="82"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47"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168" fontId="105" fillId="36" borderId="154" xfId="0" applyNumberFormat="1" applyFont="1" applyFill="1" applyBorder="1"/>
    <xf numFmtId="166" fontId="105" fillId="32" borderId="19" xfId="0" applyNumberFormat="1" applyFont="1" applyFill="1" applyBorder="1"/>
    <xf numFmtId="166" fontId="105" fillId="32" borderId="63" xfId="0" applyNumberFormat="1" applyFont="1" applyFill="1" applyBorder="1"/>
    <xf numFmtId="166" fontId="105" fillId="32" borderId="83" xfId="0" applyNumberFormat="1" applyFont="1" applyFill="1" applyBorder="1"/>
    <xf numFmtId="166" fontId="105" fillId="32" borderId="13" xfId="0" applyNumberFormat="1" applyFont="1" applyFill="1" applyBorder="1"/>
    <xf numFmtId="166" fontId="105" fillId="32" borderId="146" xfId="0" applyNumberFormat="1" applyFont="1" applyFill="1" applyBorder="1"/>
    <xf numFmtId="0" fontId="151" fillId="0" borderId="163" xfId="0" applyFont="1" applyBorder="1" applyAlignment="1">
      <alignment vertical="center"/>
    </xf>
    <xf numFmtId="0" fontId="72" fillId="0" borderId="17" xfId="0" applyFont="1" applyBorder="1"/>
    <xf numFmtId="165" fontId="72" fillId="0" borderId="0" xfId="181" applyNumberFormat="1" applyFont="1"/>
    <xf numFmtId="165" fontId="72" fillId="0" borderId="0" xfId="0" applyNumberFormat="1" applyFont="1"/>
    <xf numFmtId="168" fontId="72" fillId="0" borderId="68" xfId="0" applyNumberFormat="1" applyFont="1" applyBorder="1"/>
    <xf numFmtId="168" fontId="72" fillId="0" borderId="36" xfId="0" applyNumberFormat="1" applyFont="1" applyBorder="1"/>
    <xf numFmtId="168" fontId="105" fillId="0" borderId="37" xfId="0" applyNumberFormat="1" applyFont="1" applyBorder="1"/>
    <xf numFmtId="168" fontId="105" fillId="0" borderId="46" xfId="0" applyNumberFormat="1" applyFont="1" applyBorder="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3" borderId="19" xfId="0" applyFont="1" applyFill="1" applyBorder="1"/>
    <xf numFmtId="0" fontId="100" fillId="0" borderId="15" xfId="0" applyFont="1" applyBorder="1" applyAlignment="1">
      <alignment horizontal="center"/>
    </xf>
    <xf numFmtId="0" fontId="108" fillId="29" borderId="19" xfId="0" applyFont="1" applyFill="1" applyBorder="1"/>
    <xf numFmtId="0" fontId="108" fillId="0" borderId="19" xfId="0" applyFont="1" applyBorder="1"/>
    <xf numFmtId="0" fontId="108" fillId="0" borderId="21" xfId="0" applyFont="1" applyBorder="1"/>
    <xf numFmtId="0" fontId="108" fillId="0" borderId="23" xfId="0" applyFont="1" applyBorder="1"/>
    <xf numFmtId="168" fontId="108" fillId="0" borderId="22" xfId="0" applyNumberFormat="1" applyFont="1" applyBorder="1"/>
    <xf numFmtId="3" fontId="125" fillId="0" borderId="0" xfId="0" applyNumberFormat="1" applyFont="1"/>
    <xf numFmtId="168" fontId="105" fillId="32" borderId="152" xfId="0" applyNumberFormat="1" applyFont="1" applyFill="1" applyBorder="1"/>
    <xf numFmtId="168" fontId="105" fillId="32" borderId="153" xfId="0" applyNumberFormat="1" applyFont="1" applyFill="1" applyBorder="1"/>
    <xf numFmtId="165" fontId="105" fillId="0" borderId="0" xfId="181" applyNumberFormat="1" applyFont="1" applyFill="1" applyBorder="1"/>
    <xf numFmtId="0" fontId="76" fillId="0" borderId="0" xfId="0" applyFont="1" applyAlignment="1">
      <alignment horizontal="left"/>
    </xf>
    <xf numFmtId="165" fontId="71" fillId="0" borderId="0" xfId="181" applyNumberFormat="1" applyFont="1" applyFill="1"/>
    <xf numFmtId="3" fontId="77" fillId="0" borderId="0" xfId="0" applyNumberFormat="1" applyFont="1"/>
    <xf numFmtId="49" fontId="75" fillId="0" borderId="0" xfId="0" applyNumberFormat="1" applyFont="1" applyAlignment="1">
      <alignment horizontal="left" vertical="top"/>
    </xf>
    <xf numFmtId="0" fontId="155" fillId="0" borderId="0" xfId="0" applyFont="1"/>
    <xf numFmtId="4" fontId="156" fillId="32" borderId="34" xfId="0" applyNumberFormat="1" applyFont="1" applyFill="1" applyBorder="1" applyProtection="1">
      <protection locked="0"/>
    </xf>
    <xf numFmtId="0" fontId="72" fillId="30" borderId="19" xfId="0" applyFont="1" applyFill="1" applyBorder="1"/>
    <xf numFmtId="0" fontId="72" fillId="30" borderId="82" xfId="0" applyFont="1" applyFill="1" applyBorder="1"/>
    <xf numFmtId="3" fontId="157" fillId="32" borderId="66" xfId="0" applyNumberFormat="1" applyFont="1" applyFill="1" applyBorder="1" applyProtection="1">
      <protection locked="0"/>
    </xf>
    <xf numFmtId="3" fontId="157" fillId="32" borderId="65"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48" xfId="0" applyNumberFormat="1" applyFont="1" applyFill="1" applyBorder="1" applyProtection="1">
      <protection locked="0"/>
    </xf>
    <xf numFmtId="168" fontId="157" fillId="32" borderId="0" xfId="0" applyNumberFormat="1" applyFont="1" applyFill="1" applyProtection="1">
      <protection locked="0"/>
    </xf>
    <xf numFmtId="168" fontId="157" fillId="32" borderId="29" xfId="0" applyNumberFormat="1" applyFont="1" applyFill="1" applyBorder="1" applyProtection="1">
      <protection locked="0"/>
    </xf>
    <xf numFmtId="3" fontId="157" fillId="32" borderId="0" xfId="0" applyNumberFormat="1" applyFont="1" applyFill="1" applyProtection="1">
      <protection locked="0"/>
    </xf>
    <xf numFmtId="3" fontId="157" fillId="32" borderId="47" xfId="0" applyNumberFormat="1" applyFont="1" applyFill="1" applyBorder="1" applyProtection="1">
      <protection locked="0"/>
    </xf>
    <xf numFmtId="168" fontId="158" fillId="32" borderId="34" xfId="0" applyNumberFormat="1" applyFont="1" applyFill="1" applyBorder="1" applyProtection="1">
      <protection locked="0"/>
    </xf>
    <xf numFmtId="49" fontId="72" fillId="0" borderId="0" xfId="0" applyNumberFormat="1" applyFont="1" applyAlignment="1" applyProtection="1">
      <alignment horizontal="left" vertical="top" wrapText="1"/>
      <protection locked="0"/>
    </xf>
    <xf numFmtId="0" fontId="160" fillId="0" borderId="0" xfId="0" applyFont="1"/>
    <xf numFmtId="0" fontId="74" fillId="0" borderId="159" xfId="0" applyFont="1" applyBorder="1" applyAlignment="1">
      <alignment horizontal="center"/>
    </xf>
    <xf numFmtId="0" fontId="154" fillId="0" borderId="0" xfId="0" applyFont="1"/>
    <xf numFmtId="0" fontId="74" fillId="0" borderId="0" xfId="0" applyFont="1" applyAlignment="1">
      <alignment horizontal="left" vertical="top"/>
    </xf>
    <xf numFmtId="166" fontId="72" fillId="32" borderId="51" xfId="0" applyNumberFormat="1" applyFont="1" applyFill="1" applyBorder="1"/>
    <xf numFmtId="166" fontId="72" fillId="32" borderId="50" xfId="0" applyNumberFormat="1" applyFont="1" applyFill="1" applyBorder="1"/>
    <xf numFmtId="171" fontId="72" fillId="32" borderId="144" xfId="182" applyNumberFormat="1" applyFont="1" applyFill="1" applyBorder="1"/>
    <xf numFmtId="171" fontId="72" fillId="32" borderId="51" xfId="182" applyNumberFormat="1" applyFont="1" applyFill="1" applyBorder="1"/>
    <xf numFmtId="171" fontId="72" fillId="32" borderId="50" xfId="182" applyNumberFormat="1" applyFont="1" applyFill="1" applyBorder="1"/>
    <xf numFmtId="171" fontId="72" fillId="32" borderId="0" xfId="182" applyNumberFormat="1" applyFont="1" applyFill="1"/>
    <xf numFmtId="169" fontId="78" fillId="32" borderId="29" xfId="17654" applyNumberFormat="1" applyFont="1" applyFill="1" applyBorder="1"/>
    <xf numFmtId="166" fontId="72" fillId="32" borderId="34" xfId="182" applyNumberFormat="1" applyFont="1" applyFill="1" applyBorder="1"/>
    <xf numFmtId="166" fontId="78" fillId="32" borderId="34" xfId="17654" applyNumberFormat="1" applyFont="1" applyFill="1" applyBorder="1"/>
    <xf numFmtId="170" fontId="74" fillId="32" borderId="0" xfId="181" applyNumberFormat="1" applyFont="1" applyFill="1" applyBorder="1"/>
    <xf numFmtId="0" fontId="163" fillId="0" borderId="0" xfId="0" applyFont="1"/>
    <xf numFmtId="0" fontId="163" fillId="32" borderId="0" xfId="0" applyFont="1" applyFill="1"/>
    <xf numFmtId="0" fontId="72" fillId="32" borderId="0" xfId="0" applyFont="1" applyFill="1"/>
    <xf numFmtId="3" fontId="72" fillId="32" borderId="23" xfId="0" applyNumberFormat="1" applyFont="1" applyFill="1" applyBorder="1"/>
    <xf numFmtId="168" fontId="105" fillId="32" borderId="23" xfId="0" applyNumberFormat="1" applyFont="1" applyFill="1" applyBorder="1"/>
    <xf numFmtId="0" fontId="74" fillId="0" borderId="0" xfId="17654" applyFont="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0" fontId="154" fillId="37" borderId="0" xfId="49346" applyFont="1" applyFill="1" applyAlignment="1">
      <alignment horizontal="center" wrapText="1"/>
    </xf>
    <xf numFmtId="0" fontId="104" fillId="0" borderId="0" xfId="0" applyFont="1" applyAlignment="1">
      <alignment horizontal="center" wrapText="1"/>
    </xf>
    <xf numFmtId="0" fontId="126" fillId="73" borderId="83" xfId="0" applyFont="1" applyFill="1" applyBorder="1"/>
    <xf numFmtId="0" fontId="126" fillId="73" borderId="81" xfId="0" applyFont="1" applyFill="1" applyBorder="1"/>
    <xf numFmtId="0" fontId="100" fillId="0" borderId="147" xfId="0" applyFont="1" applyBorder="1" applyAlignment="1">
      <alignment horizontal="center"/>
    </xf>
    <xf numFmtId="0" fontId="108" fillId="29" borderId="81" xfId="0" applyFont="1" applyFill="1" applyBorder="1"/>
    <xf numFmtId="0" fontId="108" fillId="29" borderId="83" xfId="0" applyFont="1" applyFill="1" applyBorder="1"/>
    <xf numFmtId="0" fontId="108" fillId="29" borderId="82" xfId="0" applyFont="1" applyFill="1" applyBorder="1"/>
    <xf numFmtId="0" fontId="108" fillId="0" borderId="81" xfId="0" applyFont="1" applyBorder="1"/>
    <xf numFmtId="168" fontId="108" fillId="0" borderId="82" xfId="0" applyNumberFormat="1" applyFont="1" applyBorder="1"/>
    <xf numFmtId="0" fontId="104" fillId="0" borderId="0" xfId="0" applyFont="1" applyAlignment="1">
      <alignment wrapText="1"/>
    </xf>
    <xf numFmtId="0" fontId="104" fillId="0" borderId="0" xfId="0" applyFont="1" applyAlignment="1">
      <alignment horizontal="center"/>
    </xf>
    <xf numFmtId="0" fontId="154" fillId="0" borderId="0" xfId="49346" applyFont="1" applyAlignment="1">
      <alignment wrapText="1"/>
    </xf>
    <xf numFmtId="37" fontId="100" fillId="0" borderId="165" xfId="0" applyNumberFormat="1" applyFont="1" applyBorder="1"/>
    <xf numFmtId="37" fontId="108" fillId="0" borderId="165" xfId="0" applyNumberFormat="1" applyFont="1" applyBorder="1"/>
    <xf numFmtId="37" fontId="129" fillId="0" borderId="165" xfId="0" applyNumberFormat="1" applyFont="1" applyBorder="1"/>
    <xf numFmtId="37" fontId="129" fillId="0" borderId="0" xfId="0" applyNumberFormat="1" applyFont="1"/>
    <xf numFmtId="37" fontId="100" fillId="24" borderId="165" xfId="0" applyNumberFormat="1" applyFont="1" applyFill="1" applyBorder="1"/>
    <xf numFmtId="37" fontId="100" fillId="24" borderId="0" xfId="0" applyNumberFormat="1" applyFont="1" applyFill="1"/>
    <xf numFmtId="37" fontId="100" fillId="0" borderId="0" xfId="0" applyNumberFormat="1" applyFont="1" applyAlignment="1">
      <alignment horizontal="right"/>
    </xf>
    <xf numFmtId="37" fontId="133" fillId="24" borderId="115" xfId="0" applyNumberFormat="1" applyFont="1" applyFill="1" applyBorder="1" applyAlignment="1">
      <alignment horizontal="right"/>
    </xf>
    <xf numFmtId="0" fontId="100" fillId="0" borderId="165" xfId="0" applyFont="1" applyBorder="1"/>
    <xf numFmtId="37" fontId="134" fillId="0" borderId="0" xfId="0" applyNumberFormat="1" applyFont="1"/>
    <xf numFmtId="37" fontId="108" fillId="0" borderId="165" xfId="0" applyNumberFormat="1" applyFont="1" applyBorder="1" applyAlignment="1">
      <alignment horizontal="fill"/>
    </xf>
    <xf numFmtId="37" fontId="100" fillId="25" borderId="165" xfId="0" applyNumberFormat="1" applyFont="1" applyFill="1" applyBorder="1"/>
    <xf numFmtId="0" fontId="108" fillId="0" borderId="165" xfId="0" applyFont="1" applyBorder="1"/>
    <xf numFmtId="37" fontId="108" fillId="0" borderId="166" xfId="0" applyNumberFormat="1" applyFont="1" applyBorder="1"/>
    <xf numFmtId="37" fontId="100" fillId="0" borderId="62" xfId="0" applyNumberFormat="1" applyFont="1" applyBorder="1"/>
    <xf numFmtId="37" fontId="100" fillId="0" borderId="62" xfId="0" applyNumberFormat="1" applyFont="1" applyBorder="1" applyAlignment="1">
      <alignment horizontal="right"/>
    </xf>
    <xf numFmtId="5" fontId="108" fillId="74" borderId="167" xfId="0" applyNumberFormat="1" applyFont="1" applyFill="1" applyBorder="1"/>
    <xf numFmtId="37" fontId="108" fillId="0" borderId="169" xfId="0" applyNumberFormat="1" applyFont="1" applyBorder="1"/>
    <xf numFmtId="37" fontId="108" fillId="0" borderId="168" xfId="0" applyNumberFormat="1" applyFont="1" applyBorder="1"/>
    <xf numFmtId="37" fontId="108" fillId="0" borderId="168" xfId="0" applyNumberFormat="1" applyFont="1" applyBorder="1" applyAlignment="1">
      <alignment horizontal="center" wrapText="1"/>
    </xf>
    <xf numFmtId="37" fontId="108" fillId="0" borderId="164" xfId="0" applyNumberFormat="1" applyFont="1" applyBorder="1" applyAlignment="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Border="1" applyAlignment="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1" xfId="0" applyNumberFormat="1" applyFont="1" applyBorder="1" applyAlignment="1">
      <alignment horizontal="right"/>
    </xf>
    <xf numFmtId="5" fontId="130" fillId="74" borderId="167" xfId="0" applyNumberFormat="1" applyFont="1" applyFill="1" applyBorder="1"/>
    <xf numFmtId="37" fontId="108" fillId="0" borderId="172" xfId="0" applyNumberFormat="1" applyFont="1" applyBorder="1"/>
    <xf numFmtId="37" fontId="100" fillId="0" borderId="173" xfId="0" applyNumberFormat="1" applyFont="1" applyBorder="1"/>
    <xf numFmtId="37" fontId="100" fillId="0" borderId="174" xfId="0" applyNumberFormat="1" applyFont="1" applyBorder="1" applyAlignment="1">
      <alignment horizontal="right"/>
    </xf>
    <xf numFmtId="5" fontId="108" fillId="74" borderId="174" xfId="0" applyNumberFormat="1" applyFont="1" applyFill="1" applyBorder="1"/>
    <xf numFmtId="5" fontId="130" fillId="74" borderId="175" xfId="0" applyNumberFormat="1" applyFont="1" applyFill="1" applyBorder="1" applyAlignment="1">
      <alignment horizontal="right"/>
    </xf>
    <xf numFmtId="0" fontId="135" fillId="0" borderId="0" xfId="0" applyFont="1"/>
    <xf numFmtId="0" fontId="100" fillId="0" borderId="62" xfId="0" applyFont="1" applyBorder="1"/>
    <xf numFmtId="37" fontId="108" fillId="30" borderId="169" xfId="0" applyNumberFormat="1" applyFont="1" applyFill="1" applyBorder="1"/>
    <xf numFmtId="37" fontId="100" fillId="30" borderId="168" xfId="0" applyNumberFormat="1" applyFont="1" applyFill="1" applyBorder="1"/>
    <xf numFmtId="37" fontId="100" fillId="30" borderId="170" xfId="0" applyNumberFormat="1" applyFont="1" applyFill="1" applyBorder="1"/>
    <xf numFmtId="37" fontId="100" fillId="30" borderId="164" xfId="0" applyNumberFormat="1" applyFont="1" applyFill="1" applyBorder="1"/>
    <xf numFmtId="0" fontId="166" fillId="0" borderId="0" xfId="0" applyFont="1" applyAlignment="1">
      <alignment vertical="top" wrapText="1"/>
    </xf>
    <xf numFmtId="0" fontId="74" fillId="0" borderId="47" xfId="0" applyFont="1" applyBorder="1" applyAlignment="1">
      <alignment horizontal="center"/>
    </xf>
    <xf numFmtId="0" fontId="74" fillId="30" borderId="47" xfId="0" applyFont="1" applyFill="1" applyBorder="1"/>
    <xf numFmtId="0" fontId="74" fillId="71" borderId="47" xfId="0" applyFont="1" applyFill="1" applyBorder="1"/>
    <xf numFmtId="4" fontId="149" fillId="0" borderId="47" xfId="0" applyNumberFormat="1" applyFont="1" applyBorder="1"/>
    <xf numFmtId="0" fontId="72" fillId="0" borderId="176" xfId="0" applyFont="1" applyBorder="1"/>
    <xf numFmtId="0" fontId="72" fillId="0" borderId="176" xfId="0" applyFont="1" applyBorder="1" applyAlignment="1">
      <alignment horizontal="center"/>
    </xf>
    <xf numFmtId="3" fontId="156" fillId="32" borderId="176" xfId="17654" applyNumberFormat="1" applyFont="1" applyFill="1" applyBorder="1" applyAlignment="1" applyProtection="1">
      <alignment horizontal="right"/>
      <protection locked="0"/>
    </xf>
    <xf numFmtId="4" fontId="72" fillId="0" borderId="176" xfId="0" applyNumberFormat="1" applyFont="1" applyBorder="1"/>
    <xf numFmtId="168" fontId="72" fillId="0" borderId="176" xfId="0" applyNumberFormat="1" applyFont="1" applyBorder="1"/>
    <xf numFmtId="3" fontId="74" fillId="0" borderId="83" xfId="0" applyNumberFormat="1" applyFont="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67" xfId="0" applyNumberFormat="1" applyFont="1" applyBorder="1"/>
    <xf numFmtId="0" fontId="72" fillId="72" borderId="81" xfId="0" applyFont="1" applyFill="1" applyBorder="1"/>
    <xf numFmtId="0" fontId="72" fillId="72" borderId="82" xfId="0" applyFont="1" applyFill="1" applyBorder="1"/>
    <xf numFmtId="0" fontId="72" fillId="30" borderId="81" xfId="530" applyFont="1" applyFill="1" applyBorder="1"/>
    <xf numFmtId="0" fontId="72" fillId="30" borderId="82" xfId="530" applyFont="1" applyFill="1" applyBorder="1"/>
    <xf numFmtId="0" fontId="74" fillId="29" borderId="81" xfId="0" applyFont="1" applyFill="1" applyBorder="1"/>
    <xf numFmtId="0" fontId="74" fillId="29" borderId="82" xfId="0" applyFont="1" applyFill="1" applyBorder="1"/>
    <xf numFmtId="168" fontId="157" fillId="32" borderId="47" xfId="0" applyNumberFormat="1" applyFont="1" applyFill="1" applyBorder="1" applyProtection="1">
      <protection locked="0"/>
    </xf>
    <xf numFmtId="0" fontId="100" fillId="0" borderId="47" xfId="0" applyFont="1" applyBorder="1"/>
    <xf numFmtId="0" fontId="108" fillId="0" borderId="47" xfId="0" applyFont="1" applyBorder="1"/>
    <xf numFmtId="0" fontId="140" fillId="30" borderId="82" xfId="0" applyFont="1" applyFill="1" applyBorder="1" applyAlignment="1">
      <alignment horizontal="center" wrapText="1"/>
    </xf>
    <xf numFmtId="0" fontId="106" fillId="0" borderId="56" xfId="0" applyFont="1" applyBorder="1" applyAlignment="1">
      <alignment horizontal="center"/>
    </xf>
    <xf numFmtId="37" fontId="143" fillId="76" borderId="47" xfId="0" applyNumberFormat="1" applyFont="1" applyFill="1" applyBorder="1" applyAlignment="1">
      <alignment horizontal="right"/>
    </xf>
    <xf numFmtId="37" fontId="105" fillId="26" borderId="47" xfId="0" applyNumberFormat="1" applyFont="1" applyFill="1" applyBorder="1" applyAlignment="1">
      <alignment horizontal="fill"/>
    </xf>
    <xf numFmtId="165" fontId="105" fillId="26" borderId="47" xfId="181" applyNumberFormat="1" applyFont="1" applyFill="1" applyBorder="1" applyAlignment="1" applyProtection="1">
      <alignment horizontal="fill"/>
    </xf>
    <xf numFmtId="0" fontId="74" fillId="0" borderId="178" xfId="0" applyFont="1" applyBorder="1" applyAlignment="1">
      <alignment horizontal="center"/>
    </xf>
    <xf numFmtId="166" fontId="72" fillId="32" borderId="179" xfId="0" applyNumberFormat="1" applyFont="1" applyFill="1" applyBorder="1"/>
    <xf numFmtId="166" fontId="72" fillId="36" borderId="178" xfId="0" applyNumberFormat="1" applyFont="1" applyFill="1" applyBorder="1"/>
    <xf numFmtId="4" fontId="72" fillId="0" borderId="178" xfId="181" applyNumberFormat="1" applyFont="1" applyBorder="1" applyProtection="1"/>
    <xf numFmtId="37" fontId="100" fillId="0" borderId="180" xfId="0" applyNumberFormat="1" applyFont="1" applyBorder="1"/>
    <xf numFmtId="37" fontId="100" fillId="0" borderId="181" xfId="0" applyNumberFormat="1" applyFont="1" applyBorder="1" applyAlignment="1">
      <alignment horizontal="right"/>
    </xf>
    <xf numFmtId="37" fontId="100" fillId="0" borderId="182" xfId="0" applyNumberFormat="1" applyFont="1" applyBorder="1"/>
    <xf numFmtId="0" fontId="100" fillId="0" borderId="180" xfId="0" applyFont="1" applyBorder="1"/>
    <xf numFmtId="0" fontId="100" fillId="0" borderId="181" xfId="0" applyFont="1" applyBorder="1" applyAlignment="1">
      <alignment horizontal="right"/>
    </xf>
    <xf numFmtId="37" fontId="108" fillId="0" borderId="183" xfId="0" applyNumberFormat="1" applyFont="1" applyBorder="1" applyAlignment="1">
      <alignment horizontal="fill"/>
    </xf>
    <xf numFmtId="37" fontId="108" fillId="24" borderId="183" xfId="0" applyNumberFormat="1" applyFont="1" applyFill="1" applyBorder="1" applyAlignment="1">
      <alignment horizontal="fill"/>
    </xf>
    <xf numFmtId="37" fontId="108" fillId="24" borderId="184" xfId="0" applyNumberFormat="1" applyFont="1" applyFill="1" applyBorder="1" applyAlignment="1">
      <alignment horizontal="fill"/>
    </xf>
    <xf numFmtId="170" fontId="74" fillId="32" borderId="180" xfId="181" applyNumberFormat="1" applyFont="1" applyFill="1" applyBorder="1"/>
    <xf numFmtId="170" fontId="74" fillId="0" borderId="180" xfId="181" applyNumberFormat="1" applyFont="1" applyFill="1" applyBorder="1"/>
    <xf numFmtId="0" fontId="74" fillId="0" borderId="180" xfId="0" applyFont="1" applyBorder="1" applyAlignment="1">
      <alignment horizontal="center" wrapText="1"/>
    </xf>
    <xf numFmtId="5" fontId="72" fillId="0" borderId="180" xfId="181" applyNumberFormat="1" applyFont="1" applyFill="1" applyBorder="1" applyProtection="1"/>
    <xf numFmtId="5" fontId="72" fillId="0" borderId="180" xfId="181" applyNumberFormat="1" applyFont="1" applyBorder="1" applyProtection="1"/>
    <xf numFmtId="5" fontId="72" fillId="0" borderId="180" xfId="181" quotePrefix="1" applyNumberFormat="1" applyFont="1" applyFill="1" applyBorder="1" applyProtection="1"/>
    <xf numFmtId="5" fontId="72" fillId="0" borderId="180" xfId="0" applyNumberFormat="1" applyFont="1" applyBorder="1"/>
    <xf numFmtId="10" fontId="74" fillId="0" borderId="180" xfId="3292" applyNumberFormat="1" applyFont="1" applyBorder="1" applyProtection="1"/>
    <xf numFmtId="0" fontId="74" fillId="0" borderId="180" xfId="0" applyFont="1" applyBorder="1"/>
    <xf numFmtId="165" fontId="72" fillId="0" borderId="180" xfId="192" applyNumberFormat="1" applyFont="1" applyBorder="1" applyProtection="1"/>
    <xf numFmtId="37" fontId="100" fillId="0" borderId="183" xfId="0" applyNumberFormat="1" applyFont="1" applyBorder="1" applyAlignment="1">
      <alignment horizontal="right"/>
    </xf>
    <xf numFmtId="0" fontId="77" fillId="0" borderId="0" xfId="0" applyFont="1"/>
    <xf numFmtId="0" fontId="19" fillId="31" borderId="0" xfId="0" applyFont="1" applyFill="1"/>
    <xf numFmtId="37" fontId="19" fillId="31" borderId="0" xfId="0" applyNumberFormat="1" applyFont="1" applyFill="1"/>
    <xf numFmtId="37" fontId="19" fillId="31" borderId="0" xfId="0" applyNumberFormat="1" applyFont="1" applyFill="1" applyAlignment="1">
      <alignment horizontal="center"/>
    </xf>
    <xf numFmtId="0" fontId="167" fillId="31" borderId="0" xfId="0" applyFont="1" applyFill="1" applyAlignment="1">
      <alignment horizontal="center"/>
    </xf>
    <xf numFmtId="4" fontId="19" fillId="31" borderId="0" xfId="0" applyNumberFormat="1" applyFont="1" applyFill="1"/>
    <xf numFmtId="0" fontId="74" fillId="0" borderId="187" xfId="0" applyFont="1" applyBorder="1" applyAlignment="1">
      <alignment horizontal="center"/>
    </xf>
    <xf numFmtId="166" fontId="72" fillId="69" borderId="185" xfId="0" applyNumberFormat="1" applyFont="1" applyFill="1" applyBorder="1"/>
    <xf numFmtId="166" fontId="72" fillId="32" borderId="185" xfId="0" applyNumberFormat="1" applyFont="1" applyFill="1" applyBorder="1"/>
    <xf numFmtId="166" fontId="78" fillId="32" borderId="187" xfId="17654" applyNumberFormat="1" applyFont="1" applyFill="1" applyBorder="1"/>
    <xf numFmtId="4" fontId="156" fillId="32" borderId="187" xfId="0" applyNumberFormat="1" applyFont="1" applyFill="1" applyBorder="1" applyProtection="1">
      <protection locked="0"/>
    </xf>
    <xf numFmtId="0" fontId="156" fillId="32" borderId="187" xfId="0" applyFont="1" applyFill="1" applyBorder="1" applyProtection="1">
      <protection locked="0"/>
    </xf>
    <xf numFmtId="3" fontId="156" fillId="32" borderId="187" xfId="0" applyNumberFormat="1" applyFont="1" applyFill="1" applyBorder="1" applyAlignment="1" applyProtection="1">
      <alignment horizontal="right"/>
      <protection locked="0"/>
    </xf>
    <xf numFmtId="0" fontId="100" fillId="0" borderId="186" xfId="0" applyFont="1" applyBorder="1"/>
    <xf numFmtId="37" fontId="100" fillId="0" borderId="190" xfId="0" applyNumberFormat="1" applyFont="1" applyBorder="1"/>
    <xf numFmtId="37" fontId="100" fillId="30" borderId="186" xfId="0" applyNumberFormat="1" applyFont="1" applyFill="1" applyBorder="1"/>
    <xf numFmtId="0" fontId="106" fillId="0" borderId="186"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193" xfId="181" applyNumberFormat="1" applyFont="1" applyBorder="1" applyProtection="1"/>
    <xf numFmtId="0" fontId="105" fillId="0" borderId="0" xfId="49346" applyFont="1" applyAlignment="1">
      <alignment wrapText="1"/>
    </xf>
    <xf numFmtId="166" fontId="72" fillId="32" borderId="194" xfId="0" applyNumberFormat="1" applyFont="1" applyFill="1" applyBorder="1"/>
    <xf numFmtId="171" fontId="72" fillId="32" borderId="194" xfId="182" applyNumberFormat="1" applyFont="1" applyFill="1" applyBorder="1"/>
    <xf numFmtId="37" fontId="157" fillId="33" borderId="195" xfId="0" applyNumberFormat="1" applyFont="1" applyFill="1" applyBorder="1" applyProtection="1">
      <protection locked="0"/>
    </xf>
    <xf numFmtId="0" fontId="105" fillId="0" borderId="0" xfId="49346" applyFont="1" applyAlignment="1">
      <alignment horizontal="center" wrapText="1"/>
    </xf>
    <xf numFmtId="0" fontId="127" fillId="37" borderId="0" xfId="49346" applyFont="1" applyFill="1" applyAlignment="1">
      <alignment horizontal="center"/>
    </xf>
    <xf numFmtId="0" fontId="127" fillId="0" borderId="0" xfId="49346" applyFont="1"/>
    <xf numFmtId="166" fontId="72" fillId="69" borderId="203" xfId="0" applyNumberFormat="1" applyFont="1" applyFill="1" applyBorder="1"/>
    <xf numFmtId="166" fontId="72" fillId="36" borderId="196" xfId="0" applyNumberFormat="1" applyFont="1" applyFill="1" applyBorder="1"/>
    <xf numFmtId="166" fontId="72" fillId="32" borderId="203" xfId="0" applyNumberFormat="1" applyFont="1" applyFill="1" applyBorder="1"/>
    <xf numFmtId="171" fontId="72" fillId="32" borderId="203" xfId="182" applyNumberFormat="1" applyFont="1" applyFill="1" applyBorder="1"/>
    <xf numFmtId="166" fontId="72" fillId="36" borderId="204" xfId="0" applyNumberFormat="1" applyFont="1" applyFill="1" applyBorder="1"/>
    <xf numFmtId="0" fontId="100" fillId="0" borderId="204" xfId="0" applyFont="1" applyBorder="1" applyAlignment="1">
      <alignment horizontal="center"/>
    </xf>
    <xf numFmtId="37" fontId="100" fillId="74" borderId="201" xfId="0" applyNumberFormat="1" applyFont="1" applyFill="1" applyBorder="1" applyAlignment="1">
      <alignment horizontal="right"/>
    </xf>
    <xf numFmtId="37" fontId="100" fillId="0" borderId="192" xfId="0" applyNumberFormat="1" applyFont="1" applyBorder="1" applyAlignment="1">
      <alignment horizontal="right"/>
    </xf>
    <xf numFmtId="37" fontId="129" fillId="24" borderId="192" xfId="0" applyNumberFormat="1" applyFont="1" applyFill="1" applyBorder="1"/>
    <xf numFmtId="5" fontId="108" fillId="74" borderId="211" xfId="0" applyNumberFormat="1" applyFont="1" applyFill="1" applyBorder="1"/>
    <xf numFmtId="0" fontId="72" fillId="32" borderId="214" xfId="495" applyFont="1" applyFill="1" applyBorder="1" applyAlignment="1">
      <alignment horizontal="center" wrapText="1"/>
    </xf>
    <xf numFmtId="3" fontId="72" fillId="32" borderId="215" xfId="181" applyNumberFormat="1" applyFont="1" applyFill="1" applyBorder="1"/>
    <xf numFmtId="3" fontId="72" fillId="36" borderId="215" xfId="0" applyNumberFormat="1" applyFont="1" applyFill="1" applyBorder="1" applyAlignment="1">
      <alignment horizontal="right"/>
    </xf>
    <xf numFmtId="0" fontId="72" fillId="32" borderId="215" xfId="495" applyFont="1" applyFill="1" applyBorder="1" applyAlignment="1">
      <alignment horizontal="center" wrapText="1"/>
    </xf>
    <xf numFmtId="0" fontId="72" fillId="0" borderId="218" xfId="0" applyFont="1" applyBorder="1"/>
    <xf numFmtId="0" fontId="72" fillId="0" borderId="219" xfId="0" applyFont="1" applyBorder="1"/>
    <xf numFmtId="0" fontId="72" fillId="77" borderId="219" xfId="0" applyFont="1" applyFill="1" applyBorder="1"/>
    <xf numFmtId="3" fontId="74" fillId="0" borderId="217" xfId="0" applyNumberFormat="1" applyFont="1" applyBorder="1" applyAlignment="1">
      <alignment horizontal="center"/>
    </xf>
    <xf numFmtId="166" fontId="72" fillId="36" borderId="220" xfId="0" applyNumberFormat="1" applyFont="1" applyFill="1" applyBorder="1"/>
    <xf numFmtId="166" fontId="72" fillId="36" borderId="214" xfId="0" applyNumberFormat="1" applyFont="1" applyFill="1" applyBorder="1"/>
    <xf numFmtId="0" fontId="72" fillId="0" borderId="214" xfId="0" applyFont="1" applyBorder="1"/>
    <xf numFmtId="171" fontId="72" fillId="32" borderId="200" xfId="182" applyNumberFormat="1" applyFont="1" applyFill="1" applyBorder="1"/>
    <xf numFmtId="166" fontId="72" fillId="36" borderId="215" xfId="0" applyNumberFormat="1" applyFont="1" applyFill="1" applyBorder="1"/>
    <xf numFmtId="169" fontId="78" fillId="32" borderId="215" xfId="17654" applyNumberFormat="1" applyFont="1" applyFill="1" applyBorder="1"/>
    <xf numFmtId="166" fontId="72" fillId="32" borderId="215" xfId="182" applyNumberFormat="1" applyFont="1" applyFill="1" applyBorder="1"/>
    <xf numFmtId="166" fontId="78" fillId="32" borderId="215" xfId="17654" applyNumberFormat="1" applyFont="1" applyFill="1" applyBorder="1"/>
    <xf numFmtId="0" fontId="72" fillId="0" borderId="215" xfId="0" applyFont="1" applyBorder="1"/>
    <xf numFmtId="0" fontId="72" fillId="0" borderId="217" xfId="0" applyFont="1" applyBorder="1"/>
    <xf numFmtId="166" fontId="72" fillId="36" borderId="222" xfId="0" applyNumberFormat="1" applyFont="1" applyFill="1" applyBorder="1"/>
    <xf numFmtId="171" fontId="72" fillId="32" borderId="223" xfId="182" applyNumberFormat="1" applyFont="1" applyFill="1" applyBorder="1"/>
    <xf numFmtId="171" fontId="72" fillId="32" borderId="224" xfId="182" applyNumberFormat="1" applyFont="1" applyFill="1" applyBorder="1"/>
    <xf numFmtId="166" fontId="72" fillId="36" borderId="217" xfId="0" applyNumberFormat="1" applyFont="1" applyFill="1" applyBorder="1"/>
    <xf numFmtId="171" fontId="72" fillId="32" borderId="221" xfId="182" applyNumberFormat="1" applyFont="1" applyFill="1" applyBorder="1"/>
    <xf numFmtId="166" fontId="72" fillId="36" borderId="225" xfId="0" applyNumberFormat="1" applyFont="1" applyFill="1" applyBorder="1"/>
    <xf numFmtId="166" fontId="72" fillId="32" borderId="217" xfId="182" applyNumberFormat="1" applyFont="1" applyFill="1" applyBorder="1"/>
    <xf numFmtId="3" fontId="78" fillId="0" borderId="227" xfId="181" quotePrefix="1" applyNumberFormat="1" applyFont="1" applyFill="1" applyBorder="1" applyAlignment="1" applyProtection="1"/>
    <xf numFmtId="10" fontId="78" fillId="0" borderId="228" xfId="3292" quotePrefix="1" applyNumberFormat="1" applyFont="1" applyFill="1" applyBorder="1" applyAlignment="1" applyProtection="1">
      <alignment horizontal="right"/>
    </xf>
    <xf numFmtId="167" fontId="78" fillId="0" borderId="229" xfId="3292" applyNumberFormat="1" applyFont="1" applyBorder="1" applyAlignment="1" applyProtection="1">
      <alignment horizontal="right"/>
    </xf>
    <xf numFmtId="0" fontId="72" fillId="0" borderId="230" xfId="0" applyFont="1" applyBorder="1"/>
    <xf numFmtId="3" fontId="78" fillId="0" borderId="231" xfId="181" applyNumberFormat="1" applyFont="1" applyFill="1" applyBorder="1" applyAlignment="1" applyProtection="1"/>
    <xf numFmtId="3" fontId="78" fillId="0" borderId="232" xfId="181" applyNumberFormat="1" applyFont="1" applyBorder="1" applyProtection="1"/>
    <xf numFmtId="0" fontId="72" fillId="0" borderId="233" xfId="0" applyFont="1" applyBorder="1"/>
    <xf numFmtId="3" fontId="78" fillId="0" borderId="234" xfId="181" applyNumberFormat="1" applyFont="1" applyFill="1" applyBorder="1" applyAlignment="1" applyProtection="1"/>
    <xf numFmtId="3" fontId="78" fillId="0" borderId="235" xfId="181" applyNumberFormat="1" applyFont="1" applyBorder="1" applyProtection="1"/>
    <xf numFmtId="10" fontId="78" fillId="0" borderId="236" xfId="3292" quotePrefix="1" applyNumberFormat="1" applyFont="1" applyFill="1" applyBorder="1" applyAlignment="1" applyProtection="1">
      <alignment horizontal="right"/>
    </xf>
    <xf numFmtId="167" fontId="78" fillId="0" borderId="237" xfId="3292" applyNumberFormat="1" applyFont="1" applyBorder="1" applyAlignment="1" applyProtection="1">
      <alignment horizontal="right"/>
    </xf>
    <xf numFmtId="3" fontId="78" fillId="0" borderId="238" xfId="181" applyNumberFormat="1" applyFont="1" applyBorder="1" applyAlignment="1" applyProtection="1"/>
    <xf numFmtId="10" fontId="78" fillId="0" borderId="232" xfId="3292" quotePrefix="1" applyNumberFormat="1" applyFont="1" applyFill="1" applyBorder="1" applyAlignment="1" applyProtection="1">
      <alignment horizontal="right"/>
    </xf>
    <xf numFmtId="167" fontId="78" fillId="0" borderId="239" xfId="3292" applyNumberFormat="1" applyFont="1" applyBorder="1" applyAlignment="1" applyProtection="1">
      <alignment horizontal="right"/>
    </xf>
    <xf numFmtId="3" fontId="78" fillId="0" borderId="240" xfId="181" applyNumberFormat="1" applyFont="1" applyBorder="1" applyAlignment="1" applyProtection="1"/>
    <xf numFmtId="3" fontId="78" fillId="0" borderId="240" xfId="181" applyNumberFormat="1" applyFont="1" applyBorder="1" applyProtection="1"/>
    <xf numFmtId="3" fontId="78" fillId="0" borderId="241" xfId="181" applyNumberFormat="1" applyFont="1" applyBorder="1" applyAlignment="1" applyProtection="1"/>
    <xf numFmtId="3" fontId="78" fillId="0" borderId="241" xfId="181" applyNumberFormat="1" applyFont="1" applyBorder="1" applyProtection="1"/>
    <xf numFmtId="10" fontId="78" fillId="0" borderId="235" xfId="3292" quotePrefix="1" applyNumberFormat="1" applyFont="1" applyFill="1" applyBorder="1" applyAlignment="1" applyProtection="1">
      <alignment horizontal="right"/>
    </xf>
    <xf numFmtId="167" fontId="78" fillId="0" borderId="242" xfId="3292" applyNumberFormat="1" applyFont="1" applyBorder="1" applyAlignment="1" applyProtection="1">
      <alignment horizontal="right"/>
    </xf>
    <xf numFmtId="37" fontId="78" fillId="0" borderId="244" xfId="0" applyNumberFormat="1" applyFont="1" applyBorder="1" applyAlignment="1">
      <alignment horizontal="left"/>
    </xf>
    <xf numFmtId="3" fontId="78" fillId="0" borderId="245" xfId="181" applyNumberFormat="1" applyFont="1" applyBorder="1" applyAlignment="1" applyProtection="1">
      <alignment horizontal="right"/>
    </xf>
    <xf numFmtId="37" fontId="78" fillId="0" borderId="244" xfId="0" applyNumberFormat="1" applyFont="1" applyBorder="1"/>
    <xf numFmtId="0" fontId="74" fillId="0" borderId="226" xfId="0" applyFont="1" applyBorder="1"/>
    <xf numFmtId="37" fontId="78" fillId="0" borderId="226" xfId="0" quotePrefix="1" applyNumberFormat="1" applyFont="1" applyBorder="1"/>
    <xf numFmtId="37" fontId="74" fillId="0" borderId="226" xfId="0" applyNumberFormat="1" applyFont="1" applyBorder="1"/>
    <xf numFmtId="37" fontId="72" fillId="0" borderId="246" xfId="0" applyNumberFormat="1" applyFont="1" applyBorder="1"/>
    <xf numFmtId="37" fontId="74" fillId="0" borderId="243" xfId="0" applyNumberFormat="1" applyFont="1" applyBorder="1"/>
    <xf numFmtId="4" fontId="156" fillId="32" borderId="214" xfId="0" applyNumberFormat="1" applyFont="1" applyFill="1" applyBorder="1" applyProtection="1">
      <protection locked="0"/>
    </xf>
    <xf numFmtId="4" fontId="72" fillId="0" borderId="214" xfId="181" applyNumberFormat="1" applyFont="1" applyBorder="1" applyProtection="1"/>
    <xf numFmtId="4" fontId="72" fillId="0" borderId="222" xfId="181" applyNumberFormat="1" applyFont="1" applyBorder="1" applyProtection="1"/>
    <xf numFmtId="4" fontId="156" fillId="32" borderId="217" xfId="0" applyNumberFormat="1" applyFont="1" applyFill="1" applyBorder="1" applyProtection="1">
      <protection locked="0"/>
    </xf>
    <xf numFmtId="4" fontId="72" fillId="0" borderId="217" xfId="181" applyNumberFormat="1" applyFont="1" applyBorder="1" applyProtection="1"/>
    <xf numFmtId="4" fontId="78" fillId="0" borderId="215" xfId="0" applyNumberFormat="1" applyFont="1" applyBorder="1"/>
    <xf numFmtId="4" fontId="149" fillId="0" borderId="215" xfId="0" applyNumberFormat="1" applyFont="1" applyBorder="1"/>
    <xf numFmtId="4" fontId="72" fillId="0" borderId="214" xfId="181" applyNumberFormat="1" applyFont="1" applyFill="1" applyBorder="1" applyProtection="1"/>
    <xf numFmtId="4" fontId="149" fillId="0" borderId="217" xfId="0" applyNumberFormat="1" applyFont="1" applyBorder="1"/>
    <xf numFmtId="4" fontId="72" fillId="0" borderId="222" xfId="181" applyNumberFormat="1" applyFont="1" applyFill="1" applyBorder="1" applyProtection="1"/>
    <xf numFmtId="4" fontId="72" fillId="0" borderId="217" xfId="181" applyNumberFormat="1" applyFont="1" applyFill="1" applyBorder="1" applyProtection="1"/>
    <xf numFmtId="3" fontId="156" fillId="32" borderId="247" xfId="0" applyNumberFormat="1" applyFont="1" applyFill="1" applyBorder="1" applyAlignment="1" applyProtection="1">
      <alignment horizontal="right"/>
      <protection locked="0"/>
    </xf>
    <xf numFmtId="0" fontId="72" fillId="0" borderId="247" xfId="0" applyFont="1" applyBorder="1"/>
    <xf numFmtId="0" fontId="72" fillId="0" borderId="247" xfId="0" applyFont="1" applyBorder="1" applyAlignment="1">
      <alignment horizontal="center"/>
    </xf>
    <xf numFmtId="4" fontId="72" fillId="0" borderId="247" xfId="0" applyNumberFormat="1" applyFont="1" applyBorder="1"/>
    <xf numFmtId="3" fontId="72" fillId="0" borderId="247" xfId="0" applyNumberFormat="1" applyFont="1" applyBorder="1"/>
    <xf numFmtId="3" fontId="156" fillId="32" borderId="248" xfId="0" applyNumberFormat="1" applyFont="1" applyFill="1" applyBorder="1" applyAlignment="1" applyProtection="1">
      <alignment horizontal="right"/>
      <protection locked="0"/>
    </xf>
    <xf numFmtId="0" fontId="72" fillId="0" borderId="249" xfId="0" applyFont="1" applyBorder="1"/>
    <xf numFmtId="0" fontId="72" fillId="0" borderId="249" xfId="0" applyFont="1" applyBorder="1" applyAlignment="1">
      <alignment horizontal="center"/>
    </xf>
    <xf numFmtId="3" fontId="156" fillId="32" borderId="249" xfId="0" applyNumberFormat="1" applyFont="1" applyFill="1" applyBorder="1" applyAlignment="1" applyProtection="1">
      <alignment horizontal="right"/>
      <protection locked="0"/>
    </xf>
    <xf numFmtId="4" fontId="72" fillId="0" borderId="249" xfId="0" applyNumberFormat="1" applyFont="1" applyBorder="1"/>
    <xf numFmtId="3" fontId="72" fillId="0" borderId="249" xfId="0" applyNumberFormat="1" applyFont="1" applyBorder="1"/>
    <xf numFmtId="0" fontId="72" fillId="0" borderId="214" xfId="0" applyFont="1" applyBorder="1" applyAlignment="1">
      <alignment horizontal="center"/>
    </xf>
    <xf numFmtId="4" fontId="72" fillId="0" borderId="214" xfId="0" applyNumberFormat="1" applyFont="1" applyBorder="1"/>
    <xf numFmtId="168" fontId="72" fillId="0" borderId="214" xfId="0" applyNumberFormat="1" applyFont="1" applyBorder="1"/>
    <xf numFmtId="0" fontId="72" fillId="0" borderId="215" xfId="0" applyFont="1" applyBorder="1" applyAlignment="1">
      <alignment horizontal="center"/>
    </xf>
    <xf numFmtId="4" fontId="72" fillId="0" borderId="215" xfId="0" applyNumberFormat="1" applyFont="1" applyBorder="1"/>
    <xf numFmtId="3" fontId="72" fillId="0" borderId="215" xfId="0" applyNumberFormat="1" applyFont="1" applyBorder="1"/>
    <xf numFmtId="0" fontId="74" fillId="0" borderId="217" xfId="0" applyFont="1" applyBorder="1"/>
    <xf numFmtId="3" fontId="74" fillId="0" borderId="217" xfId="0" applyNumberFormat="1" applyFont="1" applyBorder="1"/>
    <xf numFmtId="4" fontId="74" fillId="0" borderId="217" xfId="0" applyNumberFormat="1" applyFont="1" applyBorder="1"/>
    <xf numFmtId="168" fontId="74" fillId="0" borderId="217" xfId="0" applyNumberFormat="1" applyFont="1" applyBorder="1"/>
    <xf numFmtId="3" fontId="156" fillId="32" borderId="215" xfId="0" applyNumberFormat="1" applyFont="1" applyFill="1" applyBorder="1" applyAlignment="1" applyProtection="1">
      <alignment horizontal="right"/>
      <protection locked="0"/>
    </xf>
    <xf numFmtId="0" fontId="72" fillId="0" borderId="217" xfId="0" applyFont="1" applyBorder="1" applyAlignment="1">
      <alignment horizontal="center"/>
    </xf>
    <xf numFmtId="3" fontId="156" fillId="32" borderId="217" xfId="0" applyNumberFormat="1" applyFont="1" applyFill="1" applyBorder="1" applyAlignment="1" applyProtection="1">
      <alignment horizontal="right"/>
      <protection locked="0"/>
    </xf>
    <xf numFmtId="4" fontId="72" fillId="0" borderId="217" xfId="0" applyNumberFormat="1" applyFont="1" applyBorder="1"/>
    <xf numFmtId="3" fontId="72" fillId="0" borderId="217" xfId="0" applyNumberFormat="1" applyFont="1" applyBorder="1"/>
    <xf numFmtId="0" fontId="156" fillId="32" borderId="214" xfId="0" applyFont="1" applyFill="1" applyBorder="1" applyProtection="1">
      <protection locked="0"/>
    </xf>
    <xf numFmtId="0" fontId="156" fillId="32" borderId="215" xfId="0" applyFont="1" applyFill="1" applyBorder="1" applyProtection="1">
      <protection locked="0"/>
    </xf>
    <xf numFmtId="0" fontId="100" fillId="0" borderId="215" xfId="0" applyFont="1" applyBorder="1"/>
    <xf numFmtId="0" fontId="100" fillId="0" borderId="215" xfId="0" applyFont="1" applyBorder="1" applyAlignment="1">
      <alignment horizontal="center"/>
    </xf>
    <xf numFmtId="0" fontId="108" fillId="0" borderId="217" xfId="0" applyFont="1" applyBorder="1"/>
    <xf numFmtId="168" fontId="108" fillId="0" borderId="217" xfId="0" applyNumberFormat="1" applyFont="1" applyBorder="1"/>
    <xf numFmtId="3" fontId="157" fillId="32" borderId="215" xfId="0" applyNumberFormat="1" applyFont="1" applyFill="1" applyBorder="1" applyProtection="1">
      <protection locked="0"/>
    </xf>
    <xf numFmtId="168" fontId="130" fillId="74" borderId="250" xfId="0" applyNumberFormat="1" applyFont="1" applyFill="1" applyBorder="1" applyAlignment="1">
      <alignment horizontal="right"/>
    </xf>
    <xf numFmtId="5" fontId="130" fillId="74" borderId="250" xfId="0" applyNumberFormat="1" applyFont="1" applyFill="1" applyBorder="1" applyAlignment="1">
      <alignment horizontal="right"/>
    </xf>
    <xf numFmtId="5" fontId="130" fillId="30" borderId="251" xfId="0" quotePrefix="1" applyNumberFormat="1" applyFont="1" applyFill="1" applyBorder="1" applyAlignment="1">
      <alignment horizontal="right"/>
    </xf>
    <xf numFmtId="37" fontId="100" fillId="24" borderId="252" xfId="0" applyNumberFormat="1" applyFont="1" applyFill="1" applyBorder="1" applyAlignment="1">
      <alignment horizontal="right"/>
    </xf>
    <xf numFmtId="5" fontId="130" fillId="74" borderId="251" xfId="0" applyNumberFormat="1" applyFont="1" applyFill="1" applyBorder="1" applyAlignment="1">
      <alignment horizontal="right"/>
    </xf>
    <xf numFmtId="37" fontId="100" fillId="30" borderId="200" xfId="0" applyNumberFormat="1" applyFont="1" applyFill="1" applyBorder="1" applyAlignment="1">
      <alignment horizontal="right"/>
    </xf>
    <xf numFmtId="37" fontId="100" fillId="0" borderId="253" xfId="0" applyNumberFormat="1" applyFont="1" applyBorder="1"/>
    <xf numFmtId="37" fontId="100" fillId="24" borderId="200" xfId="0" applyNumberFormat="1" applyFont="1" applyFill="1" applyBorder="1" applyAlignment="1">
      <alignment horizontal="right"/>
    </xf>
    <xf numFmtId="37" fontId="100" fillId="24" borderId="254" xfId="0" applyNumberFormat="1" applyFont="1" applyFill="1" applyBorder="1" applyAlignment="1">
      <alignment horizontal="right"/>
    </xf>
    <xf numFmtId="5" fontId="130" fillId="74" borderId="238" xfId="0" applyNumberFormat="1" applyFont="1" applyFill="1" applyBorder="1" applyAlignment="1">
      <alignment horizontal="right"/>
    </xf>
    <xf numFmtId="37" fontId="129" fillId="74" borderId="200" xfId="0" applyNumberFormat="1" applyFont="1" applyFill="1" applyBorder="1" applyAlignment="1">
      <alignment horizontal="right"/>
    </xf>
    <xf numFmtId="37" fontId="129" fillId="24" borderId="254" xfId="0" applyNumberFormat="1" applyFont="1" applyFill="1" applyBorder="1" applyAlignment="1">
      <alignment horizontal="right"/>
    </xf>
    <xf numFmtId="37" fontId="129" fillId="74" borderId="258" xfId="0" applyNumberFormat="1" applyFont="1" applyFill="1" applyBorder="1" applyAlignment="1">
      <alignment horizontal="right"/>
    </xf>
    <xf numFmtId="37" fontId="108" fillId="0" borderId="259" xfId="0" applyNumberFormat="1" applyFont="1" applyBorder="1"/>
    <xf numFmtId="37" fontId="100" fillId="0" borderId="226" xfId="0" applyNumberFormat="1" applyFont="1" applyBorder="1"/>
    <xf numFmtId="37" fontId="100" fillId="0" borderId="238" xfId="0" applyNumberFormat="1" applyFont="1" applyBorder="1" applyAlignment="1">
      <alignment horizontal="right"/>
    </xf>
    <xf numFmtId="37" fontId="108" fillId="0" borderId="253" xfId="0" applyNumberFormat="1" applyFont="1" applyBorder="1"/>
    <xf numFmtId="5" fontId="157" fillId="33" borderId="238" xfId="0" applyNumberFormat="1" applyFont="1" applyFill="1" applyBorder="1" applyAlignment="1" applyProtection="1">
      <alignment horizontal="right"/>
      <protection locked="0"/>
    </xf>
    <xf numFmtId="37" fontId="129" fillId="74" borderId="212" xfId="0" applyNumberFormat="1" applyFont="1" applyFill="1" applyBorder="1"/>
    <xf numFmtId="37" fontId="129" fillId="24" borderId="254" xfId="0" applyNumberFormat="1" applyFont="1" applyFill="1" applyBorder="1"/>
    <xf numFmtId="37" fontId="108" fillId="30" borderId="260" xfId="0" applyNumberFormat="1" applyFont="1" applyFill="1" applyBorder="1"/>
    <xf numFmtId="37" fontId="129" fillId="74" borderId="258" xfId="0" applyNumberFormat="1" applyFont="1" applyFill="1" applyBorder="1"/>
    <xf numFmtId="37" fontId="100" fillId="74" borderId="258" xfId="0" applyNumberFormat="1" applyFont="1" applyFill="1" applyBorder="1"/>
    <xf numFmtId="37" fontId="100" fillId="0" borderId="254" xfId="0" applyNumberFormat="1" applyFont="1" applyBorder="1"/>
    <xf numFmtId="0" fontId="100" fillId="0" borderId="209" xfId="0" applyFont="1" applyBorder="1"/>
    <xf numFmtId="0" fontId="100" fillId="0" borderId="210" xfId="0" applyFont="1" applyBorder="1"/>
    <xf numFmtId="0" fontId="100" fillId="0" borderId="206" xfId="0" applyFont="1" applyBorder="1" applyAlignment="1">
      <alignment horizontal="right"/>
    </xf>
    <xf numFmtId="37" fontId="100" fillId="24" borderId="208" xfId="0" applyNumberFormat="1" applyFont="1" applyFill="1" applyBorder="1"/>
    <xf numFmtId="37" fontId="100" fillId="74" borderId="264" xfId="0" applyNumberFormat="1" applyFont="1" applyFill="1" applyBorder="1"/>
    <xf numFmtId="37" fontId="100" fillId="24" borderId="254" xfId="0" applyNumberFormat="1" applyFont="1" applyFill="1" applyBorder="1"/>
    <xf numFmtId="5" fontId="108" fillId="74" borderId="208" xfId="0" applyNumberFormat="1" applyFont="1" applyFill="1" applyBorder="1"/>
    <xf numFmtId="0" fontId="106" fillId="0" borderId="265" xfId="0" applyFont="1" applyBorder="1"/>
    <xf numFmtId="0" fontId="106" fillId="0" borderId="266" xfId="0" applyFont="1" applyBorder="1"/>
    <xf numFmtId="0" fontId="106" fillId="0" borderId="266" xfId="0" applyFont="1" applyBorder="1" applyAlignment="1">
      <alignment horizontal="center"/>
    </xf>
    <xf numFmtId="3" fontId="158" fillId="32" borderId="267" xfId="0" applyNumberFormat="1" applyFont="1" applyFill="1" applyBorder="1" applyProtection="1">
      <protection locked="0"/>
    </xf>
    <xf numFmtId="3" fontId="106" fillId="0" borderId="267" xfId="0" applyNumberFormat="1" applyFont="1" applyBorder="1"/>
    <xf numFmtId="0" fontId="106" fillId="0" borderId="268" xfId="0" applyFont="1" applyBorder="1"/>
    <xf numFmtId="0" fontId="106" fillId="0" borderId="269" xfId="0" applyFont="1" applyBorder="1"/>
    <xf numFmtId="0" fontId="106" fillId="0" borderId="269" xfId="0" applyFont="1" applyBorder="1" applyAlignment="1">
      <alignment horizontal="center"/>
    </xf>
    <xf numFmtId="3" fontId="158" fillId="32" borderId="270" xfId="0" applyNumberFormat="1" applyFont="1" applyFill="1" applyBorder="1" applyProtection="1">
      <protection locked="0"/>
    </xf>
    <xf numFmtId="3" fontId="106" fillId="0" borderId="270" xfId="0" applyNumberFormat="1" applyFont="1" applyBorder="1"/>
    <xf numFmtId="0" fontId="106" fillId="0" borderId="267" xfId="0" applyFont="1" applyBorder="1" applyAlignment="1">
      <alignment horizontal="center"/>
    </xf>
    <xf numFmtId="0" fontId="106" fillId="0" borderId="270" xfId="0" applyFont="1" applyBorder="1" applyAlignment="1">
      <alignment horizontal="center"/>
    </xf>
    <xf numFmtId="0" fontId="106" fillId="75" borderId="267" xfId="0" applyFont="1" applyFill="1" applyBorder="1"/>
    <xf numFmtId="0" fontId="106" fillId="0" borderId="271" xfId="0" applyFont="1" applyBorder="1"/>
    <xf numFmtId="0" fontId="106" fillId="75" borderId="270" xfId="0" applyFont="1" applyFill="1" applyBorder="1"/>
    <xf numFmtId="0" fontId="145" fillId="0" borderId="258" xfId="663" applyFont="1" applyBorder="1" applyAlignment="1">
      <alignment horizontal="center" wrapText="1"/>
    </xf>
    <xf numFmtId="0" fontId="145" fillId="0" borderId="272" xfId="663" applyFont="1" applyBorder="1" applyAlignment="1">
      <alignment horizontal="center" wrapText="1"/>
    </xf>
    <xf numFmtId="9" fontId="126" fillId="0" borderId="258" xfId="663" applyNumberFormat="1" applyFont="1" applyBorder="1" applyAlignment="1">
      <alignment horizontal="center" wrapText="1"/>
    </xf>
    <xf numFmtId="9" fontId="145" fillId="0" borderId="272" xfId="663" applyNumberFormat="1" applyFont="1" applyBorder="1" applyAlignment="1">
      <alignment horizontal="center" wrapText="1"/>
    </xf>
    <xf numFmtId="0" fontId="124" fillId="0" borderId="274" xfId="663" applyFont="1" applyBorder="1"/>
    <xf numFmtId="44" fontId="109" fillId="0" borderId="273" xfId="378" applyFont="1" applyFill="1" applyBorder="1" applyProtection="1"/>
    <xf numFmtId="44" fontId="109" fillId="0" borderId="275" xfId="378" applyFont="1" applyFill="1" applyBorder="1" applyProtection="1"/>
    <xf numFmtId="0" fontId="109" fillId="0" borderId="274" xfId="663" applyFont="1" applyBorder="1"/>
    <xf numFmtId="44" fontId="109" fillId="0" borderId="258" xfId="378" applyFont="1" applyFill="1" applyBorder="1" applyProtection="1"/>
    <xf numFmtId="44" fontId="109" fillId="0" borderId="272" xfId="378" applyFont="1" applyFill="1" applyBorder="1" applyProtection="1"/>
    <xf numFmtId="0" fontId="109" fillId="0" borderId="274" xfId="663" applyFont="1" applyBorder="1" applyAlignment="1">
      <alignment horizontal="left"/>
    </xf>
    <xf numFmtId="0" fontId="109" fillId="0" borderId="276" xfId="663" applyFont="1" applyBorder="1"/>
    <xf numFmtId="0" fontId="124" fillId="0" borderId="258" xfId="663" applyFont="1" applyBorder="1"/>
    <xf numFmtId="0" fontId="124" fillId="0" borderId="272" xfId="663" applyFont="1" applyBorder="1"/>
    <xf numFmtId="0" fontId="145" fillId="0" borderId="273" xfId="663" applyFont="1" applyBorder="1" applyAlignment="1">
      <alignment horizontal="center" wrapText="1"/>
    </xf>
    <xf numFmtId="0" fontId="145" fillId="0" borderId="275" xfId="663" applyFont="1" applyBorder="1" applyAlignment="1">
      <alignment horizontal="center" wrapText="1"/>
    </xf>
    <xf numFmtId="0" fontId="124" fillId="0" borderId="276" xfId="663" applyFont="1" applyBorder="1"/>
    <xf numFmtId="0" fontId="109" fillId="0" borderId="276" xfId="663" applyFont="1" applyBorder="1" applyAlignment="1">
      <alignment horizontal="left"/>
    </xf>
    <xf numFmtId="0" fontId="109" fillId="0" borderId="277" xfId="663" applyFont="1" applyBorder="1"/>
    <xf numFmtId="44" fontId="109" fillId="0" borderId="278" xfId="378" applyFont="1" applyFill="1" applyBorder="1" applyProtection="1"/>
    <xf numFmtId="44" fontId="109" fillId="0" borderId="279" xfId="378" applyFont="1" applyFill="1" applyBorder="1" applyProtection="1"/>
    <xf numFmtId="0" fontId="145" fillId="0" borderId="280" xfId="663" applyFont="1" applyBorder="1" applyAlignment="1">
      <alignment horizontal="center" wrapText="1"/>
    </xf>
    <xf numFmtId="9" fontId="145" fillId="0" borderId="280" xfId="663" applyNumberFormat="1" applyFont="1" applyBorder="1" applyAlignment="1">
      <alignment horizontal="center" wrapText="1"/>
    </xf>
    <xf numFmtId="0" fontId="124" fillId="0" borderId="281" xfId="663" applyFont="1" applyBorder="1"/>
    <xf numFmtId="44" fontId="109" fillId="0" borderId="280" xfId="378" applyFont="1" applyFill="1" applyBorder="1" applyProtection="1"/>
    <xf numFmtId="0" fontId="109" fillId="0" borderId="281" xfId="663" applyFont="1" applyBorder="1"/>
    <xf numFmtId="0" fontId="109" fillId="0" borderId="281" xfId="663" applyFont="1" applyBorder="1" applyAlignment="1">
      <alignment horizontal="left"/>
    </xf>
    <xf numFmtId="0" fontId="124" fillId="0" borderId="280" xfId="663" applyFont="1" applyBorder="1"/>
    <xf numFmtId="44" fontId="109" fillId="0" borderId="258" xfId="378" applyFont="1" applyFill="1" applyBorder="1" applyAlignment="1" applyProtection="1">
      <alignment horizontal="right"/>
    </xf>
    <xf numFmtId="44" fontId="109" fillId="0" borderId="280" xfId="378" applyFont="1" applyFill="1" applyBorder="1" applyAlignment="1" applyProtection="1">
      <alignment horizontal="right"/>
    </xf>
    <xf numFmtId="0" fontId="109" fillId="0" borderId="282" xfId="663" applyFont="1" applyBorder="1"/>
    <xf numFmtId="44" fontId="109" fillId="0" borderId="283" xfId="378" applyFont="1" applyFill="1" applyBorder="1" applyAlignment="1" applyProtection="1">
      <alignment horizontal="right"/>
    </xf>
    <xf numFmtId="44" fontId="109" fillId="0" borderId="284" xfId="378" applyFont="1" applyFill="1" applyBorder="1" applyAlignment="1" applyProtection="1">
      <alignment horizontal="right"/>
    </xf>
    <xf numFmtId="44" fontId="109" fillId="0" borderId="258" xfId="378" quotePrefix="1" applyFont="1" applyFill="1" applyBorder="1" applyProtection="1"/>
    <xf numFmtId="44" fontId="109" fillId="0" borderId="283" xfId="378" applyFont="1" applyFill="1" applyBorder="1" applyProtection="1"/>
    <xf numFmtId="44" fontId="109" fillId="0" borderId="283" xfId="378" quotePrefix="1" applyFont="1" applyFill="1" applyBorder="1" applyProtection="1"/>
    <xf numFmtId="44" fontId="109" fillId="0" borderId="284" xfId="378" applyFont="1" applyFill="1" applyBorder="1" applyProtection="1"/>
    <xf numFmtId="44" fontId="109" fillId="0" borderId="280" xfId="378" quotePrefix="1" applyFont="1" applyFill="1" applyBorder="1" applyProtection="1"/>
    <xf numFmtId="0" fontId="78" fillId="27" borderId="285" xfId="663" applyFont="1" applyFill="1" applyBorder="1" applyAlignment="1">
      <alignment wrapText="1"/>
    </xf>
    <xf numFmtId="9" fontId="72" fillId="27" borderId="286" xfId="663" applyNumberFormat="1" applyFont="1" applyFill="1" applyBorder="1" applyAlignment="1">
      <alignment horizontal="center"/>
    </xf>
    <xf numFmtId="0" fontId="72" fillId="27" borderId="287" xfId="663" applyFont="1" applyFill="1" applyBorder="1"/>
    <xf numFmtId="0" fontId="78" fillId="28" borderId="285" xfId="663" applyFont="1" applyFill="1" applyBorder="1" applyAlignment="1">
      <alignment wrapText="1"/>
    </xf>
    <xf numFmtId="9" fontId="72" fillId="28" borderId="286" xfId="663" applyNumberFormat="1" applyFont="1" applyFill="1" applyBorder="1" applyAlignment="1">
      <alignment horizontal="center"/>
    </xf>
    <xf numFmtId="0" fontId="72" fillId="28" borderId="287" xfId="663" applyFont="1" applyFill="1" applyBorder="1"/>
    <xf numFmtId="0" fontId="78" fillId="27" borderId="285" xfId="663" applyFont="1" applyFill="1" applyBorder="1"/>
    <xf numFmtId="0" fontId="72" fillId="27" borderId="287" xfId="663" applyFont="1" applyFill="1" applyBorder="1" applyAlignment="1">
      <alignment wrapText="1"/>
    </xf>
    <xf numFmtId="0" fontId="72" fillId="28" borderId="287" xfId="663" applyFont="1" applyFill="1" applyBorder="1" applyAlignment="1">
      <alignment horizontal="left"/>
    </xf>
    <xf numFmtId="0" fontId="78" fillId="28" borderId="290" xfId="663" applyFont="1" applyFill="1" applyBorder="1" applyAlignment="1">
      <alignment wrapText="1"/>
    </xf>
    <xf numFmtId="9" fontId="72" fillId="28" borderId="291" xfId="663" applyNumberFormat="1" applyFont="1" applyFill="1" applyBorder="1" applyAlignment="1">
      <alignment horizontal="center"/>
    </xf>
    <xf numFmtId="0" fontId="72" fillId="28" borderId="292" xfId="663" applyFont="1" applyFill="1" applyBorder="1"/>
    <xf numFmtId="0" fontId="19" fillId="31" borderId="0" xfId="0" applyFont="1" applyFill="1" applyAlignment="1">
      <alignment horizontal="left"/>
    </xf>
    <xf numFmtId="0" fontId="72" fillId="0" borderId="0" xfId="0" applyFont="1" applyAlignment="1">
      <alignment horizontal="left"/>
    </xf>
    <xf numFmtId="0" fontId="74" fillId="0" borderId="0" xfId="0" applyFont="1" applyAlignment="1">
      <alignment horizontal="left" vertical="top" wrapText="1"/>
    </xf>
    <xf numFmtId="0" fontId="78" fillId="0" borderId="0" xfId="0" applyFont="1" applyAlignment="1">
      <alignment horizontal="left"/>
    </xf>
    <xf numFmtId="0" fontId="71" fillId="32" borderId="45" xfId="530" applyFont="1" applyFill="1" applyBorder="1" applyAlignment="1" applyProtection="1">
      <alignment horizontal="center"/>
      <protection locked="0"/>
    </xf>
    <xf numFmtId="49" fontId="75" fillId="0" borderId="0" xfId="0" applyNumberFormat="1" applyFont="1" applyAlignment="1">
      <alignment horizontal="left" vertical="top" wrapText="1"/>
    </xf>
    <xf numFmtId="0" fontId="75" fillId="0" borderId="0" xfId="0" applyFont="1" applyAlignment="1">
      <alignment horizontal="left"/>
    </xf>
    <xf numFmtId="0" fontId="74" fillId="30" borderId="156" xfId="0" applyFont="1" applyFill="1" applyBorder="1" applyAlignment="1">
      <alignment horizontal="left"/>
    </xf>
    <xf numFmtId="0" fontId="74" fillId="30" borderId="157" xfId="0" applyFont="1" applyFill="1" applyBorder="1" applyAlignment="1">
      <alignment horizontal="left"/>
    </xf>
    <xf numFmtId="0" fontId="74" fillId="30" borderId="158" xfId="0" applyFont="1" applyFill="1" applyBorder="1" applyAlignment="1">
      <alignment horizontal="left"/>
    </xf>
    <xf numFmtId="0" fontId="74" fillId="30" borderId="38" xfId="0" applyFont="1" applyFill="1" applyBorder="1" applyAlignment="1">
      <alignment horizontal="left"/>
    </xf>
    <xf numFmtId="0" fontId="74" fillId="30" borderId="52" xfId="0" applyFont="1" applyFill="1" applyBorder="1" applyAlignment="1">
      <alignment horizontal="left"/>
    </xf>
    <xf numFmtId="0" fontId="74" fillId="30" borderId="61" xfId="0" applyFont="1" applyFill="1" applyBorder="1" applyAlignment="1">
      <alignment horizontal="left"/>
    </xf>
    <xf numFmtId="10" fontId="73" fillId="32" borderId="0" xfId="0" quotePrefix="1" applyNumberFormat="1" applyFont="1" applyFill="1" applyAlignment="1">
      <alignment horizontal="center"/>
    </xf>
    <xf numFmtId="0" fontId="75" fillId="0" borderId="0" xfId="0" applyFont="1" applyAlignment="1">
      <alignment horizontal="left" vertical="top" wrapText="1"/>
    </xf>
    <xf numFmtId="0" fontId="72" fillId="0" borderId="0" xfId="0" applyFont="1" applyAlignment="1">
      <alignment horizontal="left" wrapText="1"/>
    </xf>
    <xf numFmtId="10" fontId="74" fillId="0" borderId="0" xfId="0" quotePrefix="1" applyNumberFormat="1" applyFont="1" applyAlignment="1">
      <alignment horizontal="center"/>
    </xf>
    <xf numFmtId="10" fontId="74" fillId="0" borderId="0" xfId="0" applyNumberFormat="1" applyFont="1" applyAlignment="1">
      <alignment horizontal="center"/>
    </xf>
    <xf numFmtId="0" fontId="104" fillId="0" borderId="180" xfId="0" applyFont="1" applyBorder="1" applyAlignment="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Border="1" applyAlignment="1">
      <alignment horizontal="center"/>
    </xf>
    <xf numFmtId="0" fontId="105" fillId="0" borderId="0" xfId="0" applyFont="1" applyAlignment="1">
      <alignment horizontal="center"/>
    </xf>
    <xf numFmtId="0" fontId="74" fillId="30" borderId="81" xfId="0" applyFont="1" applyFill="1" applyBorder="1" applyAlignment="1">
      <alignment horizontal="center" wrapText="1"/>
    </xf>
    <xf numFmtId="0" fontId="74" fillId="30" borderId="82" xfId="0" applyFont="1" applyFill="1" applyBorder="1" applyAlignment="1">
      <alignment horizontal="center" wrapText="1"/>
    </xf>
    <xf numFmtId="0" fontId="149" fillId="0" borderId="0" xfId="0" applyFont="1" applyAlignment="1">
      <alignment horizontal="left" vertical="top" wrapText="1"/>
    </xf>
    <xf numFmtId="0" fontId="124" fillId="0" borderId="147" xfId="0" applyFont="1" applyBorder="1" applyAlignment="1" applyProtection="1">
      <alignment horizontal="left" vertical="top" wrapText="1"/>
      <protection locked="0"/>
    </xf>
    <xf numFmtId="0" fontId="124" fillId="0" borderId="101" xfId="0" applyFont="1" applyBorder="1" applyAlignment="1" applyProtection="1">
      <alignment horizontal="left" vertical="top" wrapText="1"/>
      <protection locked="0"/>
    </xf>
    <xf numFmtId="0" fontId="124" fillId="0" borderId="67"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37" fontId="100" fillId="0" borderId="0" xfId="0" applyNumberFormat="1" applyFont="1" applyAlignment="1">
      <alignment horizontal="left"/>
    </xf>
    <xf numFmtId="0" fontId="100" fillId="0" borderId="0" xfId="0" applyFont="1" applyAlignment="1">
      <alignment horizontal="left" vertical="top"/>
    </xf>
    <xf numFmtId="37" fontId="108" fillId="30" borderId="207" xfId="0" applyNumberFormat="1" applyFont="1" applyFill="1" applyBorder="1" applyAlignment="1">
      <alignment horizontal="left"/>
    </xf>
    <xf numFmtId="37" fontId="108" fillId="30" borderId="186" xfId="0" applyNumberFormat="1" applyFont="1" applyFill="1" applyBorder="1" applyAlignment="1">
      <alignment horizontal="left"/>
    </xf>
    <xf numFmtId="37" fontId="108" fillId="30" borderId="200" xfId="0" applyNumberFormat="1" applyFont="1" applyFill="1" applyBorder="1" applyAlignment="1">
      <alignment horizontal="left"/>
    </xf>
    <xf numFmtId="37" fontId="108" fillId="30" borderId="255" xfId="0" applyNumberFormat="1" applyFont="1" applyFill="1" applyBorder="1" applyAlignment="1">
      <alignment horizontal="left"/>
    </xf>
    <xf numFmtId="37" fontId="108" fillId="30" borderId="256" xfId="0" applyNumberFormat="1" applyFont="1" applyFill="1" applyBorder="1" applyAlignment="1">
      <alignment horizontal="left"/>
    </xf>
    <xf numFmtId="37" fontId="108" fillId="30" borderId="257" xfId="0" applyNumberFormat="1" applyFont="1" applyFill="1" applyBorder="1" applyAlignment="1">
      <alignment horizontal="left"/>
    </xf>
    <xf numFmtId="37" fontId="108" fillId="30" borderId="169" xfId="0" applyNumberFormat="1" applyFont="1" applyFill="1" applyBorder="1" applyAlignment="1">
      <alignment horizontal="left"/>
    </xf>
    <xf numFmtId="37" fontId="108" fillId="30" borderId="168" xfId="0" applyNumberFormat="1" applyFont="1" applyFill="1" applyBorder="1" applyAlignment="1">
      <alignment horizontal="left"/>
    </xf>
    <xf numFmtId="37" fontId="108" fillId="30" borderId="170" xfId="0" applyNumberFormat="1" applyFont="1" applyFill="1" applyBorder="1" applyAlignment="1">
      <alignment horizontal="left"/>
    </xf>
    <xf numFmtId="37" fontId="108" fillId="30" borderId="261" xfId="0" applyNumberFormat="1" applyFont="1" applyFill="1" applyBorder="1" applyAlignment="1">
      <alignment horizontal="left"/>
    </xf>
    <xf numFmtId="37" fontId="108" fillId="30" borderId="262" xfId="0" applyNumberFormat="1" applyFont="1" applyFill="1" applyBorder="1" applyAlignment="1">
      <alignment horizontal="left"/>
    </xf>
    <xf numFmtId="37" fontId="108" fillId="30" borderId="263" xfId="0" applyNumberFormat="1" applyFont="1" applyFill="1" applyBorder="1" applyAlignment="1">
      <alignment horizontal="left"/>
    </xf>
    <xf numFmtId="0" fontId="137" fillId="32" borderId="17" xfId="0" applyFont="1" applyFill="1" applyBorder="1" applyAlignment="1">
      <alignment horizontal="left"/>
    </xf>
    <xf numFmtId="37" fontId="104" fillId="30" borderId="81" xfId="0" applyNumberFormat="1" applyFont="1" applyFill="1" applyBorder="1" applyAlignment="1">
      <alignment horizontal="left"/>
    </xf>
    <xf numFmtId="37" fontId="104" fillId="30" borderId="83" xfId="0" applyNumberFormat="1" applyFont="1" applyFill="1" applyBorder="1" applyAlignment="1">
      <alignment horizontal="left"/>
    </xf>
    <xf numFmtId="0" fontId="104" fillId="0" borderId="81" xfId="0" applyFont="1" applyBorder="1" applyAlignment="1">
      <alignment horizontal="center"/>
    </xf>
    <xf numFmtId="0" fontId="104" fillId="0" borderId="83" xfId="0" applyFont="1" applyBorder="1" applyAlignment="1">
      <alignment horizontal="center"/>
    </xf>
    <xf numFmtId="0" fontId="104" fillId="0" borderId="82" xfId="0" applyFont="1" applyBorder="1" applyAlignment="1">
      <alignment horizontal="center"/>
    </xf>
    <xf numFmtId="37" fontId="104" fillId="30" borderId="82" xfId="0" applyNumberFormat="1" applyFont="1" applyFill="1" applyBorder="1" applyAlignment="1">
      <alignment horizontal="left"/>
    </xf>
    <xf numFmtId="37" fontId="141" fillId="30" borderId="81" xfId="0" applyNumberFormat="1" applyFont="1" applyFill="1" applyBorder="1" applyAlignment="1">
      <alignment horizontal="left"/>
    </xf>
    <xf numFmtId="37" fontId="141" fillId="30" borderId="82" xfId="0" applyNumberFormat="1" applyFont="1" applyFill="1" applyBorder="1" applyAlignment="1">
      <alignment horizontal="left"/>
    </xf>
    <xf numFmtId="0" fontId="148" fillId="32" borderId="81" xfId="0" applyFont="1" applyFill="1" applyBorder="1" applyAlignment="1">
      <alignment horizontal="left" vertical="top"/>
    </xf>
    <xf numFmtId="0" fontId="148" fillId="32" borderId="82" xfId="0" applyFont="1" applyFill="1" applyBorder="1" applyAlignment="1">
      <alignment horizontal="left" vertical="top"/>
    </xf>
    <xf numFmtId="0" fontId="140" fillId="0" borderId="0" xfId="0" applyFont="1" applyAlignment="1">
      <alignment horizontal="center"/>
    </xf>
    <xf numFmtId="0" fontId="126" fillId="0" borderId="58" xfId="0" applyFont="1" applyBorder="1" applyAlignment="1">
      <alignment wrapText="1"/>
    </xf>
    <xf numFmtId="0" fontId="126" fillId="0" borderId="57" xfId="0" applyFont="1" applyBorder="1" applyAlignment="1">
      <alignment wrapText="1"/>
    </xf>
    <xf numFmtId="0" fontId="126" fillId="0" borderId="202" xfId="0" applyFont="1" applyBorder="1" applyAlignment="1">
      <alignment wrapText="1"/>
    </xf>
    <xf numFmtId="0" fontId="126" fillId="0" borderId="177" xfId="0" applyFont="1" applyBorder="1" applyAlignment="1">
      <alignment horizontal="center"/>
    </xf>
    <xf numFmtId="0" fontId="126" fillId="0" borderId="273" xfId="0" applyFont="1" applyBorder="1" applyAlignment="1">
      <alignment horizontal="center"/>
    </xf>
    <xf numFmtId="0" fontId="126" fillId="0" borderId="147" xfId="0" applyFont="1" applyBorder="1" applyAlignment="1">
      <alignment wrapText="1"/>
    </xf>
    <xf numFmtId="0" fontId="126" fillId="0" borderId="15" xfId="0" applyFont="1" applyBorder="1" applyAlignment="1">
      <alignment wrapText="1"/>
    </xf>
    <xf numFmtId="0" fontId="126" fillId="0" borderId="205" xfId="0" applyFont="1" applyBorder="1" applyAlignment="1">
      <alignment wrapText="1"/>
    </xf>
    <xf numFmtId="0" fontId="126" fillId="0" borderId="188" xfId="0" applyFont="1" applyBorder="1" applyAlignment="1">
      <alignment wrapText="1"/>
    </xf>
    <xf numFmtId="0" fontId="124" fillId="0" borderId="0" xfId="663" applyFont="1" applyAlignment="1">
      <alignment horizontal="left" wrapText="1"/>
    </xf>
    <xf numFmtId="0" fontId="125" fillId="0" borderId="189" xfId="0" applyFont="1" applyBorder="1" applyAlignment="1">
      <alignment wrapText="1"/>
    </xf>
    <xf numFmtId="0" fontId="125" fillId="0" borderId="57" xfId="0" applyFont="1" applyBorder="1" applyAlignment="1">
      <alignment wrapText="1"/>
    </xf>
    <xf numFmtId="0" fontId="125" fillId="0" borderId="202" xfId="0" applyFont="1" applyBorder="1" applyAlignment="1">
      <alignment wrapText="1"/>
    </xf>
    <xf numFmtId="0" fontId="124" fillId="0" borderId="0" xfId="0" applyFont="1" applyAlignment="1">
      <alignment wrapText="1"/>
    </xf>
    <xf numFmtId="0" fontId="147" fillId="0" borderId="0" xfId="0" applyFont="1" applyAlignment="1">
      <alignment horizontal="left" wrapText="1"/>
    </xf>
    <xf numFmtId="0" fontId="126" fillId="0" borderId="39" xfId="0" applyFont="1" applyBorder="1" applyAlignment="1">
      <alignment wrapText="1"/>
    </xf>
    <xf numFmtId="0" fontId="126" fillId="0" borderId="40" xfId="0" applyFont="1" applyBorder="1" applyAlignment="1">
      <alignment wrapText="1"/>
    </xf>
    <xf numFmtId="0" fontId="126" fillId="0" borderId="197" xfId="0" applyFont="1" applyBorder="1" applyAlignment="1">
      <alignment wrapText="1"/>
    </xf>
    <xf numFmtId="0" fontId="126" fillId="0" borderId="191" xfId="0" applyFont="1" applyBorder="1" applyAlignment="1">
      <alignment wrapText="1"/>
    </xf>
    <xf numFmtId="0" fontId="124" fillId="0" borderId="58" xfId="0" applyFont="1" applyBorder="1" applyAlignment="1">
      <alignment wrapText="1"/>
    </xf>
    <xf numFmtId="0" fontId="124" fillId="0" borderId="57" xfId="0" applyFont="1" applyBorder="1" applyAlignment="1">
      <alignment wrapText="1"/>
    </xf>
    <xf numFmtId="0" fontId="124" fillId="0" borderId="202" xfId="0" applyFont="1" applyBorder="1" applyAlignment="1">
      <alignment wrapText="1"/>
    </xf>
    <xf numFmtId="0" fontId="74" fillId="0" borderId="0" xfId="0" applyFont="1" applyAlignment="1">
      <alignment horizontal="centerContinuous"/>
    </xf>
    <xf numFmtId="0" fontId="74" fillId="0" borderId="0" xfId="0" applyFont="1" applyAlignment="1">
      <alignment horizontal="centerContinuous" vertical="top" wrapText="1"/>
    </xf>
    <xf numFmtId="0" fontId="71" fillId="0" borderId="0" xfId="0" applyFont="1" applyAlignment="1">
      <alignment horizontal="centerContinuous"/>
    </xf>
    <xf numFmtId="0" fontId="74" fillId="0" borderId="41" xfId="0" applyFont="1" applyBorder="1" applyAlignment="1">
      <alignment horizontal="centerContinuous" wrapText="1"/>
    </xf>
    <xf numFmtId="0" fontId="74" fillId="0" borderId="45" xfId="0" applyFont="1" applyBorder="1" applyAlignment="1">
      <alignment horizontal="centerContinuous" wrapText="1"/>
    </xf>
    <xf numFmtId="0" fontId="74" fillId="0" borderId="46" xfId="0" applyFont="1" applyBorder="1" applyAlignment="1">
      <alignment horizontal="centerContinuous" wrapText="1"/>
    </xf>
    <xf numFmtId="49" fontId="75" fillId="0" borderId="0" xfId="0" applyNumberFormat="1" applyFont="1" applyAlignment="1">
      <alignment horizontal="centerContinuous" vertical="top" wrapText="1"/>
    </xf>
    <xf numFmtId="0" fontId="75" fillId="0" borderId="0" xfId="0" applyFont="1" applyAlignment="1">
      <alignment horizontal="centerContinuous" vertical="top" wrapText="1"/>
    </xf>
    <xf numFmtId="0" fontId="71" fillId="0" borderId="0" xfId="0" applyFont="1" applyAlignment="1">
      <alignment horizontal="centerContinuous" wrapText="1"/>
    </xf>
    <xf numFmtId="0" fontId="72" fillId="0" borderId="0" xfId="0" applyFont="1" applyAlignment="1">
      <alignment horizontal="centerContinuous" wrapText="1"/>
    </xf>
    <xf numFmtId="0" fontId="104" fillId="0" borderId="0" xfId="0" applyFont="1" applyAlignment="1">
      <alignment horizontal="centerContinuous"/>
    </xf>
    <xf numFmtId="37" fontId="74" fillId="0" borderId="0" xfId="0" applyNumberFormat="1" applyFont="1" applyAlignment="1">
      <alignment horizontal="center"/>
    </xf>
    <xf numFmtId="0" fontId="143" fillId="0" borderId="0" xfId="0" applyFont="1" applyAlignment="1">
      <alignment horizontal="centerContinuous"/>
    </xf>
    <xf numFmtId="0" fontId="104" fillId="0" borderId="17" xfId="0" applyFont="1" applyBorder="1" applyAlignment="1">
      <alignment horizontal="centerContinuous"/>
    </xf>
    <xf numFmtId="4" fontId="100" fillId="0" borderId="0" xfId="0" applyNumberFormat="1" applyFont="1" applyAlignment="1">
      <alignment horizontal="centerContinuous" wrapText="1"/>
    </xf>
    <xf numFmtId="0" fontId="106" fillId="0" borderId="0" xfId="0" applyFont="1" applyAlignment="1">
      <alignment horizontal="center"/>
    </xf>
    <xf numFmtId="0" fontId="105" fillId="0" borderId="0" xfId="0" applyFont="1" applyAlignment="1">
      <alignment horizontal="centerContinuous"/>
    </xf>
    <xf numFmtId="0" fontId="105" fillId="0" borderId="17" xfId="0" applyFont="1" applyBorder="1" applyAlignment="1">
      <alignment horizontal="centerContinuous"/>
    </xf>
    <xf numFmtId="0" fontId="74" fillId="30" borderId="81" xfId="0" applyFont="1" applyFill="1" applyBorder="1" applyAlignment="1">
      <alignment horizontal="centerContinuous" wrapText="1"/>
    </xf>
    <xf numFmtId="0" fontId="74" fillId="30" borderId="82"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lignment horizontal="centerContinuous"/>
    </xf>
    <xf numFmtId="37" fontId="104" fillId="0" borderId="0" xfId="0" applyNumberFormat="1" applyFont="1" applyAlignment="1">
      <alignment horizontal="centerContinuous"/>
    </xf>
    <xf numFmtId="49" fontId="104" fillId="0" borderId="0" xfId="0" applyNumberFormat="1" applyFont="1" applyAlignment="1">
      <alignment horizontal="centerContinuous"/>
    </xf>
    <xf numFmtId="37" fontId="130" fillId="0" borderId="0" xfId="0" applyNumberFormat="1" applyFont="1" applyAlignment="1">
      <alignment horizontal="centerContinuous"/>
    </xf>
    <xf numFmtId="0" fontId="137" fillId="32" borderId="0" xfId="0" applyFont="1" applyFill="1" applyAlignment="1">
      <alignment horizontal="centerContinuous" wrapText="1"/>
    </xf>
    <xf numFmtId="0" fontId="104" fillId="0" borderId="17" xfId="0" applyFont="1" applyBorder="1" applyAlignment="1">
      <alignment horizontal="centerContinuous" vertical="center"/>
    </xf>
    <xf numFmtId="0" fontId="140" fillId="0" borderId="0" xfId="0" applyFont="1" applyAlignment="1">
      <alignment horizontal="centerContinuous"/>
    </xf>
    <xf numFmtId="37" fontId="105" fillId="32" borderId="0" xfId="0" applyNumberFormat="1" applyFont="1" applyFill="1" applyAlignment="1">
      <alignment horizontal="centerContinuous" wrapText="1"/>
    </xf>
    <xf numFmtId="37" fontId="127" fillId="32" borderId="0" xfId="0" applyNumberFormat="1" applyFont="1" applyFill="1" applyAlignment="1">
      <alignment horizontal="centerContinuous"/>
    </xf>
    <xf numFmtId="0" fontId="124" fillId="0" borderId="0" xfId="663" applyFont="1" applyAlignment="1">
      <alignment horizontal="center"/>
    </xf>
    <xf numFmtId="44" fontId="124" fillId="0" borderId="0" xfId="663" applyNumberFormat="1" applyFont="1" applyAlignment="1">
      <alignment horizontal="center"/>
    </xf>
    <xf numFmtId="39" fontId="124" fillId="0" borderId="0" xfId="663" applyNumberFormat="1" applyFont="1" applyAlignment="1">
      <alignment horizontal="center" wrapText="1"/>
    </xf>
    <xf numFmtId="0" fontId="71" fillId="0" borderId="81" xfId="0" applyFont="1" applyBorder="1" applyAlignment="1">
      <alignment horizontal="left" vertical="top" wrapText="1"/>
    </xf>
    <xf numFmtId="0" fontId="71" fillId="0" borderId="83" xfId="0" applyFont="1" applyBorder="1" applyAlignment="1">
      <alignment horizontal="left" vertical="top" wrapText="1"/>
    </xf>
    <xf numFmtId="0" fontId="71" fillId="0" borderId="82" xfId="0" applyFont="1" applyBorder="1" applyAlignment="1">
      <alignment horizontal="left" vertical="top" wrapText="1"/>
    </xf>
    <xf numFmtId="0" fontId="71" fillId="0" borderId="0" xfId="530" applyFont="1" applyAlignment="1" applyProtection="1">
      <alignment horizontal="center"/>
      <protection locked="0"/>
    </xf>
    <xf numFmtId="5" fontId="72" fillId="32" borderId="296" xfId="181" applyNumberFormat="1" applyFont="1" applyFill="1" applyBorder="1" applyAlignment="1">
      <alignment horizontal="right"/>
    </xf>
    <xf numFmtId="165" fontId="72" fillId="32" borderId="281" xfId="181" applyNumberFormat="1" applyFont="1" applyFill="1" applyBorder="1" applyAlignment="1">
      <alignment horizontal="right"/>
    </xf>
    <xf numFmtId="0" fontId="72" fillId="78" borderId="43" xfId="0" applyFont="1" applyFill="1" applyBorder="1"/>
    <xf numFmtId="0" fontId="72" fillId="78" borderId="213" xfId="0" applyFont="1" applyFill="1" applyBorder="1"/>
    <xf numFmtId="0" fontId="72" fillId="78" borderId="216" xfId="0" applyFont="1" applyFill="1" applyBorder="1"/>
    <xf numFmtId="166" fontId="72" fillId="36" borderId="84" xfId="0" applyNumberFormat="1" applyFont="1" applyFill="1" applyBorder="1"/>
    <xf numFmtId="166" fontId="72" fillId="36" borderId="186" xfId="0" applyNumberFormat="1" applyFont="1" applyFill="1" applyBorder="1"/>
    <xf numFmtId="166" fontId="72" fillId="36" borderId="182" xfId="0" applyNumberFormat="1" applyFont="1" applyFill="1" applyBorder="1"/>
    <xf numFmtId="166" fontId="105" fillId="32" borderId="21"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88" xfId="0" applyFont="1" applyFill="1" applyBorder="1" applyAlignment="1">
      <alignment horizontal="center"/>
    </xf>
    <xf numFmtId="0" fontId="74" fillId="35" borderId="57" xfId="0" applyFont="1" applyFill="1" applyBorder="1" applyAlignment="1">
      <alignment horizontal="center"/>
    </xf>
    <xf numFmtId="0" fontId="74" fillId="35" borderId="145" xfId="0" applyFont="1" applyFill="1" applyBorder="1" applyAlignment="1">
      <alignment horizontal="center" wrapText="1"/>
    </xf>
    <xf numFmtId="0" fontId="74" fillId="35" borderId="189" xfId="0" applyFont="1" applyFill="1" applyBorder="1" applyAlignment="1">
      <alignment horizontal="center"/>
    </xf>
    <xf numFmtId="0" fontId="74" fillId="35" borderId="142" xfId="0" applyFont="1" applyFill="1" applyBorder="1" applyAlignment="1">
      <alignment horizontal="center" wrapText="1"/>
    </xf>
    <xf numFmtId="0" fontId="74" fillId="35" borderId="11" xfId="0" applyFont="1" applyFill="1" applyBorder="1" applyAlignment="1">
      <alignment horizontal="center"/>
    </xf>
    <xf numFmtId="0" fontId="74" fillId="35" borderId="102" xfId="0" applyFont="1" applyFill="1" applyBorder="1" applyAlignment="1">
      <alignment horizontal="center"/>
    </xf>
    <xf numFmtId="0" fontId="74" fillId="35" borderId="143" xfId="0" applyFont="1" applyFill="1" applyBorder="1" applyAlignment="1">
      <alignment horizontal="center" wrapText="1"/>
    </xf>
    <xf numFmtId="0" fontId="74" fillId="35" borderId="64" xfId="0" applyFont="1" applyFill="1" applyBorder="1" applyAlignment="1">
      <alignment horizontal="center" wrapText="1"/>
    </xf>
    <xf numFmtId="0" fontId="74" fillId="35" borderId="81" xfId="0" applyFont="1" applyFill="1" applyBorder="1" applyAlignment="1">
      <alignment horizontal="center" wrapText="1"/>
    </xf>
    <xf numFmtId="0" fontId="74" fillId="35" borderId="19" xfId="0" applyFont="1" applyFill="1" applyBorder="1" applyAlignment="1">
      <alignment horizontal="center" wrapText="1"/>
    </xf>
    <xf numFmtId="4" fontId="160" fillId="32" borderId="293" xfId="0" applyNumberFormat="1" applyFont="1" applyFill="1" applyBorder="1" applyProtection="1">
      <protection locked="0"/>
    </xf>
    <xf numFmtId="4" fontId="160" fillId="32" borderId="294" xfId="0" applyNumberFormat="1" applyFont="1" applyFill="1" applyBorder="1" applyProtection="1">
      <protection locked="0"/>
    </xf>
    <xf numFmtId="4" fontId="160" fillId="32" borderId="295" xfId="0" applyNumberFormat="1" applyFont="1" applyFill="1" applyBorder="1" applyProtection="1">
      <protection locked="0"/>
    </xf>
    <xf numFmtId="0" fontId="172" fillId="71" borderId="23" xfId="0" applyFont="1" applyFill="1" applyBorder="1"/>
    <xf numFmtId="4" fontId="160" fillId="32" borderId="188"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168" fontId="156" fillId="32" borderId="215" xfId="0" applyNumberFormat="1" applyFont="1" applyFill="1" applyBorder="1" applyAlignment="1" applyProtection="1">
      <alignment horizontal="right"/>
      <protection locked="0"/>
    </xf>
    <xf numFmtId="168" fontId="156" fillId="32" borderId="214" xfId="0" applyNumberFormat="1" applyFont="1" applyFill="1" applyBorder="1" applyAlignment="1" applyProtection="1">
      <alignment horizontal="right"/>
      <protection locked="0"/>
    </xf>
    <xf numFmtId="0" fontId="161" fillId="32" borderId="35" xfId="0" applyFont="1" applyFill="1" applyBorder="1" applyAlignment="1" applyProtection="1">
      <alignment horizontal="center"/>
      <protection locked="0"/>
    </xf>
    <xf numFmtId="0" fontId="161" fillId="32" borderId="56" xfId="0" applyFont="1" applyFill="1" applyBorder="1" applyAlignment="1" applyProtection="1">
      <alignment horizontal="center"/>
      <protection locked="0"/>
    </xf>
    <xf numFmtId="0" fontId="161" fillId="32" borderId="265" xfId="0" applyFont="1" applyFill="1" applyBorder="1" applyAlignment="1" applyProtection="1">
      <alignment horizontal="center"/>
      <protection locked="0"/>
    </xf>
    <xf numFmtId="0" fontId="161" fillId="32" borderId="266" xfId="0" applyFont="1" applyFill="1" applyBorder="1" applyAlignment="1" applyProtection="1">
      <alignment horizontal="center"/>
      <protection locked="0"/>
    </xf>
    <xf numFmtId="0" fontId="161" fillId="32" borderId="268" xfId="0" applyFont="1" applyFill="1" applyBorder="1" applyAlignment="1" applyProtection="1">
      <alignment horizontal="center"/>
      <protection locked="0"/>
    </xf>
    <xf numFmtId="0" fontId="161" fillId="32" borderId="269" xfId="0" applyFont="1" applyFill="1" applyBorder="1" applyAlignment="1" applyProtection="1">
      <alignment horizontal="center"/>
      <protection locked="0"/>
    </xf>
    <xf numFmtId="0" fontId="161" fillId="32" borderId="188" xfId="0" applyFont="1" applyFill="1" applyBorder="1" applyAlignment="1" applyProtection="1">
      <alignment horizontal="center"/>
      <protection locked="0"/>
    </xf>
    <xf numFmtId="0" fontId="161" fillId="32" borderId="178" xfId="0" applyFont="1" applyFill="1" applyBorder="1" applyAlignment="1" applyProtection="1">
      <alignment horizontal="center"/>
      <protection locked="0"/>
    </xf>
    <xf numFmtId="0" fontId="72" fillId="29" borderId="81" xfId="0" applyFont="1" applyFill="1" applyBorder="1"/>
    <xf numFmtId="0" fontId="72" fillId="29" borderId="82" xfId="0" applyFont="1" applyFill="1" applyBorder="1"/>
    <xf numFmtId="0" fontId="72" fillId="34" borderId="81" xfId="0" applyFont="1" applyFill="1" applyBorder="1"/>
    <xf numFmtId="0" fontId="72" fillId="34" borderId="82" xfId="0" applyFont="1" applyFill="1" applyBorder="1"/>
    <xf numFmtId="0" fontId="72" fillId="34" borderId="81" xfId="0" applyFont="1" applyFill="1" applyBorder="1" applyAlignment="1">
      <alignment horizontal="center"/>
    </xf>
    <xf numFmtId="0" fontId="72" fillId="34" borderId="82" xfId="0" applyFont="1" applyFill="1" applyBorder="1" applyAlignment="1">
      <alignment horizontal="center"/>
    </xf>
    <xf numFmtId="0" fontId="108" fillId="73" borderId="19" xfId="0" applyFont="1" applyFill="1" applyBorder="1"/>
    <xf numFmtId="0" fontId="108" fillId="73" borderId="82" xfId="0" applyFont="1" applyFill="1" applyBorder="1"/>
    <xf numFmtId="0" fontId="104" fillId="30" borderId="81" xfId="0" applyFont="1" applyFill="1" applyBorder="1" applyAlignment="1">
      <alignment horizontal="centerContinuous"/>
    </xf>
    <xf numFmtId="0" fontId="104" fillId="30" borderId="82" xfId="0" applyFont="1" applyFill="1" applyBorder="1" applyAlignment="1">
      <alignment horizontal="centerContinuous"/>
    </xf>
    <xf numFmtId="37" fontId="104" fillId="30" borderId="81" xfId="0" applyNumberFormat="1" applyFont="1" applyFill="1" applyBorder="1" applyAlignment="1">
      <alignment horizontal="centerContinuous"/>
    </xf>
    <xf numFmtId="37" fontId="104" fillId="30" borderId="82" xfId="0" applyNumberFormat="1" applyFont="1" applyFill="1" applyBorder="1" applyAlignment="1">
      <alignment horizontal="centerContinuous"/>
    </xf>
    <xf numFmtId="0" fontId="162" fillId="0" borderId="265" xfId="0" applyFont="1" applyBorder="1"/>
    <xf numFmtId="0" fontId="126" fillId="0" borderId="198" xfId="0" applyFont="1" applyBorder="1" applyAlignment="1">
      <alignment horizontal="centerContinuous" wrapText="1"/>
    </xf>
    <xf numFmtId="0" fontId="126" fillId="0" borderId="180" xfId="0" applyFont="1" applyBorder="1" applyAlignment="1">
      <alignment horizontal="centerContinuous" wrapText="1"/>
    </xf>
    <xf numFmtId="0" fontId="126" fillId="0" borderId="199" xfId="0" applyFont="1" applyBorder="1" applyAlignment="1">
      <alignment horizontal="centerContinuous" wrapText="1"/>
    </xf>
    <xf numFmtId="0" fontId="126" fillId="0" borderId="53" xfId="0" applyFont="1" applyBorder="1" applyAlignment="1">
      <alignment horizontal="centerContinuous" wrapText="1"/>
    </xf>
    <xf numFmtId="0" fontId="126" fillId="0" borderId="54" xfId="0" applyFont="1" applyBorder="1" applyAlignment="1">
      <alignment horizontal="centerContinuous" wrapText="1"/>
    </xf>
    <xf numFmtId="0" fontId="126" fillId="0" borderId="55" xfId="0" applyFont="1" applyBorder="1" applyAlignment="1">
      <alignment horizontal="centerContinuous" wrapText="1"/>
    </xf>
    <xf numFmtId="0" fontId="126" fillId="0" borderId="51" xfId="0" applyFont="1" applyBorder="1" applyAlignment="1">
      <alignment horizontal="centerContinuous" wrapText="1"/>
    </xf>
    <xf numFmtId="0" fontId="126" fillId="0" borderId="84" xfId="0" applyFont="1" applyBorder="1" applyAlignment="1">
      <alignment horizontal="centerContinuous" wrapText="1"/>
    </xf>
    <xf numFmtId="0" fontId="126" fillId="0" borderId="56" xfId="0" applyFont="1" applyBorder="1" applyAlignment="1">
      <alignment horizontal="centerContinuous" wrapText="1"/>
    </xf>
    <xf numFmtId="0" fontId="126" fillId="0" borderId="193" xfId="0" applyFont="1" applyBorder="1" applyAlignment="1">
      <alignment horizontal="centerContinuous" wrapText="1"/>
    </xf>
    <xf numFmtId="0" fontId="140" fillId="0" borderId="59" xfId="663" applyFont="1" applyBorder="1" applyAlignment="1">
      <alignment horizontal="centerContinuous"/>
    </xf>
    <xf numFmtId="0" fontId="140" fillId="0" borderId="60" xfId="663" applyFont="1" applyBorder="1" applyAlignment="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Border="1" applyAlignment="1">
      <alignment horizontal="right"/>
    </xf>
    <xf numFmtId="0" fontId="75" fillId="0" borderId="288" xfId="663" applyFont="1" applyBorder="1" applyAlignment="1">
      <alignment horizontal="centerContinuous"/>
    </xf>
    <xf numFmtId="0" fontId="75" fillId="0" borderId="262" xfId="663" applyFont="1" applyBorder="1" applyAlignment="1">
      <alignment horizontal="centerContinuous"/>
    </xf>
    <xf numFmtId="0" fontId="75" fillId="0" borderId="289" xfId="663" applyFont="1" applyBorder="1" applyAlignment="1">
      <alignment horizontal="centerContinuous"/>
    </xf>
    <xf numFmtId="0" fontId="75" fillId="0" borderId="40" xfId="663" applyFont="1" applyBorder="1" applyAlignment="1">
      <alignment horizontal="centerContinuous"/>
    </xf>
    <xf numFmtId="9" fontId="72" fillId="0" borderId="262" xfId="663" applyNumberFormat="1" applyFont="1" applyBorder="1" applyAlignment="1">
      <alignment horizontal="centerContinuous"/>
    </xf>
    <xf numFmtId="0" fontId="72" fillId="0" borderId="289" xfId="663" applyFont="1" applyBorder="1" applyAlignment="1">
      <alignment horizontal="centerContinuous"/>
    </xf>
    <xf numFmtId="0" fontId="75" fillId="0" borderId="114" xfId="663" applyFont="1" applyBorder="1" applyAlignment="1">
      <alignment horizontal="centerContinuous"/>
    </xf>
    <xf numFmtId="0" fontId="125" fillId="0" borderId="0" xfId="0" applyFont="1" applyAlignment="1">
      <alignment horizontal="centerContinuous"/>
    </xf>
    <xf numFmtId="0" fontId="106" fillId="0" borderId="294" xfId="0" applyFont="1" applyBorder="1" applyAlignment="1">
      <alignment horizontal="center"/>
    </xf>
    <xf numFmtId="3" fontId="158" fillId="32" borderId="294" xfId="0" applyNumberFormat="1" applyFont="1" applyFill="1" applyBorder="1" applyProtection="1">
      <protection locked="0"/>
    </xf>
    <xf numFmtId="3" fontId="106" fillId="0" borderId="294" xfId="0" applyNumberFormat="1" applyFont="1" applyBorder="1"/>
    <xf numFmtId="37" fontId="106" fillId="0" borderId="165" xfId="0" applyNumberFormat="1" applyFont="1" applyBorder="1"/>
    <xf numFmtId="0" fontId="72" fillId="32" borderId="294" xfId="495" applyFont="1" applyFill="1" applyBorder="1" applyAlignment="1">
      <alignment horizontal="center" wrapText="1"/>
    </xf>
    <xf numFmtId="3" fontId="72" fillId="32" borderId="294" xfId="181" applyNumberFormat="1" applyFont="1" applyFill="1" applyBorder="1"/>
    <xf numFmtId="0" fontId="129" fillId="78" borderId="0" xfId="526" applyFont="1" applyFill="1" applyAlignment="1">
      <alignment horizontal="left" wrapText="1"/>
    </xf>
    <xf numFmtId="0" fontId="79" fillId="31" borderId="0" xfId="0" applyFont="1" applyFill="1" applyAlignment="1">
      <alignment horizontal="left"/>
    </xf>
    <xf numFmtId="49" fontId="71" fillId="0" borderId="81" xfId="0" applyNumberFormat="1" applyFont="1" applyBorder="1" applyAlignment="1">
      <alignment horizontal="left"/>
    </xf>
    <xf numFmtId="49" fontId="71" fillId="0" borderId="83" xfId="0" applyNumberFormat="1" applyFont="1" applyBorder="1" applyAlignment="1">
      <alignment horizontal="left"/>
    </xf>
    <xf numFmtId="49" fontId="71" fillId="0" borderId="82" xfId="0" applyNumberFormat="1" applyFont="1" applyBorder="1" applyAlignment="1">
      <alignment horizontal="left"/>
    </xf>
    <xf numFmtId="0" fontId="74" fillId="0" borderId="83" xfId="0" applyFont="1" applyBorder="1" applyAlignment="1">
      <alignment horizontal="center"/>
    </xf>
    <xf numFmtId="0" fontId="74" fillId="0" borderId="82" xfId="0" applyFont="1" applyBorder="1" applyAlignment="1">
      <alignment horizontal="center"/>
    </xf>
    <xf numFmtId="0" fontId="74" fillId="0" borderId="0" xfId="17654" applyFont="1" applyAlignment="1">
      <alignment horizontal="left"/>
    </xf>
    <xf numFmtId="0" fontId="163" fillId="32" borderId="17" xfId="0" applyFont="1" applyFill="1" applyBorder="1" applyAlignment="1">
      <alignment horizontal="left"/>
    </xf>
    <xf numFmtId="0" fontId="154" fillId="32" borderId="0" xfId="17654" applyFont="1" applyFill="1" applyAlignment="1">
      <alignment horizontal="left"/>
    </xf>
    <xf numFmtId="0" fontId="74" fillId="0" borderId="48" xfId="0" applyFont="1" applyBorder="1" applyAlignment="1">
      <alignment horizontal="center"/>
    </xf>
    <xf numFmtId="0" fontId="74" fillId="0" borderId="49" xfId="0" applyFont="1" applyBorder="1" applyAlignment="1">
      <alignment horizontal="center"/>
    </xf>
    <xf numFmtId="0" fontId="74" fillId="0" borderId="50" xfId="0" applyFont="1" applyBorder="1" applyAlignment="1">
      <alignment horizontal="center"/>
    </xf>
    <xf numFmtId="0" fontId="74" fillId="0" borderId="84" xfId="0" applyFont="1" applyBorder="1" applyAlignment="1">
      <alignment horizontal="center" wrapText="1"/>
    </xf>
    <xf numFmtId="0" fontId="74" fillId="0" borderId="83" xfId="0" applyFont="1" applyBorder="1" applyAlignment="1">
      <alignment horizontal="center" wrapText="1"/>
    </xf>
    <xf numFmtId="0" fontId="74" fillId="0" borderId="51" xfId="0" applyFont="1" applyBorder="1" applyAlignment="1">
      <alignment horizontal="center"/>
    </xf>
    <xf numFmtId="0" fontId="73" fillId="0" borderId="81" xfId="0" applyFont="1" applyBorder="1" applyAlignment="1">
      <alignment horizontal="center" wrapText="1"/>
    </xf>
    <xf numFmtId="0" fontId="73" fillId="0" borderId="82" xfId="0" applyFont="1" applyBorder="1" applyAlignment="1">
      <alignment horizontal="center" wrapText="1"/>
    </xf>
    <xf numFmtId="0" fontId="71" fillId="0" borderId="81" xfId="0" applyFont="1" applyBorder="1" applyAlignment="1">
      <alignment horizontal="left"/>
    </xf>
    <xf numFmtId="0" fontId="71" fillId="0" borderId="83" xfId="0" applyFont="1" applyBorder="1" applyAlignment="1">
      <alignment horizontal="left"/>
    </xf>
    <xf numFmtId="0" fontId="71" fillId="0" borderId="82" xfId="0" applyFont="1" applyBorder="1" applyAlignment="1">
      <alignment horizontal="left"/>
    </xf>
    <xf numFmtId="0" fontId="100" fillId="0" borderId="0" xfId="0" applyFont="1" applyAlignment="1">
      <alignment horizontal="left" vertical="top" wrapText="1"/>
    </xf>
    <xf numFmtId="0" fontId="73" fillId="0" borderId="0" xfId="0" applyFont="1" applyAlignment="1">
      <alignment horizontal="left"/>
    </xf>
    <xf numFmtId="0" fontId="108" fillId="0" borderId="0" xfId="0" applyFont="1" applyAlignment="1">
      <alignment horizontal="left"/>
    </xf>
    <xf numFmtId="0" fontId="103" fillId="0" borderId="83" xfId="0" applyFont="1" applyBorder="1" applyAlignment="1">
      <alignment horizontal="center"/>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169" fontId="72" fillId="32" borderId="273" xfId="0" applyNumberFormat="1" applyFont="1" applyFill="1" applyBorder="1"/>
    <xf numFmtId="169" fontId="72" fillId="32" borderId="258" xfId="0" applyNumberFormat="1" applyFont="1" applyFill="1" applyBorder="1"/>
    <xf numFmtId="169" fontId="72" fillId="32" borderId="283" xfId="0" applyNumberFormat="1" applyFont="1" applyFill="1" applyBorder="1"/>
    <xf numFmtId="172" fontId="100" fillId="0" borderId="10" xfId="0" applyNumberFormat="1" applyFont="1" applyBorder="1" applyAlignment="1">
      <alignment horizontal="right"/>
    </xf>
    <xf numFmtId="0" fontId="106" fillId="0" borderId="293" xfId="0" applyFont="1" applyBorder="1" applyAlignment="1">
      <alignment horizontal="center"/>
    </xf>
    <xf numFmtId="3" fontId="158" fillId="32" borderId="293" xfId="0" applyNumberFormat="1" applyFont="1" applyFill="1" applyBorder="1" applyProtection="1">
      <protection locked="0"/>
    </xf>
    <xf numFmtId="3" fontId="106" fillId="0" borderId="293" xfId="0" applyNumberFormat="1" applyFont="1" applyBorder="1"/>
    <xf numFmtId="0" fontId="72" fillId="0" borderId="293" xfId="0" applyFont="1" applyBorder="1"/>
    <xf numFmtId="0" fontId="72" fillId="0" borderId="294" xfId="0" applyFont="1" applyBorder="1"/>
    <xf numFmtId="0" fontId="103" fillId="0" borderId="81" xfId="0" applyFont="1" applyBorder="1" applyAlignment="1">
      <alignment horizontal="centerContinuous" wrapText="1"/>
    </xf>
    <xf numFmtId="0" fontId="103" fillId="0" borderId="83" xfId="0" applyFont="1" applyBorder="1" applyAlignment="1">
      <alignment horizontal="centerContinuous" wrapText="1"/>
    </xf>
    <xf numFmtId="0" fontId="103" fillId="0" borderId="82" xfId="0" applyFont="1" applyBorder="1" applyAlignment="1">
      <alignment horizontal="centerContinuous" wrapText="1"/>
    </xf>
    <xf numFmtId="0" fontId="74" fillId="0" borderId="81" xfId="0" applyFont="1" applyBorder="1" applyAlignment="1">
      <alignment horizontal="centerContinuous" wrapText="1"/>
    </xf>
    <xf numFmtId="0" fontId="74" fillId="0" borderId="83" xfId="0" applyFont="1" applyBorder="1" applyAlignment="1">
      <alignment horizontal="centerContinuous" wrapText="1"/>
    </xf>
    <xf numFmtId="0" fontId="74" fillId="0" borderId="82" xfId="0" applyFont="1" applyBorder="1" applyAlignment="1">
      <alignment horizontal="centerContinuous" wrapText="1"/>
    </xf>
    <xf numFmtId="0" fontId="104" fillId="0" borderId="47" xfId="0" applyFont="1" applyBorder="1" applyAlignment="1">
      <alignment horizontal="center" wrapText="1"/>
    </xf>
    <xf numFmtId="0" fontId="104" fillId="0" borderId="29" xfId="0" applyFont="1" applyBorder="1" applyAlignment="1">
      <alignment horizontal="center" wrapText="1"/>
    </xf>
    <xf numFmtId="0" fontId="74" fillId="0" borderId="84" xfId="0" applyFont="1" applyBorder="1" applyAlignment="1">
      <alignment horizontal="center"/>
    </xf>
    <xf numFmtId="0" fontId="79" fillId="31" borderId="0" xfId="0" applyFont="1" applyFill="1" applyAlignment="1">
      <alignment horizontal="centerContinuous" wrapText="1"/>
    </xf>
    <xf numFmtId="0" fontId="104" fillId="0" borderId="81" xfId="0" applyFont="1" applyBorder="1" applyAlignment="1">
      <alignment horizontal="centerContinuous"/>
    </xf>
    <xf numFmtId="0" fontId="104" fillId="0" borderId="83" xfId="0" applyFont="1" applyBorder="1" applyAlignment="1">
      <alignment horizontal="centerContinuous"/>
    </xf>
    <xf numFmtId="0" fontId="104" fillId="0" borderId="82" xfId="0" applyFont="1" applyBorder="1" applyAlignment="1">
      <alignment horizontal="centerContinuous"/>
    </xf>
    <xf numFmtId="0" fontId="100" fillId="0" borderId="0" xfId="0" applyFont="1" applyAlignment="1">
      <alignment horizontal="centerContinuous" wrapText="1"/>
    </xf>
    <xf numFmtId="0" fontId="100" fillId="0" borderId="0" xfId="0" applyFont="1" applyAlignment="1">
      <alignment horizontal="centerContinuous" vertical="top" wrapText="1"/>
    </xf>
    <xf numFmtId="0" fontId="103" fillId="0" borderId="81" xfId="0" applyFont="1" applyBorder="1" applyAlignment="1">
      <alignment horizontal="centerContinuous"/>
    </xf>
    <xf numFmtId="0" fontId="103" fillId="0" borderId="83" xfId="0" applyFont="1" applyBorder="1" applyAlignment="1">
      <alignment horizontal="centerContinuous"/>
    </xf>
    <xf numFmtId="0" fontId="103" fillId="0" borderId="82" xfId="0" applyFont="1" applyBorder="1" applyAlignment="1">
      <alignment horizontal="centerContinuous"/>
    </xf>
    <xf numFmtId="166" fontId="72" fillId="70" borderId="50" xfId="0" applyNumberFormat="1" applyFont="1" applyFill="1" applyBorder="1"/>
    <xf numFmtId="3" fontId="72" fillId="0" borderId="36" xfId="0" applyNumberFormat="1" applyFont="1" applyBorder="1"/>
    <xf numFmtId="37" fontId="173" fillId="32" borderId="301" xfId="0" applyNumberFormat="1" applyFont="1" applyFill="1" applyBorder="1" applyProtection="1">
      <protection locked="0"/>
    </xf>
    <xf numFmtId="37" fontId="157" fillId="33" borderId="302" xfId="0" applyNumberFormat="1" applyFont="1" applyFill="1" applyBorder="1" applyProtection="1">
      <protection locked="0"/>
    </xf>
    <xf numFmtId="3" fontId="159" fillId="0" borderId="267" xfId="0" applyNumberFormat="1" applyFont="1" applyBorder="1"/>
    <xf numFmtId="0" fontId="106" fillId="0" borderId="265" xfId="0" applyFont="1" applyBorder="1" applyAlignment="1">
      <alignment horizontal="centerContinuous" wrapText="1"/>
    </xf>
    <xf numFmtId="0" fontId="106" fillId="0" borderId="266" xfId="0" applyFont="1" applyBorder="1" applyAlignment="1">
      <alignment horizontal="centerContinuous"/>
    </xf>
    <xf numFmtId="49" fontId="106" fillId="32" borderId="81" xfId="0" applyNumberFormat="1" applyFont="1" applyFill="1" applyBorder="1" applyAlignment="1" applyProtection="1">
      <alignment horizontal="centerContinuous" vertical="top" wrapText="1"/>
      <protection locked="0"/>
    </xf>
    <xf numFmtId="49" fontId="106" fillId="32" borderId="83" xfId="0" applyNumberFormat="1" applyFont="1" applyFill="1" applyBorder="1" applyAlignment="1" applyProtection="1">
      <alignment horizontal="centerContinuous" vertical="top" wrapText="1"/>
      <protection locked="0"/>
    </xf>
    <xf numFmtId="49" fontId="106" fillId="32" borderId="82" xfId="0" applyNumberFormat="1" applyFont="1" applyFill="1" applyBorder="1" applyAlignment="1" applyProtection="1">
      <alignment horizontal="centerContinuous" vertical="top" wrapText="1"/>
      <protection locked="0"/>
    </xf>
    <xf numFmtId="49" fontId="72" fillId="32" borderId="303" xfId="0" applyNumberFormat="1" applyFont="1" applyFill="1" applyBorder="1" applyAlignment="1" applyProtection="1">
      <alignment horizontal="centerContinuous" vertical="top" wrapText="1"/>
      <protection locked="0"/>
    </xf>
    <xf numFmtId="49" fontId="72" fillId="32" borderId="304" xfId="0" applyNumberFormat="1" applyFont="1" applyFill="1" applyBorder="1" applyAlignment="1" applyProtection="1">
      <alignment horizontal="centerContinuous" vertical="top" wrapText="1"/>
      <protection locked="0"/>
    </xf>
    <xf numFmtId="49" fontId="72" fillId="32" borderId="305" xfId="0" applyNumberFormat="1" applyFont="1" applyFill="1" applyBorder="1" applyAlignment="1" applyProtection="1">
      <alignment horizontal="centerContinuous" vertical="top" wrapText="1"/>
      <protection locked="0"/>
    </xf>
    <xf numFmtId="0" fontId="72" fillId="32" borderId="306" xfId="0" applyFont="1" applyFill="1" applyBorder="1" applyAlignment="1" applyProtection="1">
      <alignment horizontal="centerContinuous" vertical="top" wrapText="1"/>
      <protection locked="0"/>
    </xf>
    <xf numFmtId="0" fontId="72" fillId="32" borderId="307" xfId="0" applyFont="1" applyFill="1" applyBorder="1" applyAlignment="1" applyProtection="1">
      <alignment horizontal="centerContinuous" vertical="top" wrapText="1"/>
      <protection locked="0"/>
    </xf>
    <xf numFmtId="0" fontId="72" fillId="32" borderId="308" xfId="0" applyFont="1" applyFill="1" applyBorder="1" applyAlignment="1" applyProtection="1">
      <alignment horizontal="centerContinuous" vertical="top" wrapText="1"/>
      <protection locked="0"/>
    </xf>
    <xf numFmtId="49" fontId="106" fillId="32" borderId="38" xfId="0" applyNumberFormat="1" applyFont="1" applyFill="1" applyBorder="1" applyAlignment="1" applyProtection="1">
      <alignment horizontal="centerContinuous" vertical="top" wrapText="1"/>
      <protection locked="0"/>
    </xf>
    <xf numFmtId="49" fontId="106" fillId="32" borderId="52" xfId="0" applyNumberFormat="1" applyFont="1" applyFill="1" applyBorder="1" applyAlignment="1" applyProtection="1">
      <alignment horizontal="centerContinuous" vertical="top" wrapText="1"/>
      <protection locked="0"/>
    </xf>
    <xf numFmtId="49" fontId="106" fillId="32" borderId="61" xfId="0" applyNumberFormat="1" applyFont="1" applyFill="1" applyBorder="1" applyAlignment="1" applyProtection="1">
      <alignment horizontal="centerContinuous" vertical="top" wrapText="1"/>
      <protection locked="0"/>
    </xf>
    <xf numFmtId="172" fontId="129" fillId="0" borderId="10" xfId="0" applyNumberFormat="1" applyFont="1" applyBorder="1" applyAlignment="1">
      <alignment horizontal="right"/>
    </xf>
    <xf numFmtId="0" fontId="100" fillId="25" borderId="10" xfId="0" quotePrefix="1" applyFont="1" applyFill="1" applyBorder="1" applyAlignment="1">
      <alignment horizontal="right"/>
    </xf>
    <xf numFmtId="0" fontId="100" fillId="0" borderId="10" xfId="0" quotePrefix="1" applyFont="1" applyBorder="1" applyAlignment="1">
      <alignment horizontal="right"/>
    </xf>
    <xf numFmtId="37" fontId="106" fillId="0" borderId="297" xfId="0" applyNumberFormat="1" applyFont="1" applyBorder="1"/>
    <xf numFmtId="37" fontId="106" fillId="0" borderId="298" xfId="0" applyNumberFormat="1" applyFont="1" applyBorder="1"/>
    <xf numFmtId="172" fontId="106" fillId="0" borderId="293" xfId="0" applyNumberFormat="1" applyFont="1" applyBorder="1" applyAlignment="1">
      <alignment horizontal="center"/>
    </xf>
    <xf numFmtId="37" fontId="106" fillId="0" borderId="299" xfId="0" applyNumberFormat="1" applyFont="1" applyBorder="1"/>
    <xf numFmtId="37" fontId="106" fillId="0" borderId="300" xfId="0" applyNumberFormat="1" applyFont="1" applyBorder="1"/>
    <xf numFmtId="172" fontId="106" fillId="0" borderId="294" xfId="0" applyNumberFormat="1" applyFont="1" applyBorder="1" applyAlignment="1">
      <alignment horizontal="center"/>
    </xf>
    <xf numFmtId="0" fontId="177" fillId="79" borderId="17" xfId="0" applyFont="1" applyFill="1" applyBorder="1" applyAlignment="1">
      <alignment horizontal="centerContinuous" wrapText="1"/>
    </xf>
    <xf numFmtId="0" fontId="178" fillId="79" borderId="0" xfId="0" applyFont="1" applyFill="1" applyAlignment="1">
      <alignment horizontal="centerContinuous"/>
    </xf>
    <xf numFmtId="0" fontId="104" fillId="0" borderId="19" xfId="0" applyFont="1" applyBorder="1" applyAlignment="1">
      <alignment horizontal="centerContinuous" wrapText="1"/>
    </xf>
    <xf numFmtId="5" fontId="72" fillId="32" borderId="34" xfId="181" applyNumberFormat="1" applyFont="1" applyFill="1" applyBorder="1" applyAlignment="1">
      <alignment horizontal="right"/>
    </xf>
    <xf numFmtId="165" fontId="72" fillId="32" borderId="294" xfId="181" applyNumberFormat="1" applyFont="1" applyFill="1" applyBorder="1" applyAlignment="1">
      <alignment horizontal="right"/>
    </xf>
    <xf numFmtId="165" fontId="72" fillId="32" borderId="309" xfId="181" applyNumberFormat="1" applyFont="1" applyFill="1" applyBorder="1" applyAlignment="1">
      <alignment horizontal="right"/>
    </xf>
    <xf numFmtId="0" fontId="163" fillId="0" borderId="0" xfId="0" applyFont="1" applyAlignment="1">
      <alignment horizontal="left"/>
    </xf>
    <xf numFmtId="0" fontId="179" fillId="32" borderId="17" xfId="0" applyFont="1" applyFill="1" applyBorder="1" applyAlignment="1">
      <alignment horizontal="left"/>
    </xf>
    <xf numFmtId="0" fontId="107" fillId="0" borderId="81" xfId="0" applyFont="1" applyBorder="1" applyAlignment="1">
      <alignment horizontal="center" wrapText="1"/>
    </xf>
    <xf numFmtId="5" fontId="72" fillId="32" borderId="310" xfId="181" applyNumberFormat="1" applyFont="1" applyFill="1" applyBorder="1" applyAlignment="1">
      <alignment horizontal="right"/>
    </xf>
    <xf numFmtId="169" fontId="151" fillId="0" borderId="48" xfId="0" applyNumberFormat="1" applyFont="1" applyBorder="1"/>
    <xf numFmtId="171" fontId="151" fillId="0" borderId="50" xfId="0" applyNumberFormat="1" applyFont="1" applyBorder="1"/>
    <xf numFmtId="169" fontId="151" fillId="0" borderId="281" xfId="0" applyNumberFormat="1" applyFont="1" applyBorder="1"/>
    <xf numFmtId="171" fontId="151" fillId="0" borderId="280" xfId="0" applyNumberFormat="1" applyFont="1" applyBorder="1"/>
    <xf numFmtId="169" fontId="151" fillId="0" borderId="282" xfId="0" applyNumberFormat="1" applyFont="1" applyBorder="1"/>
    <xf numFmtId="171" fontId="151" fillId="0" borderId="284" xfId="0" applyNumberFormat="1" applyFont="1" applyBorder="1"/>
    <xf numFmtId="0" fontId="74" fillId="0" borderId="29" xfId="0" applyFont="1" applyBorder="1" applyAlignment="1">
      <alignment horizontal="center" wrapText="1"/>
    </xf>
    <xf numFmtId="0" fontId="72" fillId="0" borderId="47" xfId="0" applyFont="1" applyBorder="1"/>
    <xf numFmtId="3" fontId="72" fillId="36" borderId="294" xfId="0" applyNumberFormat="1" applyFont="1" applyFill="1" applyBorder="1" applyAlignment="1">
      <alignment horizontal="right"/>
    </xf>
    <xf numFmtId="165" fontId="72" fillId="32" borderId="296" xfId="181" applyNumberFormat="1" applyFont="1" applyFill="1" applyBorder="1" applyAlignment="1">
      <alignment horizontal="right"/>
    </xf>
    <xf numFmtId="0" fontId="176" fillId="32" borderId="293" xfId="0" applyFont="1" applyFill="1" applyBorder="1" applyAlignment="1" applyProtection="1">
      <alignment horizontal="right"/>
      <protection locked="0"/>
    </xf>
    <xf numFmtId="0" fontId="176" fillId="32" borderId="294" xfId="0" applyFont="1" applyFill="1" applyBorder="1" applyAlignment="1" applyProtection="1">
      <alignment horizontal="right"/>
      <protection locked="0"/>
    </xf>
    <xf numFmtId="0" fontId="71" fillId="80" borderId="0" xfId="0" applyFont="1" applyFill="1" applyAlignment="1">
      <alignment horizontal="centerContinuous" vertical="center" wrapText="1"/>
    </xf>
    <xf numFmtId="37" fontId="76" fillId="0" borderId="244" xfId="0" applyNumberFormat="1" applyFont="1" applyBorder="1" applyAlignment="1">
      <alignment horizontal="right"/>
    </xf>
    <xf numFmtId="37" fontId="76" fillId="0" borderId="104" xfId="0" applyNumberFormat="1" applyFont="1" applyBorder="1" applyAlignment="1">
      <alignment horizontal="right"/>
    </xf>
    <xf numFmtId="0" fontId="74" fillId="0" borderId="62" xfId="0" quotePrefix="1" applyFont="1" applyBorder="1" applyAlignment="1">
      <alignment horizontal="center"/>
    </xf>
    <xf numFmtId="37" fontId="74" fillId="0" borderId="62" xfId="0" applyNumberFormat="1" applyFont="1" applyBorder="1"/>
    <xf numFmtId="0" fontId="74" fillId="0" borderId="226" xfId="0" quotePrefix="1" applyFont="1" applyBorder="1" applyAlignment="1">
      <alignment horizontal="left"/>
    </xf>
    <xf numFmtId="0" fontId="74" fillId="0" borderId="243" xfId="0" applyFont="1" applyBorder="1"/>
    <xf numFmtId="0" fontId="161" fillId="32" borderId="35" xfId="0" applyFont="1" applyFill="1" applyBorder="1" applyAlignment="1" applyProtection="1">
      <alignment horizontal="centerContinuous"/>
      <protection locked="0"/>
    </xf>
    <xf numFmtId="0" fontId="161" fillId="32" borderId="56" xfId="0" applyFont="1" applyFill="1" applyBorder="1" applyAlignment="1" applyProtection="1">
      <alignment horizontal="centerContinuous"/>
      <protection locked="0"/>
    </xf>
    <xf numFmtId="168" fontId="156" fillId="32" borderId="0" xfId="182" applyNumberFormat="1" applyFont="1" applyFill="1" applyBorder="1" applyProtection="1">
      <protection locked="0"/>
    </xf>
    <xf numFmtId="3" fontId="156" fillId="32" borderId="180" xfId="182" applyNumberFormat="1" applyFont="1" applyFill="1" applyBorder="1" applyProtection="1">
      <protection locked="0"/>
    </xf>
    <xf numFmtId="0" fontId="180" fillId="0" borderId="0" xfId="0" applyFont="1"/>
    <xf numFmtId="0" fontId="72" fillId="78" borderId="43" xfId="0" applyFont="1" applyFill="1" applyBorder="1" applyAlignment="1">
      <alignment wrapText="1"/>
    </xf>
    <xf numFmtId="0" fontId="105" fillId="0" borderId="311" xfId="0" applyFont="1" applyBorder="1"/>
    <xf numFmtId="0" fontId="105" fillId="0" borderId="311" xfId="0" applyFont="1" applyBorder="1" applyAlignment="1">
      <alignment horizontal="left" wrapText="1"/>
    </xf>
    <xf numFmtId="3" fontId="105" fillId="0" borderId="311" xfId="0" applyNumberFormat="1" applyFont="1" applyBorder="1" applyAlignment="1">
      <alignment horizontal="right" wrapText="1"/>
    </xf>
    <xf numFmtId="3" fontId="105" fillId="36" borderId="311" xfId="0" applyNumberFormat="1" applyFont="1" applyFill="1" applyBorder="1" applyAlignment="1">
      <alignment horizontal="right" wrapText="1"/>
    </xf>
    <xf numFmtId="0" fontId="72" fillId="78" borderId="312" xfId="0" applyFont="1" applyFill="1" applyBorder="1" applyAlignment="1">
      <alignment wrapText="1"/>
    </xf>
    <xf numFmtId="0" fontId="72" fillId="32" borderId="311" xfId="495" applyFont="1" applyFill="1" applyBorder="1" applyAlignment="1">
      <alignment horizontal="center" wrapText="1"/>
    </xf>
    <xf numFmtId="3" fontId="72" fillId="32" borderId="311" xfId="181" applyNumberFormat="1" applyFont="1" applyFill="1" applyBorder="1"/>
    <xf numFmtId="3" fontId="72" fillId="36" borderId="311" xfId="0" applyNumberFormat="1" applyFont="1" applyFill="1" applyBorder="1" applyAlignment="1">
      <alignment horizontal="right"/>
    </xf>
    <xf numFmtId="3" fontId="151" fillId="32" borderId="258" xfId="0" applyNumberFormat="1" applyFont="1" applyFill="1" applyBorder="1"/>
    <xf numFmtId="4" fontId="78" fillId="0" borderId="29" xfId="181" applyNumberFormat="1" applyFont="1" applyBorder="1" applyProtection="1"/>
    <xf numFmtId="0" fontId="74" fillId="71" borderId="294" xfId="0" applyFont="1" applyFill="1" applyBorder="1"/>
    <xf numFmtId="4" fontId="72" fillId="0" borderId="294" xfId="181" applyNumberFormat="1" applyFont="1" applyBorder="1" applyProtection="1"/>
    <xf numFmtId="0" fontId="72" fillId="0" borderId="29" xfId="0" applyFont="1" applyBorder="1" applyAlignment="1">
      <alignment horizontal="center"/>
    </xf>
    <xf numFmtId="3" fontId="156" fillId="32" borderId="311" xfId="0" applyNumberFormat="1" applyFont="1" applyFill="1" applyBorder="1" applyAlignment="1" applyProtection="1">
      <alignment horizontal="right"/>
      <protection locked="0"/>
    </xf>
    <xf numFmtId="0" fontId="72" fillId="0" borderId="294" xfId="0" applyFont="1" applyBorder="1" applyAlignment="1">
      <alignment horizontal="center"/>
    </xf>
    <xf numFmtId="3" fontId="156" fillId="32" borderId="294" xfId="0" applyNumberFormat="1" applyFont="1" applyFill="1" applyBorder="1" applyAlignment="1" applyProtection="1">
      <alignment horizontal="right"/>
      <protection locked="0"/>
    </xf>
    <xf numFmtId="4" fontId="72" fillId="0" borderId="294" xfId="0" applyNumberFormat="1" applyFont="1" applyBorder="1"/>
    <xf numFmtId="3" fontId="72" fillId="0" borderId="294" xfId="0" applyNumberFormat="1" applyFont="1" applyBorder="1"/>
    <xf numFmtId="0" fontId="100" fillId="0" borderId="15" xfId="0" applyFont="1" applyBorder="1"/>
    <xf numFmtId="3" fontId="157" fillId="32" borderId="22" xfId="0" applyNumberFormat="1" applyFont="1" applyFill="1" applyBorder="1" applyProtection="1">
      <protection locked="0"/>
    </xf>
    <xf numFmtId="0" fontId="100" fillId="0" borderId="294" xfId="0" applyFont="1" applyBorder="1"/>
    <xf numFmtId="0" fontId="100" fillId="0" borderId="265" xfId="0" applyFont="1" applyBorder="1" applyAlignment="1">
      <alignment horizontal="center"/>
    </xf>
    <xf numFmtId="3" fontId="157" fillId="32" borderId="294" xfId="0" applyNumberFormat="1" applyFont="1" applyFill="1" applyBorder="1" applyProtection="1">
      <protection locked="0"/>
    </xf>
    <xf numFmtId="0" fontId="100" fillId="0" borderId="309" xfId="0" applyFont="1" applyBorder="1"/>
    <xf numFmtId="2" fontId="160" fillId="32" borderId="29" xfId="0" applyNumberFormat="1" applyFont="1" applyFill="1" applyBorder="1" applyProtection="1">
      <protection locked="0"/>
    </xf>
    <xf numFmtId="2" fontId="74" fillId="71" borderId="311" xfId="0" applyNumberFormat="1" applyFont="1" applyFill="1" applyBorder="1"/>
    <xf numFmtId="172" fontId="129" fillId="0" borderId="10" xfId="0" applyNumberFormat="1" applyFont="1" applyBorder="1"/>
    <xf numFmtId="2" fontId="160" fillId="32" borderId="309" xfId="181" applyNumberFormat="1" applyFont="1" applyFill="1" applyBorder="1" applyProtection="1">
      <protection locked="0"/>
    </xf>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9">
    <dxf>
      <font>
        <color rgb="FF9C0006"/>
      </font>
      <fill>
        <patternFill>
          <bgColor rgb="FFFFC7CE"/>
        </patternFill>
      </fill>
    </dxf>
    <dxf>
      <font>
        <color rgb="FF9C0006"/>
      </font>
      <fill>
        <patternFill>
          <bgColor rgb="FFFFC7CE"/>
        </patternFill>
      </fill>
    </dxf>
    <dxf>
      <fill>
        <patternFill>
          <bgColor theme="5" tint="0.59996337778862885"/>
        </patternFill>
      </fill>
    </dxf>
    <dxf>
      <font>
        <color rgb="FFFF0000"/>
      </font>
    </dxf>
    <dxf>
      <fill>
        <patternFill>
          <bgColor theme="5" tint="0.59996337778862885"/>
        </patternFill>
      </fill>
    </dxf>
    <dxf>
      <font>
        <color auto="1"/>
      </font>
      <fill>
        <patternFill>
          <bgColor theme="5" tint="0.59996337778862885"/>
        </patternFill>
      </fill>
    </dxf>
    <dxf>
      <font>
        <color rgb="FFFF0000"/>
      </font>
    </dxf>
    <dxf>
      <font>
        <color rgb="FFFF0000"/>
      </font>
    </dxf>
    <dxf>
      <font>
        <color rgb="FFFF0000"/>
      </font>
    </dxf>
  </dxfs>
  <tableStyles count="0" defaultTableStyle="TableStyleMedium9" defaultPivotStyle="PivotStyleLight16"/>
  <colors>
    <mruColors>
      <color rgb="FF3559F3"/>
      <color rgb="FFFFFFCC"/>
      <color rgb="FFFFFF99"/>
      <color rgb="FFFF7C80"/>
      <color rgb="FFCCFFCC"/>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0</xdr:col>
          <xdr:colOff>5829300</xdr:colOff>
          <xdr:row>50</xdr:row>
          <xdr:rowOff>142875</xdr:rowOff>
        </xdr:to>
        <xdr:sp macro="" textlink="">
          <xdr:nvSpPr>
            <xdr:cNvPr id="1026" name="Object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7</xdr:row>
          <xdr:rowOff>0</xdr:rowOff>
        </xdr:from>
        <xdr:to>
          <xdr:col>1</xdr:col>
          <xdr:colOff>581025</xdr:colOff>
          <xdr:row>53</xdr:row>
          <xdr:rowOff>95250</xdr:rowOff>
        </xdr:to>
        <xdr:sp macro="" textlink="">
          <xdr:nvSpPr>
            <xdr:cNvPr id="38917" name="Object 5" hidden="1">
              <a:extLst>
                <a:ext uri="{63B3BB69-23CF-44E3-9099-C40C66FF867C}">
                  <a14:compatExt spid="_x0000_s38917"/>
                </a:ext>
                <a:ext uri="{FF2B5EF4-FFF2-40B4-BE49-F238E27FC236}">
                  <a16:creationId xmlns:a16="http://schemas.microsoft.com/office/drawing/2014/main" id="{00000000-0008-0000-0A00-000005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3937785325</xltc2:checksum>
        <xltc2:hyperlink startIndex="14" length="35" url="J:\Finance\Session\Session 2024\FCS"/>
        <xltc2:hyperlink startIndex="82" length="110" url="J:\Finance\Operating Budgets - current year\2024-25 OPERATING BUDGET\Forms and Instructions\Working Documents\"/>
      </x:ext>
    </extLst>
  </threadedComment>
  <threadedComment ref="A59" personId="{1F471670-B2F1-431A-BF2E-14A22D9B5720}" id="{55DCAC58-9647-4D0E-B033-FF408B92170A}">
    <text xml:space="preserve">Source: General Appropriations Act, Specific Appropriation 28.
</text>
  </threadedComment>
  <threadedComment ref="B66"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J:\Finance\Fees\2024-25\Fee Calculator 2023-24 (Using 2023-24 FTE-2A)  FALL 2023 FEES 4.3.24DRS.xlsx
Use the 2023-24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extLst>
      <x:ext xmlns:xltc2="http://schemas.microsoft.com/office/spreadsheetml/2020/threadedcomments2" uri="{F7C98A9C-CBB3-438F-8F68-D28B6AF4A901}">
        <xltc2:checksum>3635013271</xltc2:checksum>
        <xltc2:hyperlink startIndex="188" length="27" url="J:\Finance\Fees\2024-25\Fee"/>
      </x:ext>
    </extLst>
  </threadedComment>
  <threadedComment ref="E66"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04" personId="{1F471670-B2F1-431A-BF2E-14A22D9B5720}" id="{ECAE66B6-F674-4BF0-9FF2-897DE90B034A}">
    <text xml:space="preserve">Note the FTE data is one fiscal year behind.
If the FTE-2A Report has not been approved by the Enrollment Estimating Conference, use the approved FTE-1A or 1B Report.
Source:   J:\Finance\Fees\2024-25\Fee Calculator 2023-24 (Using 2023-24 FTE-2A)  FALL 2023 FEES 4.3.24DRS.xlsx
Use the 2023-24 Tab to complete this chart.
</text>
    <extLst>
      <x:ext xmlns:xltc2="http://schemas.microsoft.com/office/spreadsheetml/2020/threadedcomments2" uri="{F7C98A9C-CBB3-438F-8F68-D28B6AF4A901}">
        <xltc2:checksum>2130653136</xltc2:checksum>
        <xltc2:hyperlink startIndex="179" length="27" url="J:\Finance\Fees\2024-25\Fee"/>
      </x:ext>
    </extLst>
  </threadedComment>
  <threadedComment ref="T105" personId="{1F471670-B2F1-431A-BF2E-14A22D9B5720}" id="{97127F23-FD53-4C98-BD0E-AD4E1F96A69A}">
    <text>Note: Total Fee Paying should agree with the Fee Calculator Total Fee Paying - CellU121.</text>
  </threadedComment>
  <threadedComment ref="B108" personId="{1F471670-B2F1-431A-BF2E-14A22D9B5720}" id="{0E17BC91-BE20-4A25-A7D8-943BE122B06F}">
    <text xml:space="preserve">Upper Level FTE Resident, Cell Q93
</text>
  </threadedComment>
  <threadedComment ref="E108" personId="{1F471670-B2F1-431A-BF2E-14A22D9B5720}" id="{F21ABF8C-3F93-40C3-B556-B1AD2D545056}">
    <text>A &amp; P Resident, Cell B93
Resident A &amp; P Fee Paying FTE does not include non-Florida Resident FTE and Dual Enrolled FTE.</text>
  </threadedComment>
  <threadedComment ref="F108" personId="{CF12A810-03EA-4300-AFB9-893D1BC43909}" id="{E577ECD5-318A-43C6-B5C9-6703669EDBE1}">
    <text>A &amp; P FTE Estimated Non-Florida Resident, Cell P54</text>
  </threadedComment>
  <threadedComment ref="H108" personId="{1F471670-B2F1-431A-BF2E-14A22D9B5720}" id="{5D079386-487B-4A39-BBE3-35243C5504B3}">
    <text xml:space="preserve">PSV FTE Resident, Cell E93
Resident PSV Fee Paying FTE does not include non-Florida Resident FTE and Dual Enrolled FTE. 
</text>
  </threadedComment>
  <threadedComment ref="I108" personId="{CF12A810-03EA-4300-AFB9-893D1BC43909}" id="{8EBECDCE-BD35-4FE7-90A5-285907FB34E4}">
    <text xml:space="preserve">PSV Estimated Non-Florida Resident FTE, Cell Q54
</text>
  </threadedComment>
  <threadedComment ref="K108" personId="{1F471670-B2F1-431A-BF2E-14A22D9B5720}" id="{8EF7C769-F880-4C8A-80BE-59BF0D2E88E5}">
    <text xml:space="preserve">DEV ED FTE Resident, Cell H93
Resident DEV ED Fee Paying FTE does not include non-Florida Resident FTE.
</text>
  </threadedComment>
  <threadedComment ref="L108" personId="{CF12A810-03EA-4300-AFB9-893D1BC43909}" id="{6FDACA1F-54E8-45A8-8703-4774D8EFD9D2}">
    <text>DEV ED Estimated Non-Florida Resident FTE, Cell T54</text>
  </threadedComment>
  <threadedComment ref="N108" personId="{1F471670-B2F1-431A-BF2E-14A22D9B5720}" id="{A6AC8CD1-2B10-4147-9844-D324F71DBF2C}">
    <text>EPI FTE Resident, Cell K93. 
Resident EPI Fee Paying FTE does not include non-Florida Resident FTE.</text>
  </threadedComment>
  <threadedComment ref="O108" personId="{CF12A810-03EA-4300-AFB9-893D1BC43909}" id="{F7AFCA54-3658-4ED4-BF75-5B879FB58103}">
    <text>EPI Estimated Non-Florida Resident FTE, Cell W54</text>
  </threadedComment>
  <threadedComment ref="Q108" personId="{1F471670-B2F1-431A-BF2E-14A22D9B5720}" id="{9A19A128-2C5D-49FC-91FF-496FBD0040ED}">
    <text xml:space="preserve">CCATD FTE Resident, Cell N93. 
Resident CCATD Paying FTE does not include non-Florida Resident FTE and Dual Enrolled FTE. </text>
  </threadedComment>
  <threadedComment ref="R108" personId="{CF12A810-03EA-4300-AFB9-893D1BC43909}" id="{1A1D73E9-E4F1-4240-B864-6D373B51C436}">
    <text>CCATD FTE Estimated Non-Florida Resident FTE, Cell R54.</text>
  </threadedComment>
  <threadedComment ref="W108" personId="{CF12A810-03EA-4300-AFB9-893D1BC43909}" id="{EB6DA77F-6AE0-4ED0-BFC4-9E01A2EC7C48}">
    <text>Voc Prep FTE Estimated Non-Florida Resident, Cell U54</text>
  </threadedComment>
  <threadedComment ref="X108" personId="{CF12A810-03EA-4300-AFB9-893D1BC43909}" id="{9CCC2418-FC98-4D67-BE81-AC59529DA44C}">
    <text xml:space="preserve">Voc. Prep FTE Total, Cell G54
</text>
  </threadedComment>
  <threadedComment ref="AA108" personId="{CF12A810-03EA-4300-AFB9-893D1BC43909}" id="{C398493A-27F9-41CA-B815-9405846000B7}">
    <text>Adult FTE Estimated Non-Florida Resident, Cell V54</text>
  </threadedComment>
  <threadedComment ref="AE108" personId="{1F471670-B2F1-431A-BF2E-14A22D9B5720}" id="{815CD3A1-1A1F-4342-B015-5E0FBE34EDD1}">
    <text xml:space="preserve">Adult Basic FTE, Cell H54
 </text>
  </threadedComment>
  <threadedComment ref="AF108" personId="{1F471670-B2F1-431A-BF2E-14A22D9B5720}" id="{3A891C23-FB36-4B68-ADDC-98949430BBD4}">
    <text>Adult Second. &amp; GED  FTE, Cell I54</text>
  </threadedComment>
  <threadedComment ref="AO110" personId="{1F471670-B2F1-431A-BF2E-14A22D9B5720}" id="{0B3BE2BC-403A-4EEC-8852-A4CAB5B94B01}">
    <text>Fee Calculator File:   This amount is from the Estimated Duel Enrolled FTE Total Column, Cell AF82.</text>
  </threadedComment>
  <threadedComment ref="AO111" personId="{1F471670-B2F1-431A-BF2E-14A22D9B5720}" id="{17930007-AA0C-4C5B-897A-5AE306D64E8A}">
    <text xml:space="preserve">Fee Calculator File: Apprent FTE Total, Cell E82 minus the Estimated Dual Enrolled Apprent FTE, Cell AE82. 
</text>
  </threadedComment>
  <threadedComment ref="AO114" personId="{1F471670-B2F1-431A-BF2E-14A22D9B5720}" id="{345656CD-C971-4C73-AC2F-FA450CAA5C2E}">
    <text>Fee Calculator File: This amount is from the FTE-1B Total column, Cell L82.</text>
  </threadedComment>
  <threadedComment ref="B149" personId="{1F471670-B2F1-431A-BF2E-14A22D9B5720}" id="{36C3EBC9-D425-49C5-88D9-7163D2A68669}">
    <text xml:space="preserve">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3192543734</xltc2:checksum>
        <xltc2:hyperlink startIndex="15" length="19" url="J:\Finance\Session\"/>
      </x:ext>
    </extLst>
  </threadedComment>
</ThreadedComments>
</file>

<file path=xl/threadedComments/threadedComment2.xml><?xml version="1.0" encoding="utf-8"?>
<ThreadedComments xmlns="http://schemas.microsoft.com/office/spreadsheetml/2018/threadedcomments" xmlns:x="http://schemas.openxmlformats.org/spreadsheetml/2006/main">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58" personId="{CF12A810-03EA-4300-AFB9-893D1BC43909}" id="{78B00E4D-4A44-48B6-9998-D3F172A541B4}">
    <text xml:space="preserve">VLOOKUP Tab - Cells 
A108 to S141
</text>
  </threadedComment>
  <threadedComment ref="G58" personId="{1F471670-B2F1-431A-BF2E-14A22D9B5720}" id="{B82D3A2A-092B-4169-B2AA-2D42D095B31B}">
    <text xml:space="preserve">Please enter an explanation if the difference is greater than 5% in any area in the Explanation box below.
</text>
  </threadedComment>
  <threadedComment ref="C103"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8" personId="{1F471670-B2F1-431A-BF2E-14A22D9B5720}" id="{F6256170-DDF7-4C98-A790-4C4A90690A5F}">
    <text xml:space="preserve">The amount for the FCSPF Performance Based Incentives Funds should be entered in (General Ledger Code 42150)
</text>
  </threadedComment>
  <threadedComment ref="G81"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65"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18" personId="{1F471670-B2F1-431A-BF2E-14A22D9B5720}" id="{C439E12A-A2BD-4B44-9D99-3AC88DA9BEC8}">
    <text xml:space="preserve">This cell will automatically populate. Should agree with Exhibit C, Cell H10. Resident and nonresident students pay resident tuition.
</text>
  </threadedComment>
  <threadedComment ref="D119" personId="{1F471670-B2F1-431A-BF2E-14A22D9B5720}" id="{4955338F-1120-4255-A902-FC2660602E1E}">
    <text xml:space="preserve">This Cell will automatically populate.  Should agree with Exhibit C, Cell F19.
</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0.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1.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1" customWidth="1"/>
    <col min="2" max="2" width="3.28515625" style="1" customWidth="1"/>
    <col min="3" max="3" width="16.28515625" style="1" customWidth="1"/>
    <col min="4" max="4" width="16.85546875" style="1" customWidth="1"/>
    <col min="5" max="5" width="20.85546875" style="1" customWidth="1"/>
    <col min="6" max="6" width="15.85546875" style="1" customWidth="1"/>
    <col min="7" max="7" width="18.140625" style="1" customWidth="1"/>
    <col min="8" max="8" width="3" style="1" customWidth="1"/>
    <col min="9" max="16384" width="9.140625" style="1"/>
  </cols>
  <sheetData>
    <row r="1" spans="1:5" ht="21" customHeight="1">
      <c r="A1" s="603" t="s">
        <v>0</v>
      </c>
      <c r="B1" s="603"/>
      <c r="C1" s="603"/>
      <c r="D1" s="603"/>
      <c r="E1" s="603"/>
    </row>
    <row r="2" spans="1:5" ht="23.25">
      <c r="A2" s="603" t="s">
        <v>686</v>
      </c>
      <c r="B2" s="603"/>
      <c r="C2" s="603"/>
      <c r="D2" s="603"/>
      <c r="E2" s="603"/>
    </row>
    <row r="3" spans="1:5" ht="21" customHeight="1">
      <c r="A3" s="603" t="s">
        <v>1</v>
      </c>
      <c r="B3" s="603"/>
      <c r="C3" s="603"/>
      <c r="D3" s="603"/>
      <c r="E3" s="603"/>
    </row>
    <row r="4" spans="1:5" ht="32.1" customHeight="1">
      <c r="A4" s="9" t="s">
        <v>2</v>
      </c>
      <c r="B4" s="9"/>
      <c r="C4" s="9"/>
      <c r="D4" s="9"/>
      <c r="E4" s="9"/>
    </row>
    <row r="5" spans="1:5" ht="107.25" customHeight="1">
      <c r="A5" s="5" t="s">
        <v>3</v>
      </c>
      <c r="B5" s="6"/>
      <c r="C5" s="7" t="s">
        <v>4</v>
      </c>
      <c r="D5" s="7" t="s">
        <v>5</v>
      </c>
      <c r="E5" s="7" t="s">
        <v>6</v>
      </c>
    </row>
    <row r="6" spans="1:5" s="3" customFormat="1" ht="18" customHeight="1"/>
    <row r="7" spans="1:5" s="3" customFormat="1" ht="20.100000000000001" customHeight="1">
      <c r="A7" s="587"/>
      <c r="B7" s="588"/>
      <c r="C7" s="589"/>
      <c r="D7" s="591"/>
      <c r="E7" s="590"/>
    </row>
    <row r="8" spans="1:5" s="3" customFormat="1" ht="20.100000000000001" customHeight="1">
      <c r="A8" s="587"/>
      <c r="B8" s="588"/>
      <c r="C8" s="589"/>
      <c r="D8" s="591"/>
      <c r="E8" s="590"/>
    </row>
    <row r="9" spans="1:5" s="3" customFormat="1" ht="20.100000000000001" customHeight="1">
      <c r="A9" s="591"/>
      <c r="B9" s="10"/>
      <c r="C9" s="589"/>
      <c r="D9" s="818"/>
      <c r="E9" s="590"/>
    </row>
    <row r="10" spans="1:5" s="3" customFormat="1" ht="20.100000000000001" customHeight="1">
      <c r="A10" s="604" t="s">
        <v>9</v>
      </c>
      <c r="B10" s="12"/>
      <c r="C10" s="13" t="s">
        <v>10</v>
      </c>
      <c r="D10" s="13"/>
      <c r="E10" s="11" t="s">
        <v>10</v>
      </c>
    </row>
    <row r="11" spans="1:5" s="3" customFormat="1" ht="20.100000000000001" customHeight="1">
      <c r="A11" s="604"/>
      <c r="B11" s="12"/>
      <c r="C11" s="12"/>
      <c r="D11" s="13"/>
      <c r="E11" s="12"/>
    </row>
    <row r="12" spans="1:5" ht="20.100000000000001" customHeight="1">
      <c r="A12" s="14"/>
      <c r="B12" s="14"/>
      <c r="C12" s="14"/>
      <c r="D12" s="15"/>
      <c r="E12" s="14"/>
    </row>
    <row r="13" spans="1:5" ht="20.100000000000001" customHeight="1">
      <c r="A13" s="605" t="s">
        <v>10</v>
      </c>
      <c r="B13" s="14"/>
      <c r="C13" s="14"/>
      <c r="D13" s="15"/>
      <c r="E13" s="14"/>
    </row>
    <row r="14" spans="1:5" ht="20.100000000000001" customHeight="1">
      <c r="A14" s="605"/>
      <c r="B14" s="14"/>
      <c r="C14" s="14"/>
      <c r="D14" s="14"/>
      <c r="E14" s="14"/>
    </row>
    <row r="15" spans="1:5" ht="20.100000000000001" customHeight="1">
      <c r="A15" s="605"/>
      <c r="B15" s="14"/>
      <c r="C15" s="14"/>
      <c r="D15" s="14"/>
      <c r="E15" s="14"/>
    </row>
    <row r="16" spans="1:5" ht="20.100000000000001" customHeight="1">
      <c r="A16" s="605"/>
      <c r="B16" s="14"/>
      <c r="C16" s="14"/>
      <c r="D16" s="14"/>
      <c r="E16" s="14"/>
    </row>
    <row r="17" spans="1:6" ht="15" customHeight="1">
      <c r="A17" s="8"/>
      <c r="B17" s="2"/>
      <c r="C17" s="2"/>
      <c r="D17" s="2"/>
      <c r="E17" s="2"/>
    </row>
    <row r="18" spans="1:6" ht="15" customHeight="1">
      <c r="A18" s="492"/>
      <c r="B18" s="182"/>
      <c r="C18" s="182"/>
      <c r="D18" s="182"/>
      <c r="E18" s="182"/>
      <c r="F18" s="185"/>
    </row>
    <row r="19" spans="1:6" ht="19.5" customHeight="1">
      <c r="A19" s="492"/>
      <c r="B19" s="182"/>
      <c r="C19" s="182"/>
      <c r="D19" s="182"/>
      <c r="E19" s="182"/>
      <c r="F19" s="185"/>
    </row>
    <row r="20" spans="1:6" ht="17.100000000000001" customHeight="1">
      <c r="A20" s="4"/>
      <c r="C20" s="3"/>
      <c r="D20" s="3"/>
      <c r="E20" s="3"/>
    </row>
    <row r="21" spans="1:6" ht="17.100000000000001" customHeight="1">
      <c r="C21" s="3"/>
      <c r="D21" s="3"/>
      <c r="E21" s="3"/>
    </row>
    <row r="22" spans="1:6" ht="17.100000000000001" customHeight="1">
      <c r="C22" s="3"/>
      <c r="D22" s="3"/>
      <c r="E22" s="3"/>
    </row>
    <row r="23" spans="1:6" ht="17.100000000000001" customHeight="1">
      <c r="C23" s="3"/>
      <c r="D23" s="3"/>
      <c r="E23" s="3"/>
    </row>
    <row r="24" spans="1:6" ht="17.100000000000001" customHeight="1">
      <c r="C24" s="3"/>
      <c r="D24" s="3"/>
      <c r="E24" s="3"/>
    </row>
    <row r="25" spans="1:6" ht="17.100000000000001" customHeight="1">
      <c r="C25" s="3"/>
      <c r="D25" s="3"/>
      <c r="E25" s="3"/>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sheetPr>
  <dimension ref="A1:H96"/>
  <sheetViews>
    <sheetView showGridLines="0" zoomScale="80" zoomScaleNormal="80" zoomScalePageLayoutView="80" workbookViewId="0"/>
  </sheetViews>
  <sheetFormatPr defaultColWidth="9.140625" defaultRowHeight="23.25"/>
  <cols>
    <col min="1" max="1" width="47.7109375" style="69" customWidth="1"/>
    <col min="2" max="2" width="20.7109375" style="69" customWidth="1"/>
    <col min="3" max="4" width="17.42578125" style="69" customWidth="1"/>
    <col min="5" max="5" width="19.85546875" style="69" customWidth="1"/>
    <col min="6" max="6" width="7.42578125" style="69" customWidth="1"/>
    <col min="7" max="16384" width="9.140625" style="69"/>
  </cols>
  <sheetData>
    <row r="1" spans="1:8" ht="24" customHeight="1">
      <c r="A1" s="284"/>
      <c r="B1" s="284"/>
      <c r="C1" s="284"/>
      <c r="D1" s="284"/>
      <c r="E1" s="334" t="s">
        <v>572</v>
      </c>
      <c r="F1" s="284"/>
    </row>
    <row r="2" spans="1:8" ht="24" customHeight="1">
      <c r="A2" s="284"/>
      <c r="B2" s="284"/>
      <c r="C2" s="284"/>
      <c r="D2" s="284"/>
      <c r="E2" s="335"/>
      <c r="F2" s="284"/>
    </row>
    <row r="3" spans="1:8" ht="24" customHeight="1" thickBot="1">
      <c r="A3" s="925" t="s">
        <v>172</v>
      </c>
      <c r="B3" s="914" t="str">
        <f>'CHECK SHEET'!D7</f>
        <v>Tallahassee State College</v>
      </c>
      <c r="C3" s="914"/>
      <c r="D3" s="914"/>
      <c r="E3" s="914"/>
      <c r="F3" s="283"/>
      <c r="G3" s="331"/>
    </row>
    <row r="4" spans="1:8" ht="24" customHeight="1">
      <c r="A4" s="911" t="s">
        <v>573</v>
      </c>
      <c r="B4" s="911"/>
      <c r="C4" s="911"/>
      <c r="D4" s="911"/>
      <c r="E4" s="911"/>
      <c r="F4" s="283"/>
    </row>
    <row r="5" spans="1:8" ht="24" customHeight="1">
      <c r="A5" s="911" t="s">
        <v>574</v>
      </c>
      <c r="B5" s="911"/>
      <c r="C5" s="911"/>
      <c r="D5" s="911"/>
      <c r="E5" s="911"/>
      <c r="F5" s="283"/>
    </row>
    <row r="6" spans="1:8" ht="24" customHeight="1">
      <c r="A6" s="911" t="s">
        <v>729</v>
      </c>
      <c r="B6" s="911"/>
      <c r="C6" s="911"/>
      <c r="D6" s="911"/>
      <c r="E6" s="911"/>
      <c r="F6" s="283"/>
    </row>
    <row r="7" spans="1:8" ht="20.100000000000001" customHeight="1">
      <c r="A7" s="840"/>
      <c r="B7" s="840"/>
      <c r="C7" s="840"/>
      <c r="D7" s="916"/>
      <c r="E7" s="916"/>
    </row>
    <row r="8" spans="1:8" ht="24" customHeight="1" thickBot="1">
      <c r="A8" s="867" t="s">
        <v>575</v>
      </c>
      <c r="B8" s="867"/>
      <c r="C8" s="867"/>
      <c r="H8" s="332"/>
    </row>
    <row r="9" spans="1:8" s="17" customFormat="1" ht="64.349999999999994" customHeight="1" thickBot="1">
      <c r="A9" s="286" t="s">
        <v>576</v>
      </c>
      <c r="B9" s="841" t="s">
        <v>577</v>
      </c>
      <c r="C9" s="305" t="s">
        <v>578</v>
      </c>
      <c r="D9" s="305" t="s">
        <v>579</v>
      </c>
      <c r="E9" s="354" t="s">
        <v>49</v>
      </c>
      <c r="F9" s="31"/>
      <c r="H9" s="352"/>
    </row>
    <row r="10" spans="1:8" s="17" customFormat="1" ht="20.100000000000001" customHeight="1">
      <c r="A10" s="368" t="s">
        <v>580</v>
      </c>
      <c r="B10" s="449">
        <v>32555412</v>
      </c>
      <c r="C10" s="450">
        <v>7435075</v>
      </c>
      <c r="D10" s="450">
        <v>0</v>
      </c>
      <c r="E10" s="369">
        <f>SUM(B10:D10)</f>
        <v>39990487</v>
      </c>
      <c r="F10" s="352"/>
      <c r="G10" s="352"/>
    </row>
    <row r="11" spans="1:8" s="17" customFormat="1" ht="20.100000000000001" customHeight="1">
      <c r="A11" s="368" t="s">
        <v>581</v>
      </c>
      <c r="B11" s="451">
        <v>0</v>
      </c>
      <c r="C11" s="440">
        <v>0</v>
      </c>
      <c r="D11" s="440">
        <v>0</v>
      </c>
      <c r="E11" s="369">
        <f>SUM(B11:D11)</f>
        <v>0</v>
      </c>
      <c r="F11" s="352"/>
      <c r="G11" s="352"/>
      <c r="H11" s="352"/>
    </row>
    <row r="12" spans="1:8" s="17" customFormat="1" ht="20.100000000000001" customHeight="1" thickBot="1">
      <c r="A12" s="368" t="s">
        <v>582</v>
      </c>
      <c r="B12" s="451">
        <v>0</v>
      </c>
      <c r="C12" s="440">
        <v>0</v>
      </c>
      <c r="D12" s="440">
        <v>0</v>
      </c>
      <c r="E12" s="370">
        <f>SUM(B12:D12)</f>
        <v>0</v>
      </c>
      <c r="F12" s="352"/>
    </row>
    <row r="13" spans="1:8" s="17" customFormat="1" ht="20.100000000000001" customHeight="1" thickBot="1">
      <c r="A13" s="368" t="s">
        <v>583</v>
      </c>
      <c r="B13" s="371"/>
      <c r="C13" s="372"/>
      <c r="D13" s="372"/>
      <c r="E13" s="373"/>
      <c r="F13" s="352"/>
    </row>
    <row r="14" spans="1:8" s="17" customFormat="1" ht="20.100000000000001" customHeight="1">
      <c r="A14" s="368" t="s">
        <v>584</v>
      </c>
      <c r="B14" s="451">
        <v>3535824</v>
      </c>
      <c r="C14" s="452">
        <v>750000</v>
      </c>
      <c r="D14" s="452">
        <v>150000</v>
      </c>
      <c r="E14" s="370">
        <f t="shared" ref="E14:E20" si="0">SUM(B14:D14)</f>
        <v>4435824</v>
      </c>
      <c r="F14" s="352"/>
    </row>
    <row r="15" spans="1:8" s="17" customFormat="1" ht="20.100000000000001" customHeight="1">
      <c r="A15" s="368" t="s">
        <v>585</v>
      </c>
      <c r="B15" s="451">
        <v>750000</v>
      </c>
      <c r="C15" s="440">
        <v>0</v>
      </c>
      <c r="D15" s="440">
        <v>0</v>
      </c>
      <c r="E15" s="370">
        <f>SUM(B15:D15)</f>
        <v>750000</v>
      </c>
      <c r="F15" s="352"/>
    </row>
    <row r="16" spans="1:8" s="17" customFormat="1" ht="20.100000000000001" customHeight="1">
      <c r="A16" s="368" t="s">
        <v>586</v>
      </c>
      <c r="B16" s="451">
        <v>8044588</v>
      </c>
      <c r="C16" s="440">
        <v>755737</v>
      </c>
      <c r="D16" s="440">
        <v>150000</v>
      </c>
      <c r="E16" s="370">
        <f t="shared" si="0"/>
        <v>8950325</v>
      </c>
      <c r="F16" s="352"/>
    </row>
    <row r="17" spans="1:6" s="17" customFormat="1" ht="20.100000000000001" customHeight="1">
      <c r="A17" s="368" t="s">
        <v>587</v>
      </c>
      <c r="B17" s="451">
        <v>8759176</v>
      </c>
      <c r="C17" s="440">
        <v>5494263</v>
      </c>
      <c r="D17" s="440">
        <v>1700000</v>
      </c>
      <c r="E17" s="370">
        <f t="shared" si="0"/>
        <v>15953439</v>
      </c>
      <c r="F17" s="352"/>
    </row>
    <row r="18" spans="1:6" s="17" customFormat="1" ht="20.100000000000001" customHeight="1">
      <c r="A18" s="368" t="s">
        <v>588</v>
      </c>
      <c r="B18" s="451">
        <v>4773701</v>
      </c>
      <c r="C18" s="440">
        <v>2564925</v>
      </c>
      <c r="D18" s="440">
        <v>0</v>
      </c>
      <c r="E18" s="370">
        <f t="shared" si="0"/>
        <v>7338626</v>
      </c>
      <c r="F18" s="352"/>
    </row>
    <row r="19" spans="1:6" s="17" customFormat="1" ht="20.100000000000001" customHeight="1">
      <c r="A19" s="368" t="s">
        <v>589</v>
      </c>
      <c r="B19" s="451">
        <v>0</v>
      </c>
      <c r="C19" s="440">
        <v>0</v>
      </c>
      <c r="D19" s="440">
        <v>0</v>
      </c>
      <c r="E19" s="370">
        <f t="shared" si="0"/>
        <v>0</v>
      </c>
      <c r="F19" s="352"/>
    </row>
    <row r="20" spans="1:6" s="17" customFormat="1" ht="20.100000000000001" customHeight="1" thickBot="1">
      <c r="A20" s="368" t="s">
        <v>590</v>
      </c>
      <c r="B20" s="451">
        <v>0</v>
      </c>
      <c r="C20" s="441">
        <v>0</v>
      </c>
      <c r="D20" s="441">
        <v>0</v>
      </c>
      <c r="E20" s="370">
        <f t="shared" si="0"/>
        <v>0</v>
      </c>
      <c r="F20" s="352"/>
    </row>
    <row r="21" spans="1:6" s="17" customFormat="1" ht="24" customHeight="1" thickBot="1">
      <c r="A21" s="293" t="s">
        <v>49</v>
      </c>
      <c r="B21" s="353">
        <f>SUM(B10:B20)</f>
        <v>58418701</v>
      </c>
      <c r="C21" s="356">
        <f>SUM(C10:C20)</f>
        <v>17000000</v>
      </c>
      <c r="D21" s="356">
        <f>SUM(D10:D20)</f>
        <v>2000000</v>
      </c>
      <c r="E21" s="355">
        <f>SUM(E10:E20)</f>
        <v>77418701</v>
      </c>
      <c r="F21" s="352"/>
    </row>
    <row r="22" spans="1:6" ht="24" customHeight="1">
      <c r="B22" s="333"/>
      <c r="F22" s="332"/>
    </row>
    <row r="23" spans="1:6" ht="24" customHeight="1">
      <c r="F23" s="332"/>
    </row>
    <row r="24" spans="1:6">
      <c r="F24" s="332"/>
    </row>
    <row r="25" spans="1:6">
      <c r="F25" s="332"/>
    </row>
    <row r="96" spans="3:4">
      <c r="C96" s="69">
        <f>SUM(C91:C95)</f>
        <v>0</v>
      </c>
      <c r="D96" s="69">
        <f>SUM(D91:D95)</f>
        <v>0</v>
      </c>
    </row>
  </sheetData>
  <sheetProtection algorithmName="SHA-512" hashValue="6BZsFa3G0ahsM9xFhFriwmkZxQ8HRX1j8qqprEaoV7SeI+15kPusF2w2mj70skahORKp93rTJvG2+5asQgmG9A==" saltValue="FSeqVrLupxncCfFAPnMwCw=="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1" customHeight="1">
      <c r="A1" s="490" t="s">
        <v>591</v>
      </c>
      <c r="B1" s="489"/>
      <c r="C1" s="489"/>
      <c r="D1" s="489"/>
      <c r="E1" s="489"/>
      <c r="F1" s="489"/>
      <c r="G1" s="489"/>
    </row>
    <row r="2" spans="1:7" ht="26.25">
      <c r="A2" s="480" t="s">
        <v>592</v>
      </c>
      <c r="B2" s="489"/>
    </row>
    <row r="3" spans="1:7" ht="26.1" customHeight="1">
      <c r="A3" s="479" t="s">
        <v>593</v>
      </c>
      <c r="B3" s="49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38917" r:id="rId4">
          <objectPr defaultSize="0" r:id="rId5">
            <anchor moveWithCells="1">
              <from>
                <xdr:col>0</xdr:col>
                <xdr:colOff>0</xdr:colOff>
                <xdr:row>7</xdr:row>
                <xdr:rowOff>0</xdr:rowOff>
              </from>
              <to>
                <xdr:col>1</xdr:col>
                <xdr:colOff>581025</xdr:colOff>
                <xdr:row>53</xdr:row>
                <xdr:rowOff>95250</xdr:rowOff>
              </to>
            </anchor>
          </objectPr>
        </oleObject>
      </mc:Choice>
      <mc:Fallback>
        <oleObject progId="Acrobat Document" shapeId="38917"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HP1184"/>
  <sheetViews>
    <sheetView showGridLines="0" zoomScale="60" zoomScaleNormal="60" zoomScaleSheetLayoutView="50" zoomScalePageLayoutView="60" workbookViewId="0"/>
  </sheetViews>
  <sheetFormatPr defaultColWidth="12.42578125" defaultRowHeight="15.75"/>
  <cols>
    <col min="1" max="1" width="26.42578125" style="177" customWidth="1"/>
    <col min="2" max="2" width="94.28515625" style="177" customWidth="1"/>
    <col min="3" max="3" width="66.85546875" style="177" customWidth="1"/>
    <col min="4" max="5" width="25.85546875" style="253" customWidth="1"/>
    <col min="6" max="6" width="33.7109375" style="253" customWidth="1"/>
    <col min="7" max="7" width="3.140625" style="177" customWidth="1"/>
    <col min="8" max="16384" width="12.42578125" style="177"/>
  </cols>
  <sheetData>
    <row r="1" spans="1:224" ht="30" customHeight="1" thickBot="1">
      <c r="A1" s="911" t="s">
        <v>172</v>
      </c>
      <c r="B1" s="929" t="str">
        <f>'CHECK SHEET'!D7</f>
        <v>Tallahassee State College</v>
      </c>
      <c r="C1" s="929"/>
      <c r="D1" s="929"/>
      <c r="E1" s="929"/>
      <c r="F1" s="929"/>
      <c r="G1" s="223"/>
      <c r="H1" s="224"/>
      <c r="I1" s="224"/>
      <c r="J1" s="224"/>
      <c r="K1" s="224"/>
      <c r="L1" s="224"/>
      <c r="M1" s="224"/>
      <c r="N1" s="224"/>
      <c r="O1" s="224"/>
      <c r="P1" s="224"/>
      <c r="Q1" s="224"/>
      <c r="R1" s="224"/>
      <c r="S1" s="224"/>
      <c r="T1" s="224"/>
      <c r="U1" s="224"/>
      <c r="V1" s="224"/>
      <c r="W1" s="224"/>
      <c r="X1" s="224"/>
      <c r="Y1" s="224"/>
      <c r="Z1" s="224"/>
      <c r="AA1" s="224"/>
      <c r="AB1" s="224"/>
      <c r="AC1" s="224"/>
      <c r="AD1" s="224"/>
      <c r="AE1" s="224"/>
      <c r="AF1" s="224"/>
      <c r="AG1" s="224"/>
      <c r="AH1" s="224"/>
      <c r="AI1" s="224"/>
      <c r="AJ1" s="224"/>
      <c r="AK1" s="224"/>
      <c r="AL1" s="224"/>
      <c r="AM1" s="224"/>
      <c r="AN1" s="224"/>
      <c r="AO1" s="224"/>
      <c r="AP1" s="224"/>
      <c r="AQ1" s="224"/>
      <c r="AR1" s="224"/>
      <c r="AS1" s="224"/>
      <c r="AT1" s="224"/>
      <c r="AU1" s="224"/>
      <c r="AV1" s="224"/>
      <c r="AW1" s="224"/>
      <c r="AX1" s="224"/>
      <c r="AY1" s="224"/>
      <c r="AZ1" s="224"/>
      <c r="BA1" s="224"/>
      <c r="BB1" s="224"/>
      <c r="BC1" s="224"/>
      <c r="BD1" s="224"/>
      <c r="BE1" s="224"/>
      <c r="BF1" s="224"/>
      <c r="BG1" s="224"/>
      <c r="BH1" s="224"/>
      <c r="BI1" s="224"/>
      <c r="BJ1" s="224"/>
      <c r="BK1" s="224"/>
      <c r="BL1" s="224"/>
      <c r="BM1" s="224"/>
      <c r="BN1" s="224"/>
      <c r="BO1" s="224"/>
      <c r="BP1" s="224"/>
      <c r="BQ1" s="224"/>
      <c r="BR1" s="224"/>
      <c r="BS1" s="224"/>
      <c r="BT1" s="224"/>
      <c r="BU1" s="224"/>
      <c r="BV1" s="224"/>
      <c r="BW1" s="224"/>
      <c r="BX1" s="224"/>
      <c r="BY1" s="224"/>
      <c r="BZ1" s="224"/>
      <c r="CA1" s="224"/>
      <c r="CB1" s="224"/>
      <c r="CC1" s="224"/>
      <c r="CD1" s="224"/>
      <c r="CE1" s="224"/>
      <c r="CF1" s="224"/>
      <c r="CG1" s="224"/>
      <c r="CH1" s="224"/>
      <c r="CI1" s="224"/>
      <c r="CJ1" s="224"/>
      <c r="CK1" s="224"/>
      <c r="CL1" s="224"/>
      <c r="CM1" s="224"/>
      <c r="CN1" s="224"/>
      <c r="CO1" s="224"/>
      <c r="CP1" s="224"/>
      <c r="CQ1" s="224"/>
      <c r="CR1" s="224"/>
      <c r="CS1" s="224"/>
      <c r="CT1" s="224"/>
      <c r="CU1" s="224"/>
      <c r="CV1" s="224"/>
      <c r="CW1" s="224"/>
      <c r="CX1" s="224"/>
      <c r="CY1" s="224"/>
      <c r="CZ1" s="224"/>
      <c r="DA1" s="224"/>
      <c r="DB1" s="224"/>
      <c r="DC1" s="224"/>
      <c r="DD1" s="224"/>
      <c r="DE1" s="224"/>
      <c r="DF1" s="224"/>
      <c r="DG1" s="224"/>
      <c r="DH1" s="224"/>
      <c r="DI1" s="224"/>
      <c r="DJ1" s="224"/>
      <c r="DK1" s="224"/>
      <c r="DL1" s="224"/>
      <c r="DM1" s="224"/>
      <c r="DN1" s="224"/>
      <c r="DO1" s="224"/>
      <c r="DP1" s="224"/>
      <c r="DQ1" s="224"/>
      <c r="DR1" s="224"/>
      <c r="DS1" s="224"/>
      <c r="DT1" s="224"/>
      <c r="DU1" s="224"/>
      <c r="DV1" s="224"/>
      <c r="DW1" s="224"/>
      <c r="DX1" s="224"/>
      <c r="DY1" s="224"/>
      <c r="DZ1" s="224"/>
      <c r="EA1" s="224"/>
      <c r="EB1" s="224"/>
      <c r="EC1" s="224"/>
      <c r="ED1" s="224"/>
      <c r="EE1" s="224"/>
      <c r="EF1" s="224"/>
      <c r="EG1" s="224"/>
      <c r="EH1" s="224"/>
      <c r="EI1" s="224"/>
      <c r="EJ1" s="224"/>
      <c r="EK1" s="224"/>
      <c r="EL1" s="224"/>
      <c r="EM1" s="224"/>
      <c r="EN1" s="224"/>
      <c r="EO1" s="224"/>
      <c r="EP1" s="224"/>
      <c r="EQ1" s="224"/>
      <c r="ER1" s="224"/>
      <c r="ES1" s="224"/>
      <c r="ET1" s="224"/>
      <c r="EU1" s="224"/>
      <c r="EV1" s="224"/>
      <c r="EW1" s="224"/>
      <c r="EX1" s="224"/>
      <c r="EY1" s="224"/>
      <c r="EZ1" s="224"/>
      <c r="FA1" s="224"/>
      <c r="FB1" s="224"/>
      <c r="FC1" s="224"/>
      <c r="FD1" s="224"/>
      <c r="FE1" s="224"/>
      <c r="FF1" s="224"/>
      <c r="FG1" s="224"/>
      <c r="FH1" s="224"/>
      <c r="FI1" s="224"/>
      <c r="FJ1" s="224"/>
      <c r="FK1" s="224"/>
      <c r="FL1" s="224"/>
      <c r="FM1" s="224"/>
      <c r="FN1" s="224"/>
      <c r="FO1" s="224"/>
      <c r="FP1" s="224"/>
      <c r="FQ1" s="224"/>
      <c r="FR1" s="224"/>
      <c r="FS1" s="224"/>
      <c r="FT1" s="224"/>
      <c r="FU1" s="224"/>
      <c r="FV1" s="224"/>
      <c r="FW1" s="224"/>
      <c r="FX1" s="224"/>
      <c r="FY1" s="224"/>
      <c r="FZ1" s="224"/>
      <c r="GA1" s="224"/>
      <c r="GB1" s="224"/>
      <c r="GC1" s="224"/>
      <c r="GD1" s="224"/>
      <c r="GE1" s="224"/>
      <c r="GF1" s="224"/>
      <c r="GG1" s="224"/>
      <c r="GH1" s="224"/>
      <c r="GI1" s="224"/>
      <c r="GJ1" s="224"/>
      <c r="GK1" s="224"/>
      <c r="GL1" s="224"/>
      <c r="GM1" s="224"/>
      <c r="GN1" s="224"/>
      <c r="GO1" s="224"/>
      <c r="GP1" s="224"/>
      <c r="GQ1" s="224"/>
      <c r="GR1" s="224"/>
      <c r="GS1" s="224"/>
      <c r="GT1" s="224"/>
      <c r="GU1" s="224"/>
      <c r="GV1" s="224"/>
      <c r="GW1" s="224"/>
      <c r="GX1" s="224"/>
      <c r="GY1" s="224"/>
      <c r="GZ1" s="224"/>
      <c r="HA1" s="224"/>
      <c r="HB1" s="224"/>
      <c r="HC1" s="224"/>
      <c r="HD1" s="224"/>
      <c r="HE1" s="224"/>
      <c r="HF1" s="224"/>
      <c r="HG1" s="224"/>
      <c r="HH1" s="224"/>
      <c r="HI1" s="224"/>
      <c r="HJ1" s="224"/>
      <c r="HK1" s="224"/>
      <c r="HL1" s="224"/>
      <c r="HM1" s="224"/>
      <c r="HN1" s="224"/>
      <c r="HO1" s="224"/>
      <c r="HP1" s="224"/>
    </row>
    <row r="2" spans="1:224" ht="30" customHeight="1">
      <c r="A2" s="930" t="s">
        <v>594</v>
      </c>
      <c r="B2" s="930"/>
      <c r="C2" s="930"/>
      <c r="D2" s="930"/>
      <c r="E2" s="930"/>
      <c r="F2" s="930"/>
      <c r="G2" s="225"/>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c r="AM2" s="224"/>
      <c r="AN2" s="224"/>
      <c r="AO2" s="224"/>
      <c r="AP2" s="224"/>
      <c r="AQ2" s="224"/>
      <c r="AR2" s="224"/>
      <c r="AS2" s="224"/>
      <c r="AT2" s="224"/>
      <c r="AU2" s="224"/>
      <c r="AV2" s="224"/>
      <c r="AW2" s="224"/>
      <c r="AX2" s="224"/>
      <c r="AY2" s="224"/>
      <c r="AZ2" s="224"/>
      <c r="BA2" s="224"/>
      <c r="BB2" s="224"/>
      <c r="BC2" s="224"/>
      <c r="BD2" s="224"/>
      <c r="BE2" s="224"/>
      <c r="BF2" s="224"/>
      <c r="BG2" s="224"/>
      <c r="BH2" s="224"/>
      <c r="BI2" s="224"/>
      <c r="BJ2" s="224"/>
      <c r="BK2" s="224"/>
      <c r="BL2" s="224"/>
      <c r="BM2" s="224"/>
      <c r="BN2" s="224"/>
      <c r="BO2" s="224"/>
      <c r="BP2" s="224"/>
      <c r="BQ2" s="224"/>
      <c r="BR2" s="224"/>
      <c r="BS2" s="224"/>
      <c r="BT2" s="224"/>
      <c r="BU2" s="224"/>
      <c r="BV2" s="224"/>
      <c r="BW2" s="224"/>
      <c r="BX2" s="224"/>
      <c r="BY2" s="224"/>
      <c r="BZ2" s="224"/>
      <c r="CA2" s="224"/>
      <c r="CB2" s="224"/>
      <c r="CC2" s="224"/>
      <c r="CD2" s="224"/>
      <c r="CE2" s="224"/>
      <c r="CF2" s="224"/>
      <c r="CG2" s="224"/>
      <c r="CH2" s="224"/>
      <c r="CI2" s="224"/>
      <c r="CJ2" s="224"/>
      <c r="CK2" s="224"/>
      <c r="CL2" s="224"/>
      <c r="CM2" s="224"/>
      <c r="CN2" s="224"/>
      <c r="CO2" s="224"/>
      <c r="CP2" s="224"/>
      <c r="CQ2" s="224"/>
      <c r="CR2" s="224"/>
      <c r="CS2" s="224"/>
      <c r="CT2" s="224"/>
      <c r="CU2" s="224"/>
      <c r="CV2" s="224"/>
      <c r="CW2" s="224"/>
      <c r="CX2" s="224"/>
      <c r="CY2" s="224"/>
      <c r="CZ2" s="224"/>
      <c r="DA2" s="224"/>
      <c r="DB2" s="224"/>
      <c r="DC2" s="224"/>
      <c r="DD2" s="224"/>
      <c r="DE2" s="224"/>
      <c r="DF2" s="224"/>
      <c r="DG2" s="224"/>
      <c r="DH2" s="224"/>
      <c r="DI2" s="224"/>
      <c r="DJ2" s="224"/>
      <c r="DK2" s="224"/>
      <c r="DL2" s="224"/>
      <c r="DM2" s="224"/>
      <c r="DN2" s="224"/>
      <c r="DO2" s="224"/>
      <c r="DP2" s="224"/>
      <c r="DQ2" s="224"/>
      <c r="DR2" s="224"/>
      <c r="DS2" s="224"/>
      <c r="DT2" s="224"/>
      <c r="DU2" s="224"/>
      <c r="DV2" s="224"/>
      <c r="DW2" s="224"/>
      <c r="DX2" s="224"/>
      <c r="DY2" s="224"/>
      <c r="DZ2" s="224"/>
      <c r="EA2" s="224"/>
      <c r="EB2" s="224"/>
      <c r="EC2" s="224"/>
      <c r="ED2" s="224"/>
      <c r="EE2" s="224"/>
      <c r="EF2" s="224"/>
      <c r="EG2" s="224"/>
      <c r="EH2" s="224"/>
      <c r="EI2" s="224"/>
      <c r="EJ2" s="224"/>
      <c r="EK2" s="224"/>
      <c r="EL2" s="224"/>
      <c r="EM2" s="224"/>
      <c r="EN2" s="224"/>
      <c r="EO2" s="224"/>
      <c r="EP2" s="224"/>
      <c r="EQ2" s="224"/>
      <c r="ER2" s="224"/>
      <c r="ES2" s="224"/>
      <c r="ET2" s="224"/>
      <c r="EU2" s="224"/>
      <c r="EV2" s="224"/>
      <c r="EW2" s="224"/>
      <c r="EX2" s="224"/>
      <c r="EY2" s="224"/>
      <c r="EZ2" s="224"/>
      <c r="FA2" s="224"/>
      <c r="FB2" s="224"/>
      <c r="FC2" s="224"/>
      <c r="FD2" s="224"/>
      <c r="FE2" s="224"/>
      <c r="FF2" s="224"/>
      <c r="FG2" s="224"/>
      <c r="FH2" s="224"/>
      <c r="FI2" s="224"/>
      <c r="FJ2" s="224"/>
      <c r="FK2" s="224"/>
      <c r="FL2" s="224"/>
      <c r="FM2" s="224"/>
      <c r="FN2" s="224"/>
      <c r="FO2" s="224"/>
      <c r="FP2" s="224"/>
      <c r="FQ2" s="224"/>
      <c r="FR2" s="224"/>
      <c r="FS2" s="224"/>
      <c r="FT2" s="224"/>
      <c r="FU2" s="224"/>
      <c r="FV2" s="224"/>
      <c r="FW2" s="224"/>
      <c r="FX2" s="224"/>
      <c r="FY2" s="224"/>
      <c r="FZ2" s="224"/>
      <c r="GA2" s="224"/>
      <c r="GB2" s="224"/>
      <c r="GC2" s="224"/>
      <c r="GD2" s="224"/>
      <c r="GE2" s="224"/>
      <c r="GF2" s="224"/>
      <c r="GG2" s="224"/>
      <c r="GH2" s="224"/>
      <c r="GI2" s="224"/>
      <c r="GJ2" s="224"/>
      <c r="GK2" s="224"/>
      <c r="GL2" s="224"/>
      <c r="GM2" s="224"/>
      <c r="GN2" s="224"/>
      <c r="GO2" s="224"/>
      <c r="GP2" s="224"/>
      <c r="GQ2" s="224"/>
      <c r="GR2" s="224"/>
      <c r="GS2" s="224"/>
      <c r="GT2" s="224"/>
      <c r="GU2" s="224"/>
      <c r="GV2" s="224"/>
      <c r="GW2" s="224"/>
      <c r="GX2" s="224"/>
      <c r="GY2" s="224"/>
      <c r="GZ2" s="224"/>
      <c r="HA2" s="224"/>
      <c r="HB2" s="224"/>
      <c r="HC2" s="224"/>
      <c r="HD2" s="224"/>
      <c r="HE2" s="224"/>
      <c r="HF2" s="224"/>
      <c r="HG2" s="224"/>
      <c r="HH2" s="224"/>
      <c r="HI2" s="224"/>
      <c r="HJ2" s="224"/>
      <c r="HK2" s="224"/>
      <c r="HL2" s="224"/>
      <c r="HM2" s="224"/>
      <c r="HN2" s="224"/>
      <c r="HO2" s="224"/>
      <c r="HP2" s="224"/>
    </row>
    <row r="3" spans="1:224" s="226" customFormat="1" ht="30" customHeight="1">
      <c r="A3" s="911" t="s">
        <v>595</v>
      </c>
      <c r="B3" s="911"/>
      <c r="C3" s="911"/>
      <c r="D3" s="911"/>
      <c r="E3" s="911"/>
      <c r="F3" s="911"/>
    </row>
    <row r="4" spans="1:224" ht="30" customHeight="1">
      <c r="A4" s="930" t="s">
        <v>729</v>
      </c>
      <c r="B4" s="930"/>
      <c r="C4" s="930"/>
      <c r="D4" s="930"/>
      <c r="E4" s="930"/>
      <c r="F4" s="930"/>
      <c r="H4" s="224"/>
      <c r="I4" s="224"/>
      <c r="J4" s="224"/>
      <c r="K4" s="224"/>
      <c r="L4" s="224"/>
      <c r="M4" s="224"/>
      <c r="N4" s="224"/>
      <c r="O4" s="224"/>
      <c r="P4" s="224"/>
      <c r="Q4" s="224"/>
      <c r="R4" s="224"/>
      <c r="S4" s="224"/>
      <c r="T4" s="224"/>
      <c r="U4" s="224"/>
      <c r="V4" s="224"/>
      <c r="W4" s="224"/>
      <c r="X4" s="224"/>
      <c r="Y4" s="224"/>
      <c r="Z4" s="224"/>
      <c r="AA4" s="224"/>
      <c r="AB4" s="224"/>
      <c r="AC4" s="224"/>
      <c r="AD4" s="224"/>
      <c r="AE4" s="224"/>
      <c r="AF4" s="224"/>
      <c r="AG4" s="224"/>
      <c r="AH4" s="224"/>
      <c r="AI4" s="224"/>
      <c r="AJ4" s="224"/>
      <c r="AK4" s="224"/>
      <c r="AL4" s="224"/>
      <c r="AM4" s="224"/>
      <c r="AN4" s="224"/>
      <c r="AO4" s="224"/>
      <c r="AP4" s="224"/>
      <c r="AQ4" s="224"/>
      <c r="AR4" s="224"/>
      <c r="AS4" s="224"/>
      <c r="AT4" s="224"/>
      <c r="AU4" s="224"/>
      <c r="AV4" s="224"/>
      <c r="AW4" s="224"/>
      <c r="AX4" s="224"/>
      <c r="AY4" s="224"/>
      <c r="AZ4" s="224"/>
      <c r="BA4" s="224"/>
      <c r="BB4" s="224"/>
      <c r="BC4" s="224"/>
      <c r="BD4" s="224"/>
      <c r="BE4" s="224"/>
      <c r="BF4" s="224"/>
      <c r="BG4" s="224"/>
      <c r="BH4" s="224"/>
      <c r="BI4" s="224"/>
      <c r="BJ4" s="224"/>
      <c r="BK4" s="224"/>
      <c r="BL4" s="224"/>
      <c r="BM4" s="224"/>
      <c r="BN4" s="224"/>
      <c r="BO4" s="224"/>
      <c r="BP4" s="224"/>
      <c r="BQ4" s="224"/>
      <c r="BR4" s="224"/>
      <c r="BS4" s="224"/>
      <c r="BT4" s="224"/>
      <c r="BU4" s="224"/>
      <c r="BV4" s="224"/>
      <c r="BW4" s="224"/>
      <c r="BX4" s="224"/>
      <c r="BY4" s="224"/>
      <c r="BZ4" s="224"/>
      <c r="CA4" s="224"/>
      <c r="CB4" s="224"/>
      <c r="CC4" s="224"/>
      <c r="CD4" s="224"/>
      <c r="CE4" s="224"/>
      <c r="CF4" s="224"/>
      <c r="CG4" s="224"/>
      <c r="CH4" s="224"/>
      <c r="CI4" s="224"/>
      <c r="CJ4" s="224"/>
      <c r="CK4" s="224"/>
      <c r="CL4" s="224"/>
      <c r="CM4" s="224"/>
      <c r="CN4" s="224"/>
      <c r="CO4" s="224"/>
      <c r="CP4" s="224"/>
      <c r="CQ4" s="224"/>
      <c r="CR4" s="224"/>
      <c r="CS4" s="224"/>
      <c r="CT4" s="224"/>
      <c r="CU4" s="224"/>
      <c r="CV4" s="224"/>
      <c r="CW4" s="224"/>
      <c r="CX4" s="224"/>
      <c r="CY4" s="224"/>
      <c r="CZ4" s="224"/>
      <c r="DA4" s="224"/>
      <c r="DB4" s="224"/>
      <c r="DC4" s="224"/>
      <c r="DD4" s="224"/>
      <c r="DE4" s="224"/>
      <c r="DF4" s="224"/>
      <c r="DG4" s="224"/>
      <c r="DH4" s="224"/>
      <c r="DI4" s="224"/>
      <c r="DJ4" s="224"/>
      <c r="DK4" s="224"/>
      <c r="DL4" s="224"/>
      <c r="DM4" s="224"/>
      <c r="DN4" s="224"/>
      <c r="DO4" s="224"/>
      <c r="DP4" s="224"/>
      <c r="DQ4" s="224"/>
      <c r="DR4" s="224"/>
      <c r="DS4" s="224"/>
      <c r="DT4" s="224"/>
      <c r="DU4" s="224"/>
      <c r="DV4" s="224"/>
      <c r="DW4" s="224"/>
      <c r="DX4" s="224"/>
      <c r="DY4" s="224"/>
      <c r="DZ4" s="224"/>
      <c r="EA4" s="224"/>
      <c r="EB4" s="224"/>
      <c r="EC4" s="224"/>
      <c r="ED4" s="224"/>
      <c r="EE4" s="224"/>
      <c r="EF4" s="224"/>
      <c r="EG4" s="224"/>
      <c r="EH4" s="224"/>
      <c r="EI4" s="224"/>
      <c r="EJ4" s="224"/>
      <c r="EK4" s="224"/>
      <c r="EL4" s="224"/>
      <c r="EM4" s="224"/>
      <c r="EN4" s="224"/>
      <c r="EO4" s="224"/>
      <c r="EP4" s="224"/>
      <c r="EQ4" s="224"/>
      <c r="ER4" s="224"/>
      <c r="ES4" s="224"/>
      <c r="ET4" s="224"/>
      <c r="EU4" s="224"/>
      <c r="EV4" s="224"/>
      <c r="EW4" s="224"/>
      <c r="EX4" s="224"/>
      <c r="EY4" s="224"/>
      <c r="EZ4" s="224"/>
      <c r="FA4" s="224"/>
      <c r="FB4" s="224"/>
      <c r="FC4" s="224"/>
      <c r="FD4" s="224"/>
      <c r="FE4" s="224"/>
      <c r="FF4" s="224"/>
      <c r="FG4" s="224"/>
      <c r="FH4" s="224"/>
      <c r="FI4" s="224"/>
      <c r="FJ4" s="224"/>
      <c r="FK4" s="224"/>
      <c r="FL4" s="224"/>
      <c r="FM4" s="224"/>
      <c r="FN4" s="224"/>
      <c r="FO4" s="224"/>
      <c r="FP4" s="224"/>
      <c r="FQ4" s="224"/>
      <c r="FR4" s="224"/>
      <c r="FS4" s="224"/>
      <c r="FT4" s="224"/>
      <c r="FU4" s="224"/>
      <c r="FV4" s="224"/>
      <c r="FW4" s="224"/>
      <c r="FX4" s="224"/>
      <c r="FY4" s="224"/>
      <c r="FZ4" s="224"/>
      <c r="GA4" s="224"/>
      <c r="GB4" s="224"/>
      <c r="GC4" s="224"/>
      <c r="GD4" s="224"/>
      <c r="GE4" s="224"/>
      <c r="GF4" s="224"/>
      <c r="GG4" s="224"/>
      <c r="GH4" s="224"/>
      <c r="GI4" s="224"/>
      <c r="GJ4" s="224"/>
      <c r="GK4" s="224"/>
      <c r="GL4" s="224"/>
      <c r="GM4" s="224"/>
      <c r="GN4" s="224"/>
      <c r="GO4" s="224"/>
      <c r="GP4" s="224"/>
      <c r="GQ4" s="224"/>
      <c r="GR4" s="224"/>
      <c r="GS4" s="224"/>
      <c r="GT4" s="224"/>
      <c r="GU4" s="224"/>
      <c r="GV4" s="224"/>
      <c r="GW4" s="224"/>
      <c r="GX4" s="224"/>
      <c r="GY4" s="224"/>
      <c r="GZ4" s="224"/>
      <c r="HA4" s="224"/>
      <c r="HB4" s="224"/>
      <c r="HC4" s="224"/>
      <c r="HD4" s="224"/>
      <c r="HE4" s="224"/>
      <c r="HF4" s="224"/>
      <c r="HG4" s="224"/>
      <c r="HH4" s="224"/>
      <c r="HI4" s="224"/>
      <c r="HJ4" s="224"/>
      <c r="HK4" s="224"/>
      <c r="HL4" s="224"/>
      <c r="HM4" s="224"/>
      <c r="HN4" s="224"/>
      <c r="HO4" s="224"/>
      <c r="HP4" s="224"/>
    </row>
    <row r="5" spans="1:224" ht="30" customHeight="1">
      <c r="A5" s="878"/>
      <c r="B5" s="878"/>
      <c r="C5" s="878"/>
      <c r="D5" s="878"/>
      <c r="E5" s="878"/>
      <c r="F5" s="878"/>
      <c r="H5" s="224"/>
      <c r="I5" s="224"/>
      <c r="J5" s="224"/>
      <c r="K5" s="224"/>
      <c r="L5" s="224"/>
      <c r="M5" s="224"/>
      <c r="N5" s="224"/>
      <c r="O5" s="224"/>
      <c r="P5" s="224"/>
      <c r="Q5" s="224"/>
      <c r="R5" s="224"/>
      <c r="S5" s="224"/>
      <c r="T5" s="224"/>
      <c r="U5" s="224"/>
      <c r="V5" s="224"/>
      <c r="W5" s="224"/>
      <c r="X5" s="224"/>
      <c r="Y5" s="224"/>
      <c r="Z5" s="224"/>
      <c r="AA5" s="224"/>
      <c r="AB5" s="224"/>
      <c r="AC5" s="224"/>
      <c r="AD5" s="224"/>
      <c r="AE5" s="224"/>
      <c r="AF5" s="224"/>
      <c r="AG5" s="224"/>
      <c r="AH5" s="224"/>
      <c r="AI5" s="224"/>
      <c r="AJ5" s="224"/>
      <c r="AK5" s="224"/>
      <c r="AL5" s="224"/>
      <c r="AM5" s="224"/>
      <c r="AN5" s="224"/>
      <c r="AO5" s="224"/>
      <c r="AP5" s="224"/>
      <c r="AQ5" s="224"/>
      <c r="AR5" s="224"/>
      <c r="AS5" s="224"/>
      <c r="AT5" s="224"/>
      <c r="AU5" s="224"/>
      <c r="AV5" s="224"/>
      <c r="AW5" s="224"/>
      <c r="AX5" s="224"/>
      <c r="AY5" s="224"/>
      <c r="AZ5" s="224"/>
      <c r="BA5" s="224"/>
      <c r="BB5" s="224"/>
      <c r="BC5" s="224"/>
      <c r="BD5" s="224"/>
      <c r="BE5" s="224"/>
      <c r="BF5" s="224"/>
      <c r="BG5" s="224"/>
      <c r="BH5" s="224"/>
      <c r="BI5" s="224"/>
      <c r="BJ5" s="224"/>
      <c r="BK5" s="224"/>
      <c r="BL5" s="224"/>
      <c r="BM5" s="224"/>
      <c r="BN5" s="224"/>
      <c r="BO5" s="224"/>
      <c r="BP5" s="224"/>
      <c r="BQ5" s="224"/>
      <c r="BR5" s="224"/>
      <c r="BS5" s="224"/>
      <c r="BT5" s="224"/>
      <c r="BU5" s="224"/>
      <c r="BV5" s="224"/>
      <c r="BW5" s="224"/>
      <c r="BX5" s="224"/>
      <c r="BY5" s="224"/>
      <c r="BZ5" s="224"/>
      <c r="CA5" s="224"/>
      <c r="CB5" s="224"/>
      <c r="CC5" s="224"/>
      <c r="CD5" s="224"/>
      <c r="CE5" s="224"/>
      <c r="CF5" s="224"/>
      <c r="CG5" s="224"/>
      <c r="CH5" s="224"/>
      <c r="CI5" s="224"/>
      <c r="CJ5" s="224"/>
      <c r="CK5" s="224"/>
      <c r="CL5" s="224"/>
      <c r="CM5" s="224"/>
      <c r="CN5" s="224"/>
      <c r="CO5" s="224"/>
      <c r="CP5" s="224"/>
      <c r="CQ5" s="224"/>
      <c r="CR5" s="224"/>
      <c r="CS5" s="224"/>
      <c r="CT5" s="224"/>
      <c r="CU5" s="224"/>
      <c r="CV5" s="224"/>
      <c r="CW5" s="224"/>
      <c r="CX5" s="224"/>
      <c r="CY5" s="224"/>
      <c r="CZ5" s="224"/>
      <c r="DA5" s="224"/>
      <c r="DB5" s="224"/>
      <c r="DC5" s="224"/>
      <c r="DD5" s="224"/>
      <c r="DE5" s="224"/>
      <c r="DF5" s="224"/>
      <c r="DG5" s="224"/>
      <c r="DH5" s="224"/>
      <c r="DI5" s="224"/>
      <c r="DJ5" s="224"/>
      <c r="DK5" s="224"/>
      <c r="DL5" s="224"/>
      <c r="DM5" s="224"/>
      <c r="DN5" s="224"/>
      <c r="DO5" s="224"/>
      <c r="DP5" s="224"/>
      <c r="DQ5" s="224"/>
      <c r="DR5" s="224"/>
      <c r="DS5" s="224"/>
      <c r="DT5" s="224"/>
      <c r="DU5" s="224"/>
      <c r="DV5" s="224"/>
      <c r="DW5" s="224"/>
      <c r="DX5" s="224"/>
      <c r="DY5" s="224"/>
      <c r="DZ5" s="224"/>
      <c r="EA5" s="224"/>
      <c r="EB5" s="224"/>
      <c r="EC5" s="224"/>
      <c r="ED5" s="224"/>
      <c r="EE5" s="224"/>
      <c r="EF5" s="224"/>
      <c r="EG5" s="224"/>
      <c r="EH5" s="224"/>
      <c r="EI5" s="224"/>
      <c r="EJ5" s="224"/>
      <c r="EK5" s="224"/>
      <c r="EL5" s="224"/>
      <c r="EM5" s="224"/>
      <c r="EN5" s="224"/>
      <c r="EO5" s="224"/>
      <c r="EP5" s="224"/>
      <c r="EQ5" s="224"/>
      <c r="ER5" s="224"/>
      <c r="ES5" s="224"/>
      <c r="ET5" s="224"/>
      <c r="EU5" s="224"/>
      <c r="EV5" s="224"/>
      <c r="EW5" s="224"/>
      <c r="EX5" s="224"/>
      <c r="EY5" s="224"/>
      <c r="EZ5" s="224"/>
      <c r="FA5" s="224"/>
      <c r="FB5" s="224"/>
      <c r="FC5" s="224"/>
      <c r="FD5" s="224"/>
      <c r="FE5" s="224"/>
      <c r="FF5" s="224"/>
      <c r="FG5" s="224"/>
      <c r="FH5" s="224"/>
      <c r="FI5" s="224"/>
      <c r="FJ5" s="224"/>
      <c r="FK5" s="224"/>
      <c r="FL5" s="224"/>
      <c r="FM5" s="224"/>
      <c r="FN5" s="224"/>
      <c r="FO5" s="224"/>
      <c r="FP5" s="224"/>
      <c r="FQ5" s="224"/>
      <c r="FR5" s="224"/>
      <c r="FS5" s="224"/>
      <c r="FT5" s="224"/>
      <c r="FU5" s="224"/>
      <c r="FV5" s="224"/>
      <c r="FW5" s="224"/>
      <c r="FX5" s="224"/>
      <c r="FY5" s="224"/>
      <c r="FZ5" s="224"/>
      <c r="GA5" s="224"/>
      <c r="GB5" s="224"/>
      <c r="GC5" s="224"/>
      <c r="GD5" s="224"/>
      <c r="GE5" s="224"/>
      <c r="GF5" s="224"/>
      <c r="GG5" s="224"/>
      <c r="GH5" s="224"/>
      <c r="GI5" s="224"/>
      <c r="GJ5" s="224"/>
      <c r="GK5" s="224"/>
      <c r="GL5" s="224"/>
      <c r="GM5" s="224"/>
      <c r="GN5" s="224"/>
      <c r="GO5" s="224"/>
      <c r="GP5" s="224"/>
      <c r="GQ5" s="224"/>
      <c r="GR5" s="224"/>
      <c r="GS5" s="224"/>
      <c r="GT5" s="224"/>
      <c r="GU5" s="224"/>
      <c r="GV5" s="224"/>
      <c r="GW5" s="224"/>
      <c r="GX5" s="224"/>
      <c r="GY5" s="224"/>
      <c r="GZ5" s="224"/>
      <c r="HA5" s="224"/>
      <c r="HB5" s="224"/>
      <c r="HC5" s="224"/>
      <c r="HD5" s="224"/>
      <c r="HE5" s="224"/>
      <c r="HF5" s="224"/>
      <c r="HG5" s="224"/>
      <c r="HH5" s="224"/>
      <c r="HI5" s="224"/>
      <c r="HJ5" s="224"/>
      <c r="HK5" s="224"/>
      <c r="HL5" s="224"/>
      <c r="HM5" s="224"/>
      <c r="HN5" s="224"/>
      <c r="HO5" s="224"/>
      <c r="HP5" s="224"/>
    </row>
    <row r="6" spans="1:224" ht="22.35" customHeight="1" thickBot="1">
      <c r="A6" s="175"/>
      <c r="C6" s="227"/>
      <c r="D6" s="227"/>
      <c r="E6" s="227"/>
      <c r="F6" s="227"/>
      <c r="H6" s="224"/>
      <c r="I6" s="224"/>
      <c r="J6" s="224"/>
      <c r="K6" s="224"/>
      <c r="L6" s="224"/>
      <c r="M6" s="224"/>
      <c r="N6" s="224"/>
      <c r="O6" s="224"/>
      <c r="P6" s="224"/>
      <c r="Q6" s="224"/>
      <c r="R6" s="224"/>
      <c r="S6" s="224"/>
      <c r="T6" s="224"/>
      <c r="U6" s="224"/>
      <c r="V6" s="224"/>
      <c r="W6" s="224"/>
      <c r="X6" s="224"/>
      <c r="Y6" s="224"/>
      <c r="Z6" s="224"/>
      <c r="AA6" s="224"/>
      <c r="AB6" s="224"/>
      <c r="AC6" s="224"/>
      <c r="AD6" s="224"/>
      <c r="AE6" s="224"/>
      <c r="AF6" s="224"/>
      <c r="AG6" s="224"/>
      <c r="AH6" s="224"/>
      <c r="AI6" s="224"/>
      <c r="AJ6" s="224"/>
      <c r="AK6" s="224"/>
      <c r="AL6" s="224"/>
      <c r="AM6" s="224"/>
      <c r="AN6" s="224"/>
      <c r="AO6" s="224"/>
      <c r="AP6" s="224"/>
      <c r="AQ6" s="224"/>
      <c r="AR6" s="224"/>
      <c r="AS6" s="224"/>
      <c r="AT6" s="224"/>
      <c r="AU6" s="224"/>
      <c r="AV6" s="224"/>
      <c r="AW6" s="224"/>
      <c r="AX6" s="224"/>
      <c r="AY6" s="224"/>
      <c r="AZ6" s="224"/>
      <c r="BA6" s="224"/>
      <c r="BB6" s="224"/>
      <c r="BC6" s="224"/>
      <c r="BD6" s="224"/>
      <c r="BE6" s="224"/>
      <c r="BF6" s="224"/>
      <c r="BG6" s="224"/>
      <c r="BH6" s="224"/>
      <c r="BI6" s="224"/>
      <c r="BJ6" s="224"/>
      <c r="BK6" s="224"/>
      <c r="BL6" s="224"/>
      <c r="BM6" s="224"/>
      <c r="BN6" s="224"/>
      <c r="BO6" s="224"/>
      <c r="BP6" s="224"/>
      <c r="BQ6" s="224"/>
      <c r="BR6" s="224"/>
      <c r="BS6" s="224"/>
      <c r="BT6" s="224"/>
      <c r="BU6" s="224"/>
      <c r="BV6" s="224"/>
      <c r="BW6" s="224"/>
      <c r="BX6" s="224"/>
      <c r="BY6" s="224"/>
      <c r="BZ6" s="224"/>
      <c r="CA6" s="224"/>
      <c r="CB6" s="224"/>
      <c r="CC6" s="224"/>
      <c r="CD6" s="224"/>
      <c r="CE6" s="224"/>
      <c r="CF6" s="224"/>
      <c r="CG6" s="224"/>
      <c r="CH6" s="224"/>
      <c r="CI6" s="224"/>
      <c r="CJ6" s="224"/>
      <c r="CK6" s="224"/>
      <c r="CL6" s="224"/>
      <c r="CM6" s="224"/>
      <c r="CN6" s="224"/>
      <c r="CO6" s="224"/>
      <c r="CP6" s="224"/>
      <c r="CQ6" s="224"/>
      <c r="CR6" s="224"/>
      <c r="CS6" s="224"/>
      <c r="CT6" s="224"/>
      <c r="CU6" s="224"/>
      <c r="CV6" s="224"/>
      <c r="CW6" s="224"/>
      <c r="CX6" s="224"/>
      <c r="CY6" s="224"/>
      <c r="CZ6" s="224"/>
      <c r="DA6" s="224"/>
      <c r="DB6" s="224"/>
      <c r="DC6" s="224"/>
      <c r="DD6" s="224"/>
      <c r="DE6" s="224"/>
      <c r="DF6" s="224"/>
      <c r="DG6" s="224"/>
      <c r="DH6" s="224"/>
      <c r="DI6" s="224"/>
      <c r="DJ6" s="224"/>
      <c r="DK6" s="224"/>
      <c r="DL6" s="224"/>
      <c r="DM6" s="224"/>
      <c r="DN6" s="224"/>
      <c r="DO6" s="224"/>
      <c r="DP6" s="224"/>
      <c r="DQ6" s="224"/>
      <c r="DR6" s="224"/>
      <c r="DS6" s="224"/>
      <c r="DT6" s="224"/>
      <c r="DU6" s="224"/>
      <c r="DV6" s="224"/>
      <c r="DW6" s="224"/>
      <c r="DX6" s="224"/>
      <c r="DY6" s="224"/>
      <c r="DZ6" s="224"/>
      <c r="EA6" s="224"/>
      <c r="EB6" s="224"/>
      <c r="EC6" s="224"/>
      <c r="ED6" s="224"/>
      <c r="EE6" s="224"/>
      <c r="EF6" s="224"/>
      <c r="EG6" s="224"/>
      <c r="EH6" s="224"/>
      <c r="EI6" s="224"/>
      <c r="EJ6" s="224"/>
      <c r="EK6" s="224"/>
      <c r="EL6" s="224"/>
      <c r="EM6" s="224"/>
      <c r="EN6" s="224"/>
      <c r="EO6" s="224"/>
      <c r="EP6" s="224"/>
      <c r="EQ6" s="224"/>
      <c r="ER6" s="224"/>
      <c r="ES6" s="224"/>
      <c r="ET6" s="224"/>
      <c r="EU6" s="224"/>
      <c r="EV6" s="224"/>
      <c r="EW6" s="224"/>
      <c r="EX6" s="224"/>
      <c r="EY6" s="224"/>
      <c r="EZ6" s="224"/>
      <c r="FA6" s="224"/>
      <c r="FB6" s="224"/>
      <c r="FC6" s="224"/>
      <c r="FD6" s="224"/>
      <c r="FE6" s="224"/>
      <c r="FF6" s="224"/>
      <c r="FG6" s="224"/>
      <c r="FH6" s="224"/>
      <c r="FI6" s="224"/>
      <c r="FJ6" s="224"/>
      <c r="FK6" s="224"/>
      <c r="FL6" s="224"/>
      <c r="FM6" s="224"/>
      <c r="FN6" s="224"/>
      <c r="FO6" s="224"/>
      <c r="FP6" s="224"/>
      <c r="FQ6" s="224"/>
      <c r="FR6" s="224"/>
      <c r="FS6" s="224"/>
      <c r="FT6" s="224"/>
      <c r="FU6" s="224"/>
      <c r="FV6" s="224"/>
      <c r="FW6" s="224"/>
      <c r="FX6" s="224"/>
      <c r="FY6" s="224"/>
      <c r="FZ6" s="224"/>
      <c r="GA6" s="224"/>
      <c r="GB6" s="224"/>
      <c r="GC6" s="224"/>
      <c r="GD6" s="224"/>
      <c r="GE6" s="224"/>
      <c r="GF6" s="224"/>
      <c r="GG6" s="224"/>
      <c r="GH6" s="224"/>
      <c r="GI6" s="224"/>
      <c r="GJ6" s="224"/>
      <c r="GK6" s="224"/>
      <c r="GL6" s="224"/>
      <c r="GM6" s="224"/>
      <c r="GN6" s="224"/>
      <c r="GO6" s="224"/>
      <c r="GP6" s="224"/>
      <c r="GQ6" s="224"/>
      <c r="GR6" s="224"/>
      <c r="GS6" s="224"/>
      <c r="GT6" s="224"/>
      <c r="GU6" s="224"/>
      <c r="GV6" s="224"/>
      <c r="GW6" s="224"/>
      <c r="GX6" s="224"/>
      <c r="GY6" s="224"/>
      <c r="GZ6" s="224"/>
      <c r="HA6" s="224"/>
      <c r="HB6" s="224"/>
      <c r="HC6" s="224"/>
      <c r="HD6" s="224"/>
      <c r="HE6" s="224"/>
      <c r="HF6" s="224"/>
      <c r="HG6" s="224"/>
      <c r="HH6" s="224"/>
      <c r="HI6" s="224"/>
      <c r="HJ6" s="224"/>
      <c r="HK6" s="224"/>
      <c r="HL6" s="224"/>
      <c r="HM6" s="224"/>
      <c r="HN6" s="224"/>
      <c r="HO6" s="224"/>
      <c r="HP6" s="224"/>
    </row>
    <row r="7" spans="1:224" ht="30" customHeight="1" thickBot="1">
      <c r="A7" s="876" t="s">
        <v>575</v>
      </c>
      <c r="B7" s="877"/>
      <c r="C7" s="870" t="s">
        <v>722</v>
      </c>
      <c r="D7" s="871"/>
      <c r="E7" s="871"/>
      <c r="F7" s="872"/>
      <c r="G7" s="224"/>
      <c r="H7" s="224"/>
      <c r="I7" s="29"/>
      <c r="J7" s="29"/>
      <c r="K7" s="230"/>
      <c r="L7" s="230"/>
      <c r="M7" s="230"/>
      <c r="N7" s="230"/>
      <c r="O7" s="224"/>
      <c r="P7" s="224"/>
      <c r="Q7" s="224"/>
      <c r="R7" s="224"/>
      <c r="S7" s="224"/>
      <c r="T7" s="224"/>
      <c r="U7" s="224"/>
      <c r="V7" s="224"/>
      <c r="W7" s="224"/>
      <c r="X7" s="224"/>
      <c r="Y7" s="224"/>
      <c r="Z7" s="224"/>
      <c r="AA7" s="224"/>
      <c r="AB7" s="224"/>
      <c r="AC7" s="224"/>
      <c r="AD7" s="224"/>
      <c r="AE7" s="224"/>
      <c r="AF7" s="224"/>
      <c r="AG7" s="224"/>
      <c r="AH7" s="224"/>
      <c r="AI7" s="224"/>
      <c r="AJ7" s="224"/>
      <c r="AK7" s="224"/>
      <c r="AL7" s="224"/>
      <c r="AM7" s="224"/>
      <c r="AN7" s="224"/>
      <c r="AO7" s="224"/>
      <c r="AP7" s="224"/>
      <c r="AQ7" s="224"/>
      <c r="AR7" s="224"/>
      <c r="AS7" s="224"/>
      <c r="AT7" s="224"/>
      <c r="AU7" s="224"/>
      <c r="AV7" s="224"/>
      <c r="AW7" s="224"/>
      <c r="AX7" s="224"/>
      <c r="AY7" s="224"/>
      <c r="AZ7" s="224"/>
      <c r="BA7" s="224"/>
      <c r="BB7" s="224"/>
      <c r="BC7" s="224"/>
      <c r="BD7" s="224"/>
      <c r="BE7" s="224"/>
      <c r="BF7" s="224"/>
      <c r="BG7" s="224"/>
      <c r="BH7" s="224"/>
      <c r="BI7" s="224"/>
      <c r="BJ7" s="224"/>
      <c r="BK7" s="224"/>
      <c r="BL7" s="224"/>
      <c r="BM7" s="224"/>
      <c r="BN7" s="224"/>
      <c r="BO7" s="224"/>
      <c r="BP7" s="224"/>
      <c r="BQ7" s="224"/>
      <c r="BR7" s="224"/>
      <c r="BS7" s="224"/>
      <c r="BT7" s="224"/>
      <c r="BU7" s="224"/>
      <c r="BV7" s="224"/>
      <c r="BW7" s="224"/>
      <c r="BX7" s="224"/>
      <c r="BY7" s="224"/>
      <c r="BZ7" s="224"/>
      <c r="CA7" s="224"/>
      <c r="CB7" s="224"/>
      <c r="CC7" s="224"/>
      <c r="CD7" s="224"/>
      <c r="CE7" s="224"/>
      <c r="CF7" s="224"/>
      <c r="CG7" s="224"/>
      <c r="CH7" s="224"/>
      <c r="CI7" s="224"/>
      <c r="CJ7" s="224"/>
      <c r="CK7" s="224"/>
      <c r="CL7" s="224"/>
      <c r="CM7" s="224"/>
      <c r="CN7" s="224"/>
      <c r="CO7" s="224"/>
      <c r="CP7" s="224"/>
      <c r="CQ7" s="224"/>
      <c r="CR7" s="224"/>
      <c r="CS7" s="224"/>
      <c r="CT7" s="224"/>
      <c r="CU7" s="224"/>
      <c r="CV7" s="224"/>
      <c r="CW7" s="224"/>
      <c r="CX7" s="224"/>
      <c r="CY7" s="224"/>
      <c r="CZ7" s="224"/>
      <c r="DA7" s="224"/>
      <c r="DB7" s="224"/>
      <c r="DC7" s="224"/>
      <c r="DD7" s="224"/>
      <c r="DE7" s="224"/>
      <c r="DF7" s="224"/>
      <c r="DG7" s="224"/>
      <c r="DH7" s="224"/>
      <c r="DI7" s="224"/>
      <c r="DJ7" s="224"/>
      <c r="DK7" s="224"/>
      <c r="DL7" s="224"/>
      <c r="DM7" s="224"/>
      <c r="DN7" s="224"/>
      <c r="DO7" s="224"/>
      <c r="DP7" s="224"/>
      <c r="DQ7" s="224"/>
      <c r="DR7" s="224"/>
      <c r="DS7" s="224"/>
      <c r="DT7" s="224"/>
      <c r="DU7" s="224"/>
      <c r="DV7" s="224"/>
      <c r="DW7" s="224"/>
      <c r="DX7" s="224"/>
      <c r="DY7" s="224"/>
      <c r="DZ7" s="224"/>
      <c r="EA7" s="224"/>
      <c r="EB7" s="224"/>
      <c r="EC7" s="224"/>
      <c r="ED7" s="224"/>
      <c r="EE7" s="224"/>
      <c r="EF7" s="224"/>
      <c r="EG7" s="224"/>
      <c r="EH7" s="224"/>
      <c r="EI7" s="224"/>
      <c r="EJ7" s="224"/>
      <c r="EK7" s="224"/>
      <c r="EL7" s="224"/>
      <c r="EM7" s="224"/>
      <c r="EN7" s="224"/>
      <c r="EO7" s="224"/>
      <c r="EP7" s="224"/>
      <c r="EQ7" s="224"/>
      <c r="ER7" s="224"/>
      <c r="ES7" s="224"/>
      <c r="ET7" s="224"/>
      <c r="EU7" s="224"/>
      <c r="EV7" s="224"/>
      <c r="EW7" s="224"/>
      <c r="EX7" s="224"/>
      <c r="EY7" s="224"/>
      <c r="EZ7" s="224"/>
      <c r="FA7" s="224"/>
      <c r="FB7" s="224"/>
      <c r="FC7" s="224"/>
      <c r="FD7" s="224"/>
      <c r="FE7" s="224"/>
      <c r="FF7" s="224"/>
      <c r="FG7" s="224"/>
      <c r="FH7" s="224"/>
      <c r="FI7" s="224"/>
      <c r="FJ7" s="224"/>
      <c r="FK7" s="224"/>
      <c r="FL7" s="224"/>
      <c r="FM7" s="224"/>
      <c r="FN7" s="224"/>
      <c r="FO7" s="224"/>
      <c r="FP7" s="224"/>
      <c r="FQ7" s="224"/>
      <c r="FR7" s="224"/>
      <c r="FS7" s="224"/>
      <c r="FT7" s="224"/>
      <c r="FU7" s="224"/>
      <c r="FV7" s="224"/>
      <c r="FW7" s="224"/>
      <c r="FX7" s="224"/>
      <c r="FY7" s="224"/>
      <c r="FZ7" s="224"/>
      <c r="GA7" s="224"/>
      <c r="GB7" s="224"/>
      <c r="GC7" s="224"/>
      <c r="GD7" s="224"/>
      <c r="GE7" s="224"/>
      <c r="GF7" s="224"/>
      <c r="GG7" s="224"/>
      <c r="GH7" s="224"/>
      <c r="GI7" s="224"/>
      <c r="GJ7" s="224"/>
      <c r="GK7" s="224"/>
      <c r="GL7" s="224"/>
      <c r="GM7" s="224"/>
      <c r="GN7" s="224"/>
      <c r="GO7" s="224"/>
      <c r="GP7" s="224"/>
      <c r="GQ7" s="224"/>
      <c r="GR7" s="224"/>
      <c r="GS7" s="224"/>
      <c r="GT7" s="224"/>
      <c r="GU7" s="224"/>
      <c r="GV7" s="224"/>
      <c r="GW7" s="224"/>
      <c r="GX7" s="224"/>
      <c r="GY7" s="224"/>
      <c r="GZ7" s="224"/>
      <c r="HA7" s="224"/>
      <c r="HB7" s="224"/>
      <c r="HC7" s="224"/>
      <c r="HD7" s="224"/>
      <c r="HE7" s="224"/>
      <c r="HF7" s="224"/>
      <c r="HG7" s="224"/>
      <c r="HH7" s="224"/>
      <c r="HI7" s="224"/>
      <c r="HJ7" s="224"/>
      <c r="HK7" s="224"/>
      <c r="HL7" s="224"/>
      <c r="HM7" s="224"/>
      <c r="HN7" s="224"/>
      <c r="HO7" s="224"/>
      <c r="HP7" s="224"/>
    </row>
    <row r="8" spans="1:224" s="175" customFormat="1" ht="114.6" customHeight="1" thickBot="1">
      <c r="A8" s="986" t="s">
        <v>596</v>
      </c>
      <c r="B8" s="987"/>
      <c r="C8" s="231" t="s">
        <v>262</v>
      </c>
      <c r="D8" s="232" t="s">
        <v>597</v>
      </c>
      <c r="E8" s="558" t="s">
        <v>598</v>
      </c>
      <c r="F8" s="231" t="s">
        <v>599</v>
      </c>
      <c r="G8" s="229"/>
      <c r="H8" s="229"/>
      <c r="I8" s="88"/>
      <c r="J8" s="29"/>
      <c r="K8" s="93"/>
      <c r="L8" s="93"/>
      <c r="M8" s="93"/>
      <c r="N8" s="93"/>
      <c r="O8" s="229"/>
      <c r="P8" s="229"/>
      <c r="Q8" s="229"/>
      <c r="R8" s="229"/>
      <c r="S8" s="229"/>
      <c r="T8" s="229"/>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c r="BM8" s="229"/>
      <c r="BN8" s="229"/>
      <c r="BO8" s="229"/>
      <c r="BP8" s="229"/>
      <c r="BQ8" s="229"/>
      <c r="BR8" s="229"/>
      <c r="BS8" s="229"/>
      <c r="BT8" s="229"/>
      <c r="BU8" s="229"/>
      <c r="BV8" s="229"/>
      <c r="BW8" s="229"/>
      <c r="BX8" s="229"/>
      <c r="BY8" s="229"/>
      <c r="BZ8" s="229"/>
      <c r="CA8" s="229"/>
      <c r="CB8" s="229"/>
      <c r="CC8" s="229"/>
      <c r="CD8" s="229"/>
      <c r="CE8" s="229"/>
      <c r="CF8" s="229"/>
      <c r="CG8" s="229"/>
      <c r="CH8" s="229"/>
      <c r="CI8" s="229"/>
      <c r="CJ8" s="229"/>
      <c r="CK8" s="229"/>
      <c r="CL8" s="229"/>
      <c r="CM8" s="229"/>
      <c r="CN8" s="229"/>
      <c r="CO8" s="229"/>
      <c r="CP8" s="229"/>
      <c r="CQ8" s="229"/>
      <c r="CR8" s="229"/>
      <c r="CS8" s="229"/>
      <c r="CT8" s="229"/>
      <c r="CU8" s="229"/>
      <c r="CV8" s="229"/>
      <c r="CW8" s="229"/>
      <c r="CX8" s="229"/>
      <c r="CY8" s="229"/>
      <c r="CZ8" s="229"/>
      <c r="DA8" s="229"/>
      <c r="DB8" s="229"/>
      <c r="DC8" s="229"/>
      <c r="DD8" s="229"/>
      <c r="DE8" s="229"/>
      <c r="DF8" s="229"/>
      <c r="DG8" s="229"/>
      <c r="DH8" s="229"/>
      <c r="DI8" s="229"/>
      <c r="DJ8" s="229"/>
      <c r="DK8" s="229"/>
      <c r="DL8" s="229"/>
      <c r="DM8" s="229"/>
      <c r="DN8" s="229"/>
      <c r="DO8" s="229"/>
      <c r="DP8" s="229"/>
      <c r="DQ8" s="229"/>
      <c r="DR8" s="229"/>
      <c r="DS8" s="229"/>
      <c r="DT8" s="229"/>
      <c r="DU8" s="229"/>
      <c r="DV8" s="229"/>
      <c r="DW8" s="229"/>
      <c r="DX8" s="229"/>
      <c r="DY8" s="229"/>
      <c r="DZ8" s="229"/>
      <c r="EA8" s="229"/>
      <c r="EB8" s="229"/>
      <c r="EC8" s="229"/>
      <c r="ED8" s="229"/>
      <c r="EE8" s="229"/>
      <c r="EF8" s="229"/>
      <c r="EG8" s="229"/>
      <c r="EH8" s="229"/>
      <c r="EI8" s="229"/>
      <c r="EJ8" s="229"/>
      <c r="EK8" s="229"/>
      <c r="EL8" s="229"/>
      <c r="EM8" s="229"/>
      <c r="EN8" s="229"/>
      <c r="EO8" s="229"/>
      <c r="EP8" s="229"/>
      <c r="EQ8" s="229"/>
      <c r="ER8" s="229"/>
      <c r="ES8" s="229"/>
      <c r="ET8" s="229"/>
      <c r="EU8" s="229"/>
      <c r="EV8" s="229"/>
      <c r="EW8" s="229"/>
      <c r="EX8" s="229"/>
      <c r="EY8" s="229"/>
      <c r="EZ8" s="229"/>
      <c r="FA8" s="229"/>
      <c r="FB8" s="229"/>
      <c r="FC8" s="229"/>
      <c r="FD8" s="229"/>
      <c r="FE8" s="229"/>
      <c r="FF8" s="229"/>
      <c r="FG8" s="229"/>
      <c r="FH8" s="229"/>
      <c r="FI8" s="229"/>
      <c r="FJ8" s="229"/>
      <c r="FK8" s="229"/>
      <c r="FL8" s="229"/>
      <c r="FM8" s="229"/>
      <c r="FN8" s="229"/>
      <c r="FO8" s="229"/>
      <c r="FP8" s="229"/>
      <c r="FQ8" s="229"/>
      <c r="FR8" s="229"/>
      <c r="FS8" s="229"/>
      <c r="FT8" s="229"/>
      <c r="FU8" s="229"/>
      <c r="FV8" s="229"/>
      <c r="FW8" s="229"/>
      <c r="FX8" s="229"/>
      <c r="FY8" s="229"/>
      <c r="FZ8" s="229"/>
      <c r="GA8" s="229"/>
      <c r="GB8" s="229"/>
      <c r="GC8" s="229"/>
      <c r="GD8" s="229"/>
      <c r="GE8" s="229"/>
      <c r="GF8" s="229"/>
      <c r="GG8" s="229"/>
      <c r="GH8" s="229"/>
      <c r="GI8" s="229"/>
      <c r="GJ8" s="229"/>
      <c r="GK8" s="229"/>
      <c r="GL8" s="229"/>
      <c r="GM8" s="229"/>
      <c r="GN8" s="229"/>
      <c r="GO8" s="229"/>
      <c r="GP8" s="229"/>
      <c r="GQ8" s="229"/>
      <c r="GR8" s="229"/>
      <c r="GS8" s="229"/>
      <c r="GT8" s="229"/>
      <c r="GU8" s="229"/>
      <c r="GV8" s="229"/>
      <c r="GW8" s="229"/>
      <c r="GX8" s="229"/>
      <c r="GY8" s="229"/>
      <c r="GZ8" s="229"/>
      <c r="HA8" s="229"/>
      <c r="HB8" s="229"/>
      <c r="HC8" s="229"/>
      <c r="HD8" s="229"/>
      <c r="HE8" s="229"/>
      <c r="HF8" s="229"/>
      <c r="HG8" s="229"/>
      <c r="HH8" s="229"/>
      <c r="HI8" s="229"/>
      <c r="HJ8" s="229"/>
      <c r="HK8" s="229"/>
      <c r="HL8" s="229"/>
      <c r="HM8" s="229"/>
      <c r="HN8" s="229"/>
      <c r="HO8" s="229"/>
      <c r="HP8" s="229"/>
    </row>
    <row r="9" spans="1:224" s="175" customFormat="1" ht="30" customHeight="1" thickBot="1">
      <c r="A9" s="868" t="s">
        <v>396</v>
      </c>
      <c r="B9" s="873"/>
      <c r="C9" s="256"/>
      <c r="D9" s="271"/>
      <c r="E9" s="271"/>
      <c r="F9" s="271"/>
      <c r="I9" s="88"/>
      <c r="J9" s="29"/>
      <c r="K9" s="93"/>
      <c r="L9" s="93"/>
      <c r="M9" s="93"/>
      <c r="N9" s="93"/>
    </row>
    <row r="10" spans="1:224" s="17" customFormat="1" ht="30" customHeight="1">
      <c r="A10" s="233" t="s">
        <v>397</v>
      </c>
      <c r="B10" s="241"/>
      <c r="C10" s="559" t="s">
        <v>398</v>
      </c>
      <c r="D10" s="453">
        <v>0</v>
      </c>
      <c r="E10" s="453">
        <v>0</v>
      </c>
      <c r="F10" s="234">
        <f t="shared" ref="F10:F74" si="0">+D10+E10</f>
        <v>0</v>
      </c>
      <c r="I10" s="88"/>
      <c r="J10" s="29"/>
      <c r="K10" s="93"/>
      <c r="L10" s="93"/>
      <c r="M10" s="93"/>
      <c r="N10" s="93"/>
    </row>
    <row r="11" spans="1:224" s="17" customFormat="1" ht="30" customHeight="1">
      <c r="A11" s="753" t="s">
        <v>399</v>
      </c>
      <c r="B11" s="754"/>
      <c r="C11" s="755" t="s">
        <v>400</v>
      </c>
      <c r="D11" s="756">
        <v>0</v>
      </c>
      <c r="E11" s="756">
        <v>0</v>
      </c>
      <c r="F11" s="757">
        <f t="shared" si="0"/>
        <v>0</v>
      </c>
      <c r="I11" s="88"/>
      <c r="J11" s="29"/>
      <c r="K11" s="93"/>
      <c r="L11" s="93"/>
      <c r="M11" s="93"/>
      <c r="N11" s="93"/>
    </row>
    <row r="12" spans="1:224" s="17" customFormat="1" ht="30" customHeight="1">
      <c r="A12" s="753" t="s">
        <v>401</v>
      </c>
      <c r="B12" s="754"/>
      <c r="C12" s="755" t="s">
        <v>402</v>
      </c>
      <c r="D12" s="756">
        <v>0</v>
      </c>
      <c r="E12" s="756">
        <v>0</v>
      </c>
      <c r="F12" s="757">
        <f t="shared" si="0"/>
        <v>0</v>
      </c>
      <c r="I12" s="88"/>
      <c r="J12" s="29"/>
      <c r="K12" s="93"/>
      <c r="L12" s="93"/>
      <c r="M12" s="93"/>
      <c r="N12" s="93"/>
    </row>
    <row r="13" spans="1:224" s="17" customFormat="1" ht="30" customHeight="1">
      <c r="A13" s="753" t="s">
        <v>403</v>
      </c>
      <c r="B13" s="754"/>
      <c r="C13" s="755" t="s">
        <v>404</v>
      </c>
      <c r="D13" s="756">
        <v>0</v>
      </c>
      <c r="E13" s="756">
        <v>0</v>
      </c>
      <c r="F13" s="757">
        <f t="shared" si="0"/>
        <v>0</v>
      </c>
      <c r="I13" s="88"/>
      <c r="J13" s="29"/>
      <c r="K13" s="93"/>
      <c r="L13" s="93"/>
      <c r="M13" s="93"/>
      <c r="N13" s="93"/>
    </row>
    <row r="14" spans="1:224" s="17" customFormat="1" ht="30" customHeight="1">
      <c r="A14" s="753" t="s">
        <v>405</v>
      </c>
      <c r="B14" s="754"/>
      <c r="C14" s="755" t="s">
        <v>406</v>
      </c>
      <c r="D14" s="756">
        <v>0</v>
      </c>
      <c r="E14" s="756">
        <v>0</v>
      </c>
      <c r="F14" s="757">
        <f t="shared" si="0"/>
        <v>0</v>
      </c>
      <c r="I14" s="88"/>
      <c r="J14" s="29"/>
      <c r="K14" s="93"/>
      <c r="L14" s="93"/>
      <c r="M14" s="93"/>
      <c r="N14" s="93"/>
    </row>
    <row r="15" spans="1:224" s="17" customFormat="1" ht="30" customHeight="1">
      <c r="A15" s="753" t="s">
        <v>407</v>
      </c>
      <c r="B15" s="754"/>
      <c r="C15" s="755" t="s">
        <v>408</v>
      </c>
      <c r="D15" s="756">
        <v>239679</v>
      </c>
      <c r="E15" s="756">
        <v>0</v>
      </c>
      <c r="F15" s="757">
        <f t="shared" si="0"/>
        <v>239679</v>
      </c>
      <c r="I15" s="88"/>
      <c r="J15" s="29"/>
      <c r="K15" s="93"/>
      <c r="L15" s="93"/>
      <c r="M15" s="93"/>
      <c r="N15" s="93"/>
    </row>
    <row r="16" spans="1:224" s="17" customFormat="1" ht="30" customHeight="1">
      <c r="A16" s="753" t="s">
        <v>409</v>
      </c>
      <c r="B16" s="754"/>
      <c r="C16" s="755" t="s">
        <v>410</v>
      </c>
      <c r="D16" s="756">
        <v>0</v>
      </c>
      <c r="E16" s="756">
        <v>0</v>
      </c>
      <c r="F16" s="757">
        <f t="shared" si="0"/>
        <v>0</v>
      </c>
    </row>
    <row r="17" spans="1:6" s="17" customFormat="1" ht="30" customHeight="1">
      <c r="A17" s="753" t="s">
        <v>411</v>
      </c>
      <c r="B17" s="754"/>
      <c r="C17" s="755" t="s">
        <v>412</v>
      </c>
      <c r="D17" s="756">
        <v>0</v>
      </c>
      <c r="E17" s="756">
        <v>0</v>
      </c>
      <c r="F17" s="757">
        <f t="shared" si="0"/>
        <v>0</v>
      </c>
    </row>
    <row r="18" spans="1:6" s="17" customFormat="1" ht="30" customHeight="1">
      <c r="A18" s="753" t="s">
        <v>413</v>
      </c>
      <c r="B18" s="754"/>
      <c r="C18" s="755" t="s">
        <v>414</v>
      </c>
      <c r="D18" s="756">
        <v>0</v>
      </c>
      <c r="E18" s="756">
        <v>0</v>
      </c>
      <c r="F18" s="757">
        <f t="shared" si="0"/>
        <v>0</v>
      </c>
    </row>
    <row r="19" spans="1:6" s="17" customFormat="1" ht="30" customHeight="1">
      <c r="A19" s="753" t="s">
        <v>698</v>
      </c>
      <c r="B19" s="754"/>
      <c r="C19" s="755" t="s">
        <v>416</v>
      </c>
      <c r="D19" s="756">
        <v>0</v>
      </c>
      <c r="E19" s="756">
        <v>0</v>
      </c>
      <c r="F19" s="757">
        <f t="shared" si="0"/>
        <v>0</v>
      </c>
    </row>
    <row r="20" spans="1:6" s="17" customFormat="1" ht="30" customHeight="1">
      <c r="A20" s="753" t="s">
        <v>417</v>
      </c>
      <c r="B20" s="754"/>
      <c r="C20" s="755">
        <v>52500</v>
      </c>
      <c r="D20" s="756">
        <v>0</v>
      </c>
      <c r="E20" s="756">
        <v>0</v>
      </c>
      <c r="F20" s="757">
        <f>+D20+E20</f>
        <v>0</v>
      </c>
    </row>
    <row r="21" spans="1:6" s="17" customFormat="1" ht="30" customHeight="1">
      <c r="A21" s="753" t="s">
        <v>418</v>
      </c>
      <c r="B21" s="754"/>
      <c r="C21" s="755" t="s">
        <v>419</v>
      </c>
      <c r="D21" s="756">
        <v>0</v>
      </c>
      <c r="E21" s="756">
        <v>0</v>
      </c>
      <c r="F21" s="757">
        <f t="shared" si="0"/>
        <v>0</v>
      </c>
    </row>
    <row r="22" spans="1:6" s="17" customFormat="1" ht="30" customHeight="1">
      <c r="A22" s="753" t="s">
        <v>420</v>
      </c>
      <c r="B22" s="754"/>
      <c r="C22" s="755" t="s">
        <v>421</v>
      </c>
      <c r="D22" s="756">
        <v>0</v>
      </c>
      <c r="E22" s="756">
        <v>0</v>
      </c>
      <c r="F22" s="757">
        <f t="shared" si="0"/>
        <v>0</v>
      </c>
    </row>
    <row r="23" spans="1:6" s="17" customFormat="1" ht="30" customHeight="1">
      <c r="A23" s="753" t="s">
        <v>422</v>
      </c>
      <c r="B23" s="754"/>
      <c r="C23" s="755" t="s">
        <v>423</v>
      </c>
      <c r="D23" s="756">
        <v>0</v>
      </c>
      <c r="E23" s="756">
        <v>0</v>
      </c>
      <c r="F23" s="757">
        <f t="shared" si="0"/>
        <v>0</v>
      </c>
    </row>
    <row r="24" spans="1:6" s="17" customFormat="1" ht="30" customHeight="1">
      <c r="A24" s="753" t="s">
        <v>424</v>
      </c>
      <c r="B24" s="754"/>
      <c r="C24" s="755" t="s">
        <v>425</v>
      </c>
      <c r="D24" s="756">
        <v>0</v>
      </c>
      <c r="E24" s="756">
        <v>0</v>
      </c>
      <c r="F24" s="757">
        <f t="shared" si="0"/>
        <v>0</v>
      </c>
    </row>
    <row r="25" spans="1:6" s="17" customFormat="1" ht="30" customHeight="1">
      <c r="A25" s="753" t="s">
        <v>426</v>
      </c>
      <c r="B25" s="754"/>
      <c r="C25" s="755" t="s">
        <v>427</v>
      </c>
      <c r="D25" s="756">
        <v>0</v>
      </c>
      <c r="E25" s="756">
        <v>0</v>
      </c>
      <c r="F25" s="757">
        <f t="shared" si="0"/>
        <v>0</v>
      </c>
    </row>
    <row r="26" spans="1:6" s="17" customFormat="1" ht="30" customHeight="1">
      <c r="A26" s="753" t="s">
        <v>428</v>
      </c>
      <c r="B26" s="754"/>
      <c r="C26" s="755" t="s">
        <v>429</v>
      </c>
      <c r="D26" s="756">
        <v>0</v>
      </c>
      <c r="E26" s="756">
        <v>0</v>
      </c>
      <c r="F26" s="757">
        <f t="shared" si="0"/>
        <v>0</v>
      </c>
    </row>
    <row r="27" spans="1:6" s="17" customFormat="1" ht="30" customHeight="1">
      <c r="A27" s="753" t="s">
        <v>430</v>
      </c>
      <c r="B27" s="754"/>
      <c r="C27" s="755" t="s">
        <v>431</v>
      </c>
      <c r="D27" s="756">
        <v>0</v>
      </c>
      <c r="E27" s="756">
        <v>0</v>
      </c>
      <c r="F27" s="757">
        <f t="shared" si="0"/>
        <v>0</v>
      </c>
    </row>
    <row r="28" spans="1:6" s="17" customFormat="1" ht="30" customHeight="1">
      <c r="A28" s="753" t="s">
        <v>432</v>
      </c>
      <c r="B28" s="754"/>
      <c r="C28" s="755" t="s">
        <v>433</v>
      </c>
      <c r="D28" s="756">
        <v>0</v>
      </c>
      <c r="E28" s="756">
        <v>0</v>
      </c>
      <c r="F28" s="757">
        <f t="shared" si="0"/>
        <v>0</v>
      </c>
    </row>
    <row r="29" spans="1:6" s="17" customFormat="1" ht="30" customHeight="1">
      <c r="A29" s="753" t="s">
        <v>434</v>
      </c>
      <c r="B29" s="754"/>
      <c r="C29" s="755" t="s">
        <v>435</v>
      </c>
      <c r="D29" s="756">
        <v>0</v>
      </c>
      <c r="E29" s="756">
        <v>0</v>
      </c>
      <c r="F29" s="757">
        <f t="shared" si="0"/>
        <v>0</v>
      </c>
    </row>
    <row r="30" spans="1:6" s="17" customFormat="1" ht="30" customHeight="1">
      <c r="A30" s="753" t="s">
        <v>436</v>
      </c>
      <c r="B30" s="754"/>
      <c r="C30" s="755" t="s">
        <v>437</v>
      </c>
      <c r="D30" s="756">
        <v>0</v>
      </c>
      <c r="E30" s="756">
        <v>0</v>
      </c>
      <c r="F30" s="757">
        <f t="shared" si="0"/>
        <v>0</v>
      </c>
    </row>
    <row r="31" spans="1:6" s="17" customFormat="1" ht="30" customHeight="1">
      <c r="A31" s="753" t="s">
        <v>438</v>
      </c>
      <c r="B31" s="754"/>
      <c r="C31" s="755" t="s">
        <v>439</v>
      </c>
      <c r="D31" s="756">
        <v>0</v>
      </c>
      <c r="E31" s="756">
        <v>0</v>
      </c>
      <c r="F31" s="757">
        <f t="shared" si="0"/>
        <v>0</v>
      </c>
    </row>
    <row r="32" spans="1:6" s="17" customFormat="1" ht="30" customHeight="1">
      <c r="A32" s="753" t="s">
        <v>440</v>
      </c>
      <c r="B32" s="754"/>
      <c r="C32" s="755" t="s">
        <v>441</v>
      </c>
      <c r="D32" s="756">
        <v>0</v>
      </c>
      <c r="E32" s="756">
        <v>0</v>
      </c>
      <c r="F32" s="757">
        <f>+D32+E32</f>
        <v>0</v>
      </c>
    </row>
    <row r="33" spans="1:6" s="17" customFormat="1" ht="30" customHeight="1">
      <c r="A33" s="753" t="s">
        <v>442</v>
      </c>
      <c r="B33" s="754"/>
      <c r="C33" s="755" t="s">
        <v>443</v>
      </c>
      <c r="D33" s="756">
        <v>0</v>
      </c>
      <c r="E33" s="756">
        <v>0</v>
      </c>
      <c r="F33" s="757">
        <f t="shared" si="0"/>
        <v>0</v>
      </c>
    </row>
    <row r="34" spans="1:6" s="17" customFormat="1" ht="30" customHeight="1">
      <c r="A34" s="753" t="s">
        <v>444</v>
      </c>
      <c r="B34" s="754"/>
      <c r="C34" s="755" t="s">
        <v>445</v>
      </c>
      <c r="D34" s="756">
        <v>0</v>
      </c>
      <c r="E34" s="756">
        <v>0</v>
      </c>
      <c r="F34" s="757">
        <f t="shared" si="0"/>
        <v>0</v>
      </c>
    </row>
    <row r="35" spans="1:6" s="17" customFormat="1" ht="30" customHeight="1">
      <c r="A35" s="753" t="s">
        <v>446</v>
      </c>
      <c r="B35" s="754"/>
      <c r="C35" s="755">
        <v>56001</v>
      </c>
      <c r="D35" s="756">
        <v>0</v>
      </c>
      <c r="E35" s="756">
        <v>0</v>
      </c>
      <c r="F35" s="757">
        <f>+D35+E35</f>
        <v>0</v>
      </c>
    </row>
    <row r="36" spans="1:6" s="17" customFormat="1" ht="30" customHeight="1">
      <c r="A36" s="753" t="s">
        <v>447</v>
      </c>
      <c r="B36" s="754"/>
      <c r="C36" s="755">
        <v>56002</v>
      </c>
      <c r="D36" s="756">
        <v>0</v>
      </c>
      <c r="E36" s="756">
        <v>0</v>
      </c>
      <c r="F36" s="757">
        <f>+D36+E36</f>
        <v>0</v>
      </c>
    </row>
    <row r="37" spans="1:6" s="17" customFormat="1" ht="30" customHeight="1">
      <c r="A37" s="753" t="s">
        <v>448</v>
      </c>
      <c r="B37" s="754"/>
      <c r="C37" s="755">
        <v>56003</v>
      </c>
      <c r="D37" s="756">
        <v>0</v>
      </c>
      <c r="E37" s="756">
        <v>0</v>
      </c>
      <c r="F37" s="757">
        <f>+D37+E37</f>
        <v>0</v>
      </c>
    </row>
    <row r="38" spans="1:6" s="17" customFormat="1" ht="30" customHeight="1">
      <c r="A38" s="753" t="s">
        <v>449</v>
      </c>
      <c r="B38" s="754"/>
      <c r="C38" s="755" t="s">
        <v>450</v>
      </c>
      <c r="D38" s="756">
        <v>0</v>
      </c>
      <c r="E38" s="756">
        <v>0</v>
      </c>
      <c r="F38" s="757">
        <f>+D38+E38</f>
        <v>0</v>
      </c>
    </row>
    <row r="39" spans="1:6" s="17" customFormat="1" ht="30" customHeight="1">
      <c r="A39" s="753" t="s">
        <v>451</v>
      </c>
      <c r="B39" s="754"/>
      <c r="C39" s="755" t="s">
        <v>452</v>
      </c>
      <c r="D39" s="756">
        <v>0</v>
      </c>
      <c r="E39" s="756">
        <v>0</v>
      </c>
      <c r="F39" s="757">
        <f t="shared" si="0"/>
        <v>0</v>
      </c>
    </row>
    <row r="40" spans="1:6" s="17" customFormat="1" ht="30" customHeight="1">
      <c r="A40" s="753" t="s">
        <v>453</v>
      </c>
      <c r="B40" s="754"/>
      <c r="C40" s="755" t="s">
        <v>454</v>
      </c>
      <c r="D40" s="756">
        <v>0</v>
      </c>
      <c r="E40" s="756">
        <v>0</v>
      </c>
      <c r="F40" s="757">
        <f t="shared" si="0"/>
        <v>0</v>
      </c>
    </row>
    <row r="41" spans="1:6" s="17" customFormat="1" ht="30" customHeight="1">
      <c r="A41" s="753" t="s">
        <v>455</v>
      </c>
      <c r="B41" s="754"/>
      <c r="C41" s="755" t="s">
        <v>456</v>
      </c>
      <c r="D41" s="756">
        <v>0</v>
      </c>
      <c r="E41" s="756">
        <v>0</v>
      </c>
      <c r="F41" s="757">
        <f t="shared" si="0"/>
        <v>0</v>
      </c>
    </row>
    <row r="42" spans="1:6" s="17" customFormat="1" ht="30" customHeight="1">
      <c r="A42" s="753" t="s">
        <v>457</v>
      </c>
      <c r="B42" s="754"/>
      <c r="C42" s="755" t="s">
        <v>458</v>
      </c>
      <c r="D42" s="756">
        <v>0</v>
      </c>
      <c r="E42" s="756">
        <v>0</v>
      </c>
      <c r="F42" s="757">
        <f t="shared" si="0"/>
        <v>0</v>
      </c>
    </row>
    <row r="43" spans="1:6" s="17" customFormat="1" ht="30" customHeight="1">
      <c r="A43" s="753" t="s">
        <v>459</v>
      </c>
      <c r="B43" s="754"/>
      <c r="C43" s="755" t="s">
        <v>460</v>
      </c>
      <c r="D43" s="756">
        <v>0</v>
      </c>
      <c r="E43" s="756">
        <v>0</v>
      </c>
      <c r="F43" s="757">
        <f t="shared" si="0"/>
        <v>0</v>
      </c>
    </row>
    <row r="44" spans="1:6" s="17" customFormat="1" ht="30" customHeight="1">
      <c r="A44" s="753" t="s">
        <v>461</v>
      </c>
      <c r="B44" s="754"/>
      <c r="C44" s="755" t="s">
        <v>462</v>
      </c>
      <c r="D44" s="756">
        <v>0</v>
      </c>
      <c r="E44" s="756">
        <v>0</v>
      </c>
      <c r="F44" s="757">
        <f t="shared" si="0"/>
        <v>0</v>
      </c>
    </row>
    <row r="45" spans="1:6" s="17" customFormat="1" ht="30" customHeight="1">
      <c r="A45" s="753" t="s">
        <v>463</v>
      </c>
      <c r="B45" s="754"/>
      <c r="C45" s="755" t="s">
        <v>464</v>
      </c>
      <c r="D45" s="756">
        <v>0</v>
      </c>
      <c r="E45" s="756">
        <v>0</v>
      </c>
      <c r="F45" s="757">
        <f t="shared" si="0"/>
        <v>0</v>
      </c>
    </row>
    <row r="46" spans="1:6" s="17" customFormat="1" ht="30" customHeight="1">
      <c r="A46" s="753" t="s">
        <v>465</v>
      </c>
      <c r="B46" s="754"/>
      <c r="C46" s="755" t="s">
        <v>466</v>
      </c>
      <c r="D46" s="756">
        <v>0</v>
      </c>
      <c r="E46" s="756">
        <v>0</v>
      </c>
      <c r="F46" s="757">
        <f t="shared" si="0"/>
        <v>0</v>
      </c>
    </row>
    <row r="47" spans="1:6" s="17" customFormat="1" ht="30" customHeight="1">
      <c r="A47" s="753" t="s">
        <v>467</v>
      </c>
      <c r="B47" s="754"/>
      <c r="C47" s="755" t="s">
        <v>468</v>
      </c>
      <c r="D47" s="756">
        <v>0</v>
      </c>
      <c r="E47" s="756">
        <v>0</v>
      </c>
      <c r="F47" s="757">
        <f t="shared" si="0"/>
        <v>0</v>
      </c>
    </row>
    <row r="48" spans="1:6" s="17" customFormat="1" ht="30" customHeight="1">
      <c r="A48" s="753" t="s">
        <v>469</v>
      </c>
      <c r="B48" s="754"/>
      <c r="C48" s="755" t="s">
        <v>470</v>
      </c>
      <c r="D48" s="756">
        <v>17879</v>
      </c>
      <c r="E48" s="756">
        <v>0</v>
      </c>
      <c r="F48" s="757">
        <f t="shared" si="0"/>
        <v>17879</v>
      </c>
    </row>
    <row r="49" spans="1:6" s="17" customFormat="1" ht="30" customHeight="1">
      <c r="A49" s="753" t="s">
        <v>471</v>
      </c>
      <c r="B49" s="754"/>
      <c r="C49" s="755" t="s">
        <v>472</v>
      </c>
      <c r="D49" s="756">
        <v>25287</v>
      </c>
      <c r="E49" s="756">
        <v>0</v>
      </c>
      <c r="F49" s="757">
        <f t="shared" si="0"/>
        <v>25287</v>
      </c>
    </row>
    <row r="50" spans="1:6" s="17" customFormat="1" ht="30" customHeight="1">
      <c r="A50" s="753" t="s">
        <v>473</v>
      </c>
      <c r="B50" s="754"/>
      <c r="C50" s="755" t="s">
        <v>474</v>
      </c>
      <c r="D50" s="756">
        <v>0</v>
      </c>
      <c r="E50" s="756">
        <v>0</v>
      </c>
      <c r="F50" s="757">
        <f t="shared" si="0"/>
        <v>0</v>
      </c>
    </row>
    <row r="51" spans="1:6" s="17" customFormat="1" ht="30" customHeight="1">
      <c r="A51" s="753" t="s">
        <v>475</v>
      </c>
      <c r="B51" s="754"/>
      <c r="C51" s="755" t="s">
        <v>476</v>
      </c>
      <c r="D51" s="756">
        <v>0</v>
      </c>
      <c r="E51" s="756">
        <v>0</v>
      </c>
      <c r="F51" s="757">
        <f t="shared" si="0"/>
        <v>0</v>
      </c>
    </row>
    <row r="52" spans="1:6" s="17" customFormat="1" ht="30" customHeight="1">
      <c r="A52" s="753" t="s">
        <v>477</v>
      </c>
      <c r="B52" s="754"/>
      <c r="C52" s="755" t="s">
        <v>478</v>
      </c>
      <c r="D52" s="756">
        <v>0</v>
      </c>
      <c r="E52" s="756">
        <v>0</v>
      </c>
      <c r="F52" s="757">
        <f t="shared" si="0"/>
        <v>0</v>
      </c>
    </row>
    <row r="53" spans="1:6" s="17" customFormat="1" ht="30" customHeight="1">
      <c r="A53" s="753" t="s">
        <v>600</v>
      </c>
      <c r="B53" s="754"/>
      <c r="C53" s="755" t="s">
        <v>601</v>
      </c>
      <c r="D53" s="756">
        <v>0</v>
      </c>
      <c r="E53" s="756">
        <v>0</v>
      </c>
      <c r="F53" s="757">
        <f>+D53+E53</f>
        <v>0</v>
      </c>
    </row>
    <row r="54" spans="1:6" s="17" customFormat="1" ht="30" customHeight="1">
      <c r="A54" s="753" t="s">
        <v>480</v>
      </c>
      <c r="B54" s="754"/>
      <c r="C54" s="755" t="s">
        <v>481</v>
      </c>
      <c r="D54" s="756">
        <v>26947</v>
      </c>
      <c r="E54" s="756">
        <v>0</v>
      </c>
      <c r="F54" s="757">
        <f t="shared" si="0"/>
        <v>26947</v>
      </c>
    </row>
    <row r="55" spans="1:6" s="17" customFormat="1" ht="30" customHeight="1">
      <c r="A55" s="753" t="s">
        <v>482</v>
      </c>
      <c r="B55" s="754"/>
      <c r="C55" s="755" t="s">
        <v>483</v>
      </c>
      <c r="D55" s="756">
        <v>0</v>
      </c>
      <c r="E55" s="756">
        <v>0</v>
      </c>
      <c r="F55" s="757">
        <f t="shared" si="0"/>
        <v>0</v>
      </c>
    </row>
    <row r="56" spans="1:6" s="17" customFormat="1" ht="30" customHeight="1" thickBot="1">
      <c r="A56" s="758" t="s">
        <v>484</v>
      </c>
      <c r="B56" s="759"/>
      <c r="C56" s="760" t="s">
        <v>485</v>
      </c>
      <c r="D56" s="756">
        <v>0</v>
      </c>
      <c r="E56" s="761">
        <v>0</v>
      </c>
      <c r="F56" s="762">
        <f t="shared" si="0"/>
        <v>0</v>
      </c>
    </row>
    <row r="57" spans="1:6" s="175" customFormat="1" ht="30" customHeight="1" thickBot="1">
      <c r="A57" s="262" t="s">
        <v>486</v>
      </c>
      <c r="B57" s="263"/>
      <c r="C57" s="560"/>
      <c r="D57" s="268">
        <f>SUM(D10:D56)</f>
        <v>309792</v>
      </c>
      <c r="E57" s="268">
        <f>SUM(E10:E56)</f>
        <v>0</v>
      </c>
      <c r="F57" s="268">
        <f t="shared" si="0"/>
        <v>309792</v>
      </c>
    </row>
    <row r="58" spans="1:6" s="17" customFormat="1" ht="30" customHeight="1">
      <c r="A58" s="235"/>
      <c r="B58" s="236"/>
      <c r="C58" s="561"/>
      <c r="D58" s="562"/>
      <c r="E58" s="562"/>
      <c r="F58" s="562"/>
    </row>
    <row r="59" spans="1:6" s="17" customFormat="1" ht="30" customHeight="1">
      <c r="A59" s="237"/>
      <c r="B59" s="237"/>
      <c r="C59" s="237"/>
      <c r="D59" s="238"/>
      <c r="E59" s="238"/>
      <c r="F59" s="238"/>
    </row>
    <row r="60" spans="1:6" s="17" customFormat="1" ht="30" customHeight="1" thickBot="1">
      <c r="A60" s="237"/>
      <c r="B60" s="237"/>
      <c r="C60" s="237"/>
      <c r="D60" s="238"/>
      <c r="E60" s="238"/>
      <c r="F60" s="238"/>
    </row>
    <row r="61" spans="1:6" s="17" customFormat="1" ht="30" customHeight="1" thickBot="1">
      <c r="A61" s="228"/>
      <c r="B61" s="229"/>
      <c r="C61" s="870" t="str">
        <f>C7</f>
        <v>2024-25</v>
      </c>
      <c r="D61" s="871"/>
      <c r="E61" s="871"/>
      <c r="F61" s="872"/>
    </row>
    <row r="62" spans="1:6" s="17" customFormat="1" ht="111.6" customHeight="1" thickBot="1">
      <c r="A62" s="986" t="s">
        <v>596</v>
      </c>
      <c r="B62" s="987"/>
      <c r="C62" s="231" t="s">
        <v>262</v>
      </c>
      <c r="D62" s="232" t="s">
        <v>597</v>
      </c>
      <c r="E62" s="558" t="s">
        <v>598</v>
      </c>
      <c r="F62" s="231" t="s">
        <v>599</v>
      </c>
    </row>
    <row r="63" spans="1:6" s="17" customFormat="1" ht="30" customHeight="1" thickBot="1">
      <c r="A63" s="874" t="s">
        <v>156</v>
      </c>
      <c r="B63" s="875"/>
      <c r="C63" s="239"/>
      <c r="D63" s="240"/>
      <c r="E63" s="240"/>
      <c r="F63" s="240"/>
    </row>
    <row r="64" spans="1:6" s="17" customFormat="1" ht="30" customHeight="1">
      <c r="A64" s="233" t="s">
        <v>488</v>
      </c>
      <c r="B64" s="241"/>
      <c r="C64" s="242" t="s">
        <v>489</v>
      </c>
      <c r="D64" s="453">
        <v>0</v>
      </c>
      <c r="E64" s="453">
        <v>0</v>
      </c>
      <c r="F64" s="234">
        <f t="shared" si="0"/>
        <v>0</v>
      </c>
    </row>
    <row r="65" spans="1:6" s="17" customFormat="1" ht="30" customHeight="1">
      <c r="A65" s="753" t="s">
        <v>490</v>
      </c>
      <c r="B65" s="754"/>
      <c r="C65" s="763" t="s">
        <v>491</v>
      </c>
      <c r="D65" s="756">
        <v>0</v>
      </c>
      <c r="E65" s="756">
        <v>0</v>
      </c>
      <c r="F65" s="757">
        <f t="shared" si="0"/>
        <v>0</v>
      </c>
    </row>
    <row r="66" spans="1:6" s="17" customFormat="1" ht="30" customHeight="1">
      <c r="A66" s="753" t="s">
        <v>492</v>
      </c>
      <c r="B66" s="754"/>
      <c r="C66" s="763" t="s">
        <v>493</v>
      </c>
      <c r="D66" s="756">
        <v>0</v>
      </c>
      <c r="E66" s="756">
        <v>0</v>
      </c>
      <c r="F66" s="757">
        <f t="shared" si="0"/>
        <v>0</v>
      </c>
    </row>
    <row r="67" spans="1:6" s="17" customFormat="1" ht="30" customHeight="1">
      <c r="A67" s="753" t="s">
        <v>494</v>
      </c>
      <c r="B67" s="754"/>
      <c r="C67" s="763" t="s">
        <v>495</v>
      </c>
      <c r="D67" s="756">
        <v>0</v>
      </c>
      <c r="E67" s="756">
        <v>0</v>
      </c>
      <c r="F67" s="757">
        <f t="shared" si="0"/>
        <v>0</v>
      </c>
    </row>
    <row r="68" spans="1:6" s="17" customFormat="1" ht="30" customHeight="1">
      <c r="A68" s="753" t="s">
        <v>602</v>
      </c>
      <c r="B68" s="754"/>
      <c r="C68" s="763" t="s">
        <v>497</v>
      </c>
      <c r="D68" s="756">
        <v>0</v>
      </c>
      <c r="E68" s="756">
        <v>0</v>
      </c>
      <c r="F68" s="757">
        <f t="shared" si="0"/>
        <v>0</v>
      </c>
    </row>
    <row r="69" spans="1:6" s="17" customFormat="1" ht="30" customHeight="1">
      <c r="A69" s="753" t="s">
        <v>498</v>
      </c>
      <c r="B69" s="754"/>
      <c r="C69" s="763" t="s">
        <v>499</v>
      </c>
      <c r="D69" s="756">
        <v>0</v>
      </c>
      <c r="E69" s="756">
        <v>0</v>
      </c>
      <c r="F69" s="757">
        <f t="shared" si="0"/>
        <v>0</v>
      </c>
    </row>
    <row r="70" spans="1:6" s="17" customFormat="1" ht="30" customHeight="1">
      <c r="A70" s="1018" t="s">
        <v>690</v>
      </c>
      <c r="B70" s="754"/>
      <c r="C70" s="1015">
        <v>63100</v>
      </c>
      <c r="D70" s="1016">
        <v>0</v>
      </c>
      <c r="E70" s="1016">
        <v>0</v>
      </c>
      <c r="F70" s="1017">
        <v>0</v>
      </c>
    </row>
    <row r="71" spans="1:6" s="17" customFormat="1" ht="30" customHeight="1">
      <c r="A71" s="753" t="s">
        <v>500</v>
      </c>
      <c r="B71" s="754"/>
      <c r="C71" s="763" t="s">
        <v>501</v>
      </c>
      <c r="D71" s="756">
        <v>0</v>
      </c>
      <c r="E71" s="756">
        <v>0</v>
      </c>
      <c r="F71" s="757">
        <f t="shared" si="0"/>
        <v>0</v>
      </c>
    </row>
    <row r="72" spans="1:6" s="17" customFormat="1" ht="30" customHeight="1">
      <c r="A72" s="753" t="s">
        <v>702</v>
      </c>
      <c r="B72" s="754"/>
      <c r="C72" s="763" t="s">
        <v>503</v>
      </c>
      <c r="D72" s="756">
        <v>0</v>
      </c>
      <c r="E72" s="756">
        <v>0</v>
      </c>
      <c r="F72" s="757">
        <f t="shared" si="0"/>
        <v>0</v>
      </c>
    </row>
    <row r="73" spans="1:6" s="17" customFormat="1" ht="30" customHeight="1">
      <c r="A73" s="753" t="s">
        <v>504</v>
      </c>
      <c r="B73" s="754"/>
      <c r="C73" s="763" t="s">
        <v>505</v>
      </c>
      <c r="D73" s="756">
        <v>0</v>
      </c>
      <c r="E73" s="756">
        <v>0</v>
      </c>
      <c r="F73" s="757">
        <f t="shared" si="0"/>
        <v>0</v>
      </c>
    </row>
    <row r="74" spans="1:6" s="17" customFormat="1" ht="30" customHeight="1">
      <c r="A74" s="753" t="s">
        <v>683</v>
      </c>
      <c r="B74" s="754"/>
      <c r="C74" s="763" t="s">
        <v>506</v>
      </c>
      <c r="D74" s="756">
        <v>0</v>
      </c>
      <c r="E74" s="756">
        <v>0</v>
      </c>
      <c r="F74" s="757">
        <f t="shared" si="0"/>
        <v>0</v>
      </c>
    </row>
    <row r="75" spans="1:6" s="17" customFormat="1" ht="30" customHeight="1">
      <c r="A75" s="753" t="s">
        <v>507</v>
      </c>
      <c r="B75" s="754"/>
      <c r="C75" s="763" t="s">
        <v>508</v>
      </c>
      <c r="D75" s="756">
        <v>0</v>
      </c>
      <c r="E75" s="756">
        <v>0</v>
      </c>
      <c r="F75" s="757">
        <f t="shared" ref="F75:F110" si="1">+D75+E75</f>
        <v>0</v>
      </c>
    </row>
    <row r="76" spans="1:6" s="17" customFormat="1" ht="30" customHeight="1">
      <c r="A76" s="753" t="s">
        <v>509</v>
      </c>
      <c r="B76" s="754"/>
      <c r="C76" s="763" t="s">
        <v>510</v>
      </c>
      <c r="D76" s="756">
        <v>0</v>
      </c>
      <c r="E76" s="756">
        <v>0</v>
      </c>
      <c r="F76" s="757">
        <f t="shared" si="1"/>
        <v>0</v>
      </c>
    </row>
    <row r="77" spans="1:6" s="17" customFormat="1" ht="30" customHeight="1">
      <c r="A77" s="753" t="s">
        <v>511</v>
      </c>
      <c r="B77" s="754"/>
      <c r="C77" s="763" t="s">
        <v>512</v>
      </c>
      <c r="D77" s="756">
        <v>0</v>
      </c>
      <c r="E77" s="756">
        <v>0</v>
      </c>
      <c r="F77" s="757">
        <f t="shared" si="1"/>
        <v>0</v>
      </c>
    </row>
    <row r="78" spans="1:6" s="17" customFormat="1" ht="30" customHeight="1">
      <c r="A78" s="753" t="s">
        <v>513</v>
      </c>
      <c r="B78" s="754"/>
      <c r="C78" s="763" t="s">
        <v>514</v>
      </c>
      <c r="D78" s="756">
        <v>0</v>
      </c>
      <c r="E78" s="756">
        <v>0</v>
      </c>
      <c r="F78" s="757">
        <f t="shared" si="1"/>
        <v>0</v>
      </c>
    </row>
    <row r="79" spans="1:6" s="17" customFormat="1" ht="30" customHeight="1">
      <c r="A79" s="753" t="s">
        <v>515</v>
      </c>
      <c r="B79" s="754"/>
      <c r="C79" s="763" t="s">
        <v>516</v>
      </c>
      <c r="D79" s="756">
        <v>0</v>
      </c>
      <c r="E79" s="756">
        <v>0</v>
      </c>
      <c r="F79" s="757">
        <f t="shared" si="1"/>
        <v>0</v>
      </c>
    </row>
    <row r="80" spans="1:6" s="17" customFormat="1" ht="30" customHeight="1">
      <c r="A80" s="753" t="s">
        <v>517</v>
      </c>
      <c r="B80" s="754"/>
      <c r="C80" s="763" t="s">
        <v>518</v>
      </c>
      <c r="D80" s="756">
        <v>0</v>
      </c>
      <c r="E80" s="756">
        <v>0</v>
      </c>
      <c r="F80" s="757">
        <f t="shared" si="1"/>
        <v>0</v>
      </c>
    </row>
    <row r="81" spans="1:6" s="17" customFormat="1" ht="30" customHeight="1">
      <c r="A81" s="753" t="s">
        <v>519</v>
      </c>
      <c r="B81" s="754"/>
      <c r="C81" s="763" t="s">
        <v>520</v>
      </c>
      <c r="D81" s="756">
        <v>0</v>
      </c>
      <c r="E81" s="756">
        <v>0</v>
      </c>
      <c r="F81" s="757">
        <f t="shared" ref="F81:F86" si="2">+D81+E81</f>
        <v>0</v>
      </c>
    </row>
    <row r="82" spans="1:6" s="17" customFormat="1" ht="30" customHeight="1">
      <c r="A82" s="753" t="s">
        <v>521</v>
      </c>
      <c r="B82" s="754"/>
      <c r="C82" s="763" t="s">
        <v>522</v>
      </c>
      <c r="D82" s="756">
        <v>0</v>
      </c>
      <c r="E82" s="756">
        <v>0</v>
      </c>
      <c r="F82" s="757">
        <f t="shared" si="2"/>
        <v>0</v>
      </c>
    </row>
    <row r="83" spans="1:6" s="17" customFormat="1" ht="30" customHeight="1">
      <c r="A83" s="753" t="s">
        <v>523</v>
      </c>
      <c r="B83" s="754"/>
      <c r="C83" s="763" t="s">
        <v>524</v>
      </c>
      <c r="D83" s="756">
        <v>0</v>
      </c>
      <c r="E83" s="756">
        <v>0</v>
      </c>
      <c r="F83" s="757">
        <f t="shared" si="2"/>
        <v>0</v>
      </c>
    </row>
    <row r="84" spans="1:6" s="17" customFormat="1" ht="30" customHeight="1">
      <c r="A84" s="753" t="s">
        <v>525</v>
      </c>
      <c r="B84" s="754"/>
      <c r="C84" s="763" t="s">
        <v>526</v>
      </c>
      <c r="D84" s="756">
        <v>0</v>
      </c>
      <c r="E84" s="756">
        <v>0</v>
      </c>
      <c r="F84" s="757">
        <f t="shared" si="2"/>
        <v>0</v>
      </c>
    </row>
    <row r="85" spans="1:6" s="17" customFormat="1" ht="30" customHeight="1">
      <c r="A85" s="753" t="s">
        <v>527</v>
      </c>
      <c r="B85" s="754"/>
      <c r="C85" s="763" t="s">
        <v>528</v>
      </c>
      <c r="D85" s="756">
        <v>0</v>
      </c>
      <c r="E85" s="756">
        <v>0</v>
      </c>
      <c r="F85" s="757">
        <f t="shared" si="2"/>
        <v>0</v>
      </c>
    </row>
    <row r="86" spans="1:6" s="17" customFormat="1" ht="30" customHeight="1">
      <c r="A86" s="753" t="s">
        <v>529</v>
      </c>
      <c r="B86" s="754"/>
      <c r="C86" s="763" t="s">
        <v>530</v>
      </c>
      <c r="D86" s="756">
        <v>0</v>
      </c>
      <c r="E86" s="756">
        <v>0</v>
      </c>
      <c r="F86" s="757">
        <f t="shared" si="2"/>
        <v>0</v>
      </c>
    </row>
    <row r="87" spans="1:6" s="17" customFormat="1" ht="30" customHeight="1">
      <c r="A87" s="753" t="s">
        <v>531</v>
      </c>
      <c r="B87" s="754"/>
      <c r="C87" s="763" t="s">
        <v>532</v>
      </c>
      <c r="D87" s="756">
        <v>0</v>
      </c>
      <c r="E87" s="756">
        <v>0</v>
      </c>
      <c r="F87" s="757">
        <f t="shared" si="1"/>
        <v>0</v>
      </c>
    </row>
    <row r="88" spans="1:6" s="17" customFormat="1" ht="30" customHeight="1">
      <c r="A88" s="753" t="s">
        <v>603</v>
      </c>
      <c r="B88" s="754"/>
      <c r="C88" s="763">
        <v>69100</v>
      </c>
      <c r="D88" s="756">
        <v>0</v>
      </c>
      <c r="E88" s="756">
        <v>0</v>
      </c>
      <c r="F88" s="757">
        <f t="shared" si="1"/>
        <v>0</v>
      </c>
    </row>
    <row r="89" spans="1:6" s="17" customFormat="1" ht="30" customHeight="1">
      <c r="A89" s="753" t="s">
        <v>604</v>
      </c>
      <c r="B89" s="754"/>
      <c r="C89" s="763">
        <v>69200</v>
      </c>
      <c r="D89" s="756">
        <v>0</v>
      </c>
      <c r="E89" s="756">
        <v>0</v>
      </c>
      <c r="F89" s="757">
        <f t="shared" si="1"/>
        <v>0</v>
      </c>
    </row>
    <row r="90" spans="1:6" s="17" customFormat="1" ht="30" customHeight="1">
      <c r="A90" s="753" t="s">
        <v>533</v>
      </c>
      <c r="B90" s="754"/>
      <c r="C90" s="763" t="s">
        <v>534</v>
      </c>
      <c r="D90" s="756">
        <v>0</v>
      </c>
      <c r="E90" s="756">
        <v>0</v>
      </c>
      <c r="F90" s="757">
        <f t="shared" si="1"/>
        <v>0</v>
      </c>
    </row>
    <row r="91" spans="1:6" s="17" customFormat="1" ht="30" customHeight="1">
      <c r="A91" s="753" t="s">
        <v>390</v>
      </c>
      <c r="B91" s="754"/>
      <c r="C91" s="763" t="s">
        <v>536</v>
      </c>
      <c r="D91" s="756">
        <v>0</v>
      </c>
      <c r="E91" s="756">
        <v>0</v>
      </c>
      <c r="F91" s="757">
        <f t="shared" si="1"/>
        <v>0</v>
      </c>
    </row>
    <row r="92" spans="1:6" s="17" customFormat="1" ht="30" customHeight="1" thickBot="1">
      <c r="A92" s="758" t="s">
        <v>537</v>
      </c>
      <c r="B92" s="759"/>
      <c r="C92" s="764" t="s">
        <v>538</v>
      </c>
      <c r="D92" s="756">
        <v>0</v>
      </c>
      <c r="E92" s="756">
        <v>0</v>
      </c>
      <c r="F92" s="762">
        <f t="shared" si="1"/>
        <v>0</v>
      </c>
    </row>
    <row r="93" spans="1:6" s="17" customFormat="1" ht="30" customHeight="1" thickBot="1">
      <c r="A93" s="868" t="s">
        <v>605</v>
      </c>
      <c r="B93" s="873"/>
      <c r="C93" s="265"/>
      <c r="D93" s="264">
        <f>SUM(D64:D92)</f>
        <v>0</v>
      </c>
      <c r="E93" s="264">
        <f>SUM(E64:E92)</f>
        <v>0</v>
      </c>
      <c r="F93" s="264">
        <f t="shared" si="1"/>
        <v>0</v>
      </c>
    </row>
    <row r="94" spans="1:6" s="17" customFormat="1" ht="30" customHeight="1">
      <c r="A94" s="243"/>
      <c r="B94" s="243"/>
      <c r="C94" s="243"/>
      <c r="D94" s="244"/>
      <c r="E94" s="244"/>
      <c r="F94" s="244"/>
    </row>
    <row r="95" spans="1:6" s="17" customFormat="1" ht="30" customHeight="1" thickBot="1">
      <c r="A95" s="243"/>
      <c r="B95" s="243"/>
      <c r="C95" s="243"/>
      <c r="D95" s="244"/>
      <c r="E95" s="244"/>
      <c r="F95" s="244"/>
    </row>
    <row r="96" spans="1:6" s="17" customFormat="1" ht="30" customHeight="1" thickBot="1">
      <c r="A96" s="245"/>
      <c r="B96" s="245"/>
      <c r="C96" s="870" t="str">
        <f>C7</f>
        <v>2024-25</v>
      </c>
      <c r="D96" s="871"/>
      <c r="E96" s="871"/>
      <c r="F96" s="872"/>
    </row>
    <row r="97" spans="1:6" s="17" customFormat="1" ht="111.6" customHeight="1" thickBot="1">
      <c r="A97" s="988" t="s">
        <v>157</v>
      </c>
      <c r="B97" s="989"/>
      <c r="C97" s="231" t="s">
        <v>262</v>
      </c>
      <c r="D97" s="232" t="s">
        <v>597</v>
      </c>
      <c r="E97" s="558" t="s">
        <v>598</v>
      </c>
      <c r="F97" s="231" t="s">
        <v>599</v>
      </c>
    </row>
    <row r="98" spans="1:6" s="17" customFormat="1" ht="30" customHeight="1">
      <c r="A98" s="233" t="s">
        <v>540</v>
      </c>
      <c r="B98" s="241"/>
      <c r="C98" s="242" t="s">
        <v>541</v>
      </c>
      <c r="D98" s="453">
        <v>0</v>
      </c>
      <c r="E98" s="453">
        <v>0</v>
      </c>
      <c r="F98" s="234">
        <f t="shared" si="1"/>
        <v>0</v>
      </c>
    </row>
    <row r="99" spans="1:6" s="17" customFormat="1" ht="30" customHeight="1">
      <c r="A99" s="753" t="s">
        <v>606</v>
      </c>
      <c r="B99" s="754"/>
      <c r="C99" s="763" t="s">
        <v>543</v>
      </c>
      <c r="D99" s="756">
        <v>0</v>
      </c>
      <c r="E99" s="756">
        <v>0</v>
      </c>
      <c r="F99" s="757">
        <f t="shared" si="1"/>
        <v>0</v>
      </c>
    </row>
    <row r="100" spans="1:6" s="17" customFormat="1" ht="30" customHeight="1">
      <c r="A100" s="753" t="s">
        <v>544</v>
      </c>
      <c r="B100" s="754"/>
      <c r="C100" s="763" t="s">
        <v>545</v>
      </c>
      <c r="D100" s="756">
        <v>0</v>
      </c>
      <c r="E100" s="756">
        <v>0</v>
      </c>
      <c r="F100" s="757">
        <f t="shared" si="1"/>
        <v>0</v>
      </c>
    </row>
    <row r="101" spans="1:6" s="17" customFormat="1" ht="30" customHeight="1">
      <c r="A101" s="753" t="s">
        <v>546</v>
      </c>
      <c r="B101" s="754"/>
      <c r="C101" s="763" t="s">
        <v>547</v>
      </c>
      <c r="D101" s="756">
        <v>0</v>
      </c>
      <c r="E101" s="756">
        <v>0</v>
      </c>
      <c r="F101" s="757">
        <f t="shared" si="1"/>
        <v>0</v>
      </c>
    </row>
    <row r="102" spans="1:6" s="17" customFormat="1" ht="30" customHeight="1">
      <c r="A102" s="753" t="s">
        <v>549</v>
      </c>
      <c r="B102" s="754"/>
      <c r="C102" s="1015" t="s">
        <v>550</v>
      </c>
      <c r="D102" s="1016">
        <v>0</v>
      </c>
      <c r="E102" s="1016">
        <v>0</v>
      </c>
      <c r="F102" s="1017">
        <f t="shared" si="1"/>
        <v>0</v>
      </c>
    </row>
    <row r="103" spans="1:6" s="17" customFormat="1" ht="30" customHeight="1">
      <c r="A103" s="1098" t="s">
        <v>692</v>
      </c>
      <c r="B103" s="1099"/>
      <c r="C103" s="1100">
        <v>73001</v>
      </c>
      <c r="D103" s="1124">
        <v>0</v>
      </c>
      <c r="E103" s="1124">
        <v>0</v>
      </c>
      <c r="F103" s="1056">
        <f t="shared" si="1"/>
        <v>0</v>
      </c>
    </row>
    <row r="104" spans="1:6" s="17" customFormat="1" ht="30" customHeight="1">
      <c r="A104" s="1101" t="s">
        <v>693</v>
      </c>
      <c r="B104" s="1102"/>
      <c r="C104" s="1103">
        <v>73002</v>
      </c>
      <c r="D104" s="1125">
        <v>0</v>
      </c>
      <c r="E104" s="1125">
        <v>0</v>
      </c>
      <c r="F104" s="1057">
        <f t="shared" si="1"/>
        <v>0</v>
      </c>
    </row>
    <row r="105" spans="1:6" s="17" customFormat="1" ht="30" customHeight="1">
      <c r="A105" s="753" t="s">
        <v>548</v>
      </c>
      <c r="B105" s="754"/>
      <c r="C105" s="1053">
        <v>73050</v>
      </c>
      <c r="D105" s="1054">
        <v>0</v>
      </c>
      <c r="E105" s="1054">
        <v>0</v>
      </c>
      <c r="F105" s="1055">
        <f>+D105+E105</f>
        <v>0</v>
      </c>
    </row>
    <row r="106" spans="1:6" s="17" customFormat="1" ht="30" customHeight="1">
      <c r="A106" s="1018" t="s">
        <v>689</v>
      </c>
      <c r="B106" s="754"/>
      <c r="C106" s="1015">
        <v>73100</v>
      </c>
      <c r="D106" s="1016">
        <v>0</v>
      </c>
      <c r="E106" s="1016">
        <v>0</v>
      </c>
      <c r="F106" s="1055">
        <f>+D106+E106</f>
        <v>0</v>
      </c>
    </row>
    <row r="107" spans="1:6" s="17" customFormat="1" ht="47.25" customHeight="1">
      <c r="A107" s="1081" t="s">
        <v>607</v>
      </c>
      <c r="B107" s="1082"/>
      <c r="C107" s="763" t="s">
        <v>552</v>
      </c>
      <c r="D107" s="756">
        <v>0</v>
      </c>
      <c r="E107" s="756">
        <v>0</v>
      </c>
      <c r="F107" s="757">
        <f t="shared" si="1"/>
        <v>0</v>
      </c>
    </row>
    <row r="108" spans="1:6" s="17" customFormat="1" ht="30" customHeight="1">
      <c r="A108" s="753" t="s">
        <v>553</v>
      </c>
      <c r="B108" s="754"/>
      <c r="C108" s="763" t="s">
        <v>554</v>
      </c>
      <c r="D108" s="756">
        <v>0</v>
      </c>
      <c r="E108" s="756">
        <v>0</v>
      </c>
      <c r="F108" s="757">
        <f t="shared" si="1"/>
        <v>0</v>
      </c>
    </row>
    <row r="109" spans="1:6" s="17" customFormat="1" ht="30" customHeight="1">
      <c r="A109" s="753" t="s">
        <v>555</v>
      </c>
      <c r="B109" s="754"/>
      <c r="C109" s="763" t="s">
        <v>556</v>
      </c>
      <c r="D109" s="756">
        <v>0</v>
      </c>
      <c r="E109" s="756">
        <v>0</v>
      </c>
      <c r="F109" s="757">
        <f t="shared" si="1"/>
        <v>0</v>
      </c>
    </row>
    <row r="110" spans="1:6" s="17" customFormat="1" ht="30" customHeight="1" thickBot="1">
      <c r="A110" s="758" t="s">
        <v>557</v>
      </c>
      <c r="B110" s="759"/>
      <c r="C110" s="764" t="s">
        <v>558</v>
      </c>
      <c r="D110" s="761">
        <v>0</v>
      </c>
      <c r="E110" s="761">
        <v>0</v>
      </c>
      <c r="F110" s="762">
        <f t="shared" si="1"/>
        <v>0</v>
      </c>
    </row>
    <row r="111" spans="1:6" s="17" customFormat="1" ht="30" customHeight="1" thickBot="1">
      <c r="A111" s="266" t="s">
        <v>559</v>
      </c>
      <c r="B111" s="267"/>
      <c r="C111" s="267"/>
      <c r="D111" s="268">
        <f>SUM(D98:D110)</f>
        <v>0</v>
      </c>
      <c r="E111" s="268">
        <f>SUM(E98:E110)</f>
        <v>0</v>
      </c>
      <c r="F111" s="268">
        <f>SUM(D111:E111)</f>
        <v>0</v>
      </c>
    </row>
    <row r="112" spans="1:6" s="17" customFormat="1" ht="30" customHeight="1" thickBot="1">
      <c r="A112" s="272"/>
      <c r="B112" s="273"/>
      <c r="C112" s="269"/>
      <c r="D112" s="270"/>
      <c r="E112" s="270"/>
      <c r="F112" s="270"/>
    </row>
    <row r="113" spans="1:6" s="178" customFormat="1" ht="30" customHeight="1" thickBot="1">
      <c r="A113" s="868" t="s">
        <v>560</v>
      </c>
      <c r="B113" s="873"/>
      <c r="C113" s="256"/>
      <c r="D113" s="264">
        <f>+D57+D93+D111</f>
        <v>309792</v>
      </c>
      <c r="E113" s="264">
        <f>+E57+E93+E111</f>
        <v>0</v>
      </c>
      <c r="F113" s="264">
        <f>SUM(D113:E113)</f>
        <v>309792</v>
      </c>
    </row>
    <row r="114" spans="1:6" s="17" customFormat="1" ht="116.45" customHeight="1">
      <c r="F114" s="246"/>
    </row>
    <row r="115" spans="1:6" s="69" customFormat="1" ht="30" customHeight="1" thickBot="1">
      <c r="A115" s="17"/>
      <c r="B115" s="17"/>
      <c r="C115" s="17"/>
      <c r="D115" s="17"/>
      <c r="E115" s="17"/>
      <c r="F115" s="17"/>
    </row>
    <row r="116" spans="1:6" s="69" customFormat="1" ht="111.75" customHeight="1" thickBot="1">
      <c r="A116" s="986" t="s">
        <v>608</v>
      </c>
      <c r="B116" s="987"/>
      <c r="C116" s="231" t="s">
        <v>262</v>
      </c>
      <c r="D116" s="231" t="s">
        <v>597</v>
      </c>
      <c r="E116" s="231" t="s">
        <v>598</v>
      </c>
      <c r="F116" s="231" t="s">
        <v>599</v>
      </c>
    </row>
    <row r="117" spans="1:6" s="69" customFormat="1" ht="30" customHeight="1">
      <c r="A117" s="233" t="s">
        <v>609</v>
      </c>
      <c r="B117" s="260"/>
      <c r="C117" s="261"/>
      <c r="D117" s="453">
        <v>0</v>
      </c>
      <c r="E117" s="453">
        <v>0</v>
      </c>
      <c r="F117" s="234">
        <v>0</v>
      </c>
    </row>
    <row r="118" spans="1:6" s="69" customFormat="1" ht="30" customHeight="1">
      <c r="A118" s="753" t="s">
        <v>610</v>
      </c>
      <c r="B118" s="602"/>
      <c r="C118" s="765"/>
      <c r="D118" s="1080">
        <f>'EXHIBIT C'!H10</f>
        <v>289139</v>
      </c>
      <c r="E118" s="756">
        <v>0</v>
      </c>
      <c r="F118" s="757">
        <f t="shared" ref="F118:F128" si="3">+D118+E118</f>
        <v>289139</v>
      </c>
    </row>
    <row r="119" spans="1:6" s="69" customFormat="1" ht="30" customHeight="1">
      <c r="A119" s="753" t="s">
        <v>611</v>
      </c>
      <c r="B119" s="602"/>
      <c r="C119" s="765"/>
      <c r="D119" s="1080">
        <f>'EXHIBIT C'!F19</f>
        <v>20653</v>
      </c>
      <c r="E119" s="756">
        <v>0</v>
      </c>
      <c r="F119" s="757">
        <f t="shared" si="3"/>
        <v>20653</v>
      </c>
    </row>
    <row r="120" spans="1:6" s="69" customFormat="1" ht="50.25" customHeight="1">
      <c r="A120" s="753" t="s">
        <v>612</v>
      </c>
      <c r="B120" s="602"/>
      <c r="C120" s="765"/>
      <c r="D120" s="756">
        <v>0</v>
      </c>
      <c r="E120" s="756">
        <v>0</v>
      </c>
      <c r="F120" s="757">
        <f t="shared" si="3"/>
        <v>0</v>
      </c>
    </row>
    <row r="121" spans="1:6" s="69" customFormat="1" ht="30" customHeight="1">
      <c r="A121" s="753" t="s">
        <v>613</v>
      </c>
      <c r="B121" s="602"/>
      <c r="C121" s="765"/>
      <c r="D121" s="756">
        <v>0</v>
      </c>
      <c r="E121" s="756">
        <v>0</v>
      </c>
      <c r="F121" s="757">
        <f t="shared" si="3"/>
        <v>0</v>
      </c>
    </row>
    <row r="122" spans="1:6" s="69" customFormat="1" ht="30" customHeight="1">
      <c r="A122" s="990" t="s">
        <v>687</v>
      </c>
      <c r="B122" s="602"/>
      <c r="C122" s="765"/>
      <c r="D122" s="756">
        <v>0</v>
      </c>
      <c r="E122" s="756">
        <v>0</v>
      </c>
      <c r="F122" s="757">
        <f t="shared" si="3"/>
        <v>0</v>
      </c>
    </row>
    <row r="123" spans="1:6" s="69" customFormat="1" ht="30" customHeight="1">
      <c r="A123" s="753" t="s">
        <v>614</v>
      </c>
      <c r="B123" s="602"/>
      <c r="C123" s="765"/>
      <c r="D123" s="756">
        <v>0</v>
      </c>
      <c r="E123" s="756">
        <v>0</v>
      </c>
      <c r="F123" s="757">
        <f t="shared" si="3"/>
        <v>0</v>
      </c>
    </row>
    <row r="124" spans="1:6" s="69" customFormat="1" ht="30" customHeight="1">
      <c r="A124" s="753" t="s">
        <v>615</v>
      </c>
      <c r="B124" s="602"/>
      <c r="C124" s="765"/>
      <c r="D124" s="756">
        <v>0</v>
      </c>
      <c r="E124" s="756">
        <v>0</v>
      </c>
      <c r="F124" s="757">
        <f t="shared" si="3"/>
        <v>0</v>
      </c>
    </row>
    <row r="125" spans="1:6" s="69" customFormat="1" ht="30" customHeight="1">
      <c r="A125" s="753" t="s">
        <v>616</v>
      </c>
      <c r="B125" s="602"/>
      <c r="C125" s="765"/>
      <c r="D125" s="756">
        <v>0</v>
      </c>
      <c r="E125" s="756">
        <v>0</v>
      </c>
      <c r="F125" s="757">
        <f t="shared" si="3"/>
        <v>0</v>
      </c>
    </row>
    <row r="126" spans="1:6" s="69" customFormat="1" ht="30" customHeight="1">
      <c r="A126" s="753" t="s">
        <v>617</v>
      </c>
      <c r="B126" s="602"/>
      <c r="C126" s="765"/>
      <c r="D126" s="756">
        <v>0</v>
      </c>
      <c r="E126" s="756">
        <v>0</v>
      </c>
      <c r="F126" s="757">
        <f t="shared" si="3"/>
        <v>0</v>
      </c>
    </row>
    <row r="127" spans="1:6" ht="24.75" customHeight="1">
      <c r="A127" s="753" t="s">
        <v>618</v>
      </c>
      <c r="B127" s="602"/>
      <c r="C127" s="765"/>
      <c r="D127" s="756">
        <v>0</v>
      </c>
      <c r="E127" s="756">
        <v>0</v>
      </c>
      <c r="F127" s="757">
        <f t="shared" si="3"/>
        <v>0</v>
      </c>
    </row>
    <row r="128" spans="1:6" ht="22.5" customHeight="1" thickBot="1">
      <c r="A128" s="758" t="s">
        <v>619</v>
      </c>
      <c r="B128" s="766"/>
      <c r="C128" s="767"/>
      <c r="D128" s="761">
        <v>0</v>
      </c>
      <c r="E128" s="761">
        <v>0</v>
      </c>
      <c r="F128" s="762">
        <f t="shared" si="3"/>
        <v>0</v>
      </c>
    </row>
    <row r="129" spans="1:6" ht="110.1" customHeight="1" thickBot="1">
      <c r="A129" s="868" t="s">
        <v>620</v>
      </c>
      <c r="B129" s="869"/>
      <c r="C129" s="256"/>
      <c r="D129" s="257">
        <f>SUM(D117:D128)</f>
        <v>309792</v>
      </c>
      <c r="E129" s="258">
        <f>SUM(E117:E128)</f>
        <v>0</v>
      </c>
      <c r="F129" s="259">
        <f>SUM(F117:F128)</f>
        <v>309792</v>
      </c>
    </row>
    <row r="130" spans="1:6" ht="14.1" customHeight="1">
      <c r="A130" s="247"/>
      <c r="B130" s="247"/>
      <c r="C130" s="248"/>
      <c r="D130" s="249"/>
      <c r="E130" s="249"/>
      <c r="F130" s="249"/>
    </row>
    <row r="131" spans="1:6" ht="83.25" customHeight="1">
      <c r="A131" s="931" t="s">
        <v>703</v>
      </c>
      <c r="B131" s="931"/>
      <c r="C131" s="932"/>
      <c r="D131" s="250">
        <f>D129-D113</f>
        <v>0</v>
      </c>
      <c r="E131" s="250">
        <f t="shared" ref="E131:F131" si="4">E129-E113</f>
        <v>0</v>
      </c>
      <c r="F131" s="250">
        <f t="shared" si="4"/>
        <v>0</v>
      </c>
    </row>
    <row r="132" spans="1:6" ht="30" customHeight="1">
      <c r="A132" s="247"/>
      <c r="B132" s="247"/>
      <c r="C132" s="248"/>
      <c r="D132" s="249"/>
      <c r="E132" s="249"/>
      <c r="F132" s="249"/>
    </row>
    <row r="133" spans="1:6" ht="30" customHeight="1" thickBot="1">
      <c r="A133" s="457" t="s">
        <v>704</v>
      </c>
      <c r="B133" s="17"/>
      <c r="C133" s="17"/>
      <c r="D133" s="251"/>
      <c r="E133" s="251"/>
      <c r="F133" s="252"/>
    </row>
    <row r="134" spans="1:6" ht="238.5" customHeight="1" thickBot="1">
      <c r="A134" s="1083"/>
      <c r="B134" s="1084"/>
      <c r="C134" s="1084"/>
      <c r="D134" s="1084"/>
      <c r="E134" s="1084"/>
      <c r="F134" s="1085"/>
    </row>
    <row r="135" spans="1:6" ht="30" customHeight="1">
      <c r="A135" s="454"/>
      <c r="B135" s="454"/>
      <c r="C135" s="454"/>
      <c r="D135" s="454"/>
      <c r="E135" s="454"/>
      <c r="F135" s="454"/>
    </row>
    <row r="136" spans="1:6" ht="30" customHeight="1" thickBot="1">
      <c r="A136" s="457" t="s">
        <v>621</v>
      </c>
      <c r="B136" s="455"/>
      <c r="C136" s="455"/>
      <c r="D136" s="251"/>
      <c r="E136" s="251"/>
      <c r="F136" s="252"/>
    </row>
    <row r="137" spans="1:6" ht="207" customHeight="1" thickBot="1">
      <c r="A137" s="1083"/>
      <c r="B137" s="1084"/>
      <c r="C137" s="1084"/>
      <c r="D137" s="1084"/>
      <c r="E137" s="1084"/>
      <c r="F137" s="1085"/>
    </row>
    <row r="138" spans="1:6" ht="25.35" customHeight="1">
      <c r="F138" s="254"/>
    </row>
    <row r="139" spans="1:6" ht="25.35" customHeight="1">
      <c r="F139" s="254"/>
    </row>
    <row r="140" spans="1:6" ht="25.35" customHeight="1">
      <c r="F140" s="254"/>
    </row>
    <row r="141" spans="1:6" ht="25.35" customHeight="1">
      <c r="F141" s="254"/>
    </row>
    <row r="142" spans="1:6" ht="25.35" customHeight="1">
      <c r="F142" s="254"/>
    </row>
    <row r="143" spans="1:6" ht="25.35" customHeight="1">
      <c r="E143" s="255"/>
      <c r="F143" s="254"/>
    </row>
    <row r="144" spans="1:6" ht="25.35" customHeight="1">
      <c r="E144" s="255"/>
      <c r="F144" s="254"/>
    </row>
    <row r="145" spans="5:6" ht="25.35" customHeight="1">
      <c r="E145" s="255"/>
      <c r="F145" s="254"/>
    </row>
    <row r="146" spans="5:6" ht="25.35" customHeight="1">
      <c r="F146" s="254"/>
    </row>
    <row r="147" spans="5:6" ht="25.35" customHeight="1">
      <c r="F147" s="254"/>
    </row>
    <row r="148" spans="5:6" ht="25.35" customHeight="1">
      <c r="F148" s="254"/>
    </row>
    <row r="149" spans="5:6" ht="25.35" customHeight="1">
      <c r="F149" s="254"/>
    </row>
    <row r="150" spans="5:6" ht="25.35" customHeight="1">
      <c r="F150" s="254"/>
    </row>
    <row r="151" spans="5:6" ht="25.35" customHeight="1">
      <c r="F151" s="254"/>
    </row>
    <row r="152" spans="5:6" ht="25.35" customHeight="1">
      <c r="F152" s="254"/>
    </row>
    <row r="153" spans="5:6" ht="25.35" customHeight="1">
      <c r="F153" s="254"/>
    </row>
    <row r="154" spans="5:6" ht="25.35" customHeight="1">
      <c r="F154" s="254"/>
    </row>
    <row r="155" spans="5:6" ht="25.35" customHeight="1">
      <c r="F155" s="254"/>
    </row>
    <row r="156" spans="5:6" ht="25.35" customHeight="1">
      <c r="F156" s="254"/>
    </row>
    <row r="157" spans="5:6" ht="25.35" customHeight="1">
      <c r="F157" s="254"/>
    </row>
    <row r="158" spans="5:6" ht="25.35" customHeight="1">
      <c r="F158" s="254"/>
    </row>
    <row r="159" spans="5:6" ht="25.35" customHeight="1">
      <c r="F159" s="254"/>
    </row>
    <row r="160" spans="5:6" ht="25.35" customHeight="1">
      <c r="F160" s="254"/>
    </row>
    <row r="161" spans="6:6" ht="25.35" customHeight="1">
      <c r="F161" s="254"/>
    </row>
    <row r="162" spans="6:6" ht="25.35" customHeight="1">
      <c r="F162" s="254"/>
    </row>
    <row r="163" spans="6:6" ht="25.35" customHeight="1">
      <c r="F163" s="254"/>
    </row>
    <row r="164" spans="6:6" ht="25.35" customHeight="1">
      <c r="F164" s="254"/>
    </row>
    <row r="165" spans="6:6" ht="25.35" customHeight="1">
      <c r="F165" s="254"/>
    </row>
    <row r="166" spans="6:6" ht="25.35" customHeight="1">
      <c r="F166" s="254"/>
    </row>
    <row r="167" spans="6:6" ht="25.35" customHeight="1">
      <c r="F167" s="254"/>
    </row>
    <row r="168" spans="6:6" ht="25.35" customHeight="1">
      <c r="F168" s="254"/>
    </row>
    <row r="169" spans="6:6" ht="25.35" customHeight="1">
      <c r="F169" s="254"/>
    </row>
    <row r="170" spans="6:6" ht="25.35" customHeight="1">
      <c r="F170" s="254"/>
    </row>
    <row r="171" spans="6:6" ht="25.35" customHeight="1">
      <c r="F171" s="254"/>
    </row>
    <row r="172" spans="6:6" ht="25.35" customHeight="1">
      <c r="F172" s="254"/>
    </row>
    <row r="173" spans="6:6" ht="25.35" customHeight="1">
      <c r="F173" s="254"/>
    </row>
    <row r="174" spans="6:6" ht="25.35" customHeight="1">
      <c r="F174" s="254"/>
    </row>
    <row r="175" spans="6:6" ht="25.35" customHeight="1">
      <c r="F175" s="254"/>
    </row>
    <row r="176" spans="6:6" ht="25.35" customHeight="1">
      <c r="F176" s="254"/>
    </row>
    <row r="177" spans="6:6" ht="25.35" customHeight="1">
      <c r="F177" s="254"/>
    </row>
    <row r="178" spans="6:6" ht="25.35" customHeight="1">
      <c r="F178" s="254"/>
    </row>
    <row r="179" spans="6:6" ht="25.35" customHeight="1">
      <c r="F179" s="254"/>
    </row>
    <row r="180" spans="6:6" ht="25.35" customHeight="1">
      <c r="F180" s="254"/>
    </row>
    <row r="181" spans="6:6" ht="25.35" customHeight="1">
      <c r="F181" s="254"/>
    </row>
    <row r="182" spans="6:6" ht="25.35" customHeight="1">
      <c r="F182" s="254"/>
    </row>
    <row r="183" spans="6:6" ht="25.35" customHeight="1">
      <c r="F183" s="254"/>
    </row>
    <row r="184" spans="6:6" ht="25.35" customHeight="1">
      <c r="F184" s="254"/>
    </row>
    <row r="185" spans="6:6" ht="25.35" customHeight="1">
      <c r="F185" s="254"/>
    </row>
    <row r="186" spans="6:6" ht="25.35" customHeight="1">
      <c r="F186" s="254"/>
    </row>
    <row r="187" spans="6:6" ht="25.35" customHeight="1">
      <c r="F187" s="254"/>
    </row>
    <row r="188" spans="6:6" ht="25.35" customHeight="1">
      <c r="F188" s="254"/>
    </row>
    <row r="189" spans="6:6" ht="25.35" customHeight="1">
      <c r="F189" s="254"/>
    </row>
    <row r="190" spans="6:6" ht="25.35" customHeight="1">
      <c r="F190" s="254"/>
    </row>
    <row r="191" spans="6:6" ht="25.35" customHeight="1">
      <c r="F191" s="254"/>
    </row>
    <row r="192" spans="6:6" ht="25.35" customHeight="1">
      <c r="F192" s="254"/>
    </row>
    <row r="193" spans="6:6" ht="25.35" customHeight="1">
      <c r="F193" s="254"/>
    </row>
    <row r="194" spans="6:6" ht="25.35" customHeight="1">
      <c r="F194" s="254"/>
    </row>
    <row r="195" spans="6:6" ht="25.35" customHeight="1">
      <c r="F195" s="254"/>
    </row>
    <row r="196" spans="6:6" ht="25.35" customHeight="1">
      <c r="F196" s="254"/>
    </row>
    <row r="197" spans="6:6" ht="25.35" customHeight="1">
      <c r="F197" s="254"/>
    </row>
    <row r="198" spans="6:6" ht="25.35" customHeight="1">
      <c r="F198" s="254"/>
    </row>
    <row r="199" spans="6:6" ht="25.35" customHeight="1">
      <c r="F199" s="254"/>
    </row>
    <row r="200" spans="6:6" ht="25.35" customHeight="1">
      <c r="F200" s="254"/>
    </row>
    <row r="201" spans="6:6" ht="25.35" customHeight="1">
      <c r="F201" s="254"/>
    </row>
    <row r="202" spans="6:6" ht="25.35" customHeight="1">
      <c r="F202" s="254"/>
    </row>
    <row r="203" spans="6:6" ht="25.35" customHeight="1">
      <c r="F203" s="254"/>
    </row>
    <row r="204" spans="6:6" ht="25.35" customHeight="1">
      <c r="F204" s="254"/>
    </row>
    <row r="205" spans="6:6" ht="25.35" customHeight="1">
      <c r="F205" s="254"/>
    </row>
    <row r="206" spans="6:6" ht="25.35" customHeight="1">
      <c r="F206" s="254"/>
    </row>
    <row r="207" spans="6:6" ht="25.35" customHeight="1">
      <c r="F207" s="254"/>
    </row>
    <row r="208" spans="6:6" ht="25.35" customHeight="1">
      <c r="F208" s="254"/>
    </row>
    <row r="209" spans="6:6" ht="25.35" customHeight="1">
      <c r="F209" s="254"/>
    </row>
    <row r="210" spans="6:6" ht="25.35" customHeight="1">
      <c r="F210" s="254"/>
    </row>
    <row r="211" spans="6:6" ht="25.35" customHeight="1">
      <c r="F211" s="254"/>
    </row>
    <row r="212" spans="6:6" ht="25.35" customHeight="1">
      <c r="F212" s="254"/>
    </row>
    <row r="213" spans="6:6" ht="25.35" customHeight="1">
      <c r="F213" s="254"/>
    </row>
    <row r="214" spans="6:6" ht="25.35" customHeight="1">
      <c r="F214" s="254"/>
    </row>
    <row r="215" spans="6:6" ht="25.35" customHeight="1">
      <c r="F215" s="254"/>
    </row>
    <row r="216" spans="6:6" ht="25.35" customHeight="1">
      <c r="F216" s="254"/>
    </row>
    <row r="217" spans="6:6" ht="25.35" customHeight="1">
      <c r="F217" s="254"/>
    </row>
    <row r="218" spans="6:6" ht="25.35" customHeight="1">
      <c r="F218" s="254"/>
    </row>
    <row r="219" spans="6:6" ht="25.35" customHeight="1">
      <c r="F219" s="254"/>
    </row>
    <row r="220" spans="6:6" ht="25.35" customHeight="1">
      <c r="F220" s="254"/>
    </row>
    <row r="221" spans="6:6" ht="25.35" customHeight="1">
      <c r="F221" s="254"/>
    </row>
    <row r="222" spans="6:6" ht="25.35" customHeight="1">
      <c r="F222" s="254"/>
    </row>
    <row r="223" spans="6:6" ht="25.35" customHeight="1">
      <c r="F223" s="254"/>
    </row>
    <row r="224" spans="6:6" ht="25.35" customHeight="1">
      <c r="F224" s="254"/>
    </row>
    <row r="225" spans="6:6" ht="25.35" customHeight="1">
      <c r="F225" s="254"/>
    </row>
    <row r="226" spans="6:6" ht="25.35" customHeight="1">
      <c r="F226" s="254"/>
    </row>
    <row r="227" spans="6:6" ht="25.35" customHeight="1">
      <c r="F227" s="254"/>
    </row>
    <row r="228" spans="6:6" ht="25.35" customHeight="1">
      <c r="F228" s="254"/>
    </row>
    <row r="229" spans="6:6" ht="25.35" customHeight="1">
      <c r="F229" s="254"/>
    </row>
    <row r="230" spans="6:6" ht="25.35" customHeight="1">
      <c r="F230" s="254"/>
    </row>
    <row r="231" spans="6:6" ht="25.35" customHeight="1">
      <c r="F231" s="254"/>
    </row>
    <row r="232" spans="6:6" ht="25.35" customHeight="1">
      <c r="F232" s="254"/>
    </row>
    <row r="233" spans="6:6" ht="25.35" customHeight="1">
      <c r="F233" s="254"/>
    </row>
    <row r="234" spans="6:6" ht="25.35" customHeight="1">
      <c r="F234" s="254"/>
    </row>
    <row r="235" spans="6:6" ht="25.35" customHeight="1">
      <c r="F235" s="254"/>
    </row>
    <row r="236" spans="6:6" ht="25.35" customHeight="1">
      <c r="F236" s="254"/>
    </row>
    <row r="237" spans="6:6" ht="25.35" customHeight="1">
      <c r="F237" s="254"/>
    </row>
    <row r="238" spans="6:6" ht="25.35" customHeight="1">
      <c r="F238" s="254"/>
    </row>
    <row r="239" spans="6:6" ht="25.35" customHeight="1">
      <c r="F239" s="254"/>
    </row>
    <row r="240" spans="6:6" ht="25.35" customHeight="1">
      <c r="F240" s="254"/>
    </row>
    <row r="241" spans="6:6" ht="25.35" customHeight="1">
      <c r="F241" s="254"/>
    </row>
    <row r="242" spans="6:6" ht="25.35" customHeight="1">
      <c r="F242" s="254"/>
    </row>
    <row r="243" spans="6:6" ht="25.35" customHeight="1">
      <c r="F243" s="254"/>
    </row>
    <row r="244" spans="6:6" ht="25.35" customHeight="1">
      <c r="F244" s="254"/>
    </row>
    <row r="245" spans="6:6" ht="25.35" customHeight="1">
      <c r="F245" s="254"/>
    </row>
    <row r="246" spans="6:6" ht="25.35" customHeight="1">
      <c r="F246" s="254"/>
    </row>
    <row r="247" spans="6:6" ht="25.35" customHeight="1">
      <c r="F247" s="254"/>
    </row>
    <row r="248" spans="6:6" ht="25.35" customHeight="1">
      <c r="F248" s="254"/>
    </row>
    <row r="249" spans="6:6" ht="25.35" customHeight="1">
      <c r="F249" s="254"/>
    </row>
    <row r="250" spans="6:6" ht="25.35" customHeight="1">
      <c r="F250" s="254"/>
    </row>
    <row r="251" spans="6:6" ht="25.35" customHeight="1">
      <c r="F251" s="254"/>
    </row>
    <row r="252" spans="6:6" ht="25.35" customHeight="1">
      <c r="F252" s="254"/>
    </row>
    <row r="253" spans="6:6" ht="25.35" customHeight="1">
      <c r="F253" s="254"/>
    </row>
    <row r="254" spans="6:6" ht="25.35" customHeight="1">
      <c r="F254" s="254"/>
    </row>
    <row r="255" spans="6:6" ht="25.35" customHeight="1">
      <c r="F255" s="254"/>
    </row>
    <row r="256" spans="6:6" ht="25.35" customHeight="1">
      <c r="F256" s="254"/>
    </row>
    <row r="257" spans="6:6" ht="25.35" customHeight="1">
      <c r="F257" s="254"/>
    </row>
    <row r="258" spans="6:6" ht="25.35" customHeight="1">
      <c r="F258" s="254"/>
    </row>
    <row r="259" spans="6:6" ht="25.35" customHeight="1">
      <c r="F259" s="254"/>
    </row>
    <row r="260" spans="6:6" ht="25.35" customHeight="1">
      <c r="F260" s="254"/>
    </row>
    <row r="261" spans="6:6" ht="25.35" customHeight="1">
      <c r="F261" s="254"/>
    </row>
    <row r="262" spans="6:6" ht="25.35" customHeight="1">
      <c r="F262" s="254"/>
    </row>
    <row r="263" spans="6:6" ht="25.35" customHeight="1">
      <c r="F263" s="254"/>
    </row>
    <row r="264" spans="6:6" ht="25.35" customHeight="1">
      <c r="F264" s="254"/>
    </row>
    <row r="265" spans="6:6" ht="25.35" customHeight="1">
      <c r="F265" s="254"/>
    </row>
    <row r="266" spans="6:6" ht="25.35" customHeight="1">
      <c r="F266" s="254"/>
    </row>
    <row r="267" spans="6:6" ht="25.35" customHeight="1">
      <c r="F267" s="254"/>
    </row>
    <row r="268" spans="6:6" ht="25.35" customHeight="1">
      <c r="F268" s="254"/>
    </row>
    <row r="269" spans="6:6" ht="25.35" customHeight="1">
      <c r="F269" s="254"/>
    </row>
    <row r="270" spans="6:6" ht="25.35" customHeight="1">
      <c r="F270" s="254"/>
    </row>
    <row r="271" spans="6:6" ht="25.35" customHeight="1">
      <c r="F271" s="254"/>
    </row>
    <row r="272" spans="6:6" ht="25.35" customHeight="1">
      <c r="F272" s="254"/>
    </row>
    <row r="273" spans="6:6" ht="25.35" customHeight="1">
      <c r="F273" s="254"/>
    </row>
    <row r="274" spans="6:6" ht="25.35" customHeight="1">
      <c r="F274" s="254"/>
    </row>
    <row r="275" spans="6:6" ht="25.35" customHeight="1">
      <c r="F275" s="254"/>
    </row>
    <row r="276" spans="6:6" ht="25.35" customHeight="1">
      <c r="F276" s="254"/>
    </row>
    <row r="277" spans="6:6" ht="25.35" customHeight="1">
      <c r="F277" s="254"/>
    </row>
    <row r="278" spans="6:6" ht="25.35" customHeight="1">
      <c r="F278" s="254"/>
    </row>
    <row r="279" spans="6:6" ht="25.35" customHeight="1">
      <c r="F279" s="254"/>
    </row>
    <row r="280" spans="6:6" ht="25.35" customHeight="1">
      <c r="F280" s="254"/>
    </row>
    <row r="281" spans="6:6" ht="25.35" customHeight="1">
      <c r="F281" s="254"/>
    </row>
    <row r="282" spans="6:6" ht="25.35" customHeight="1">
      <c r="F282" s="254"/>
    </row>
    <row r="283" spans="6:6" ht="25.35" customHeight="1">
      <c r="F283" s="254"/>
    </row>
    <row r="284" spans="6:6" ht="25.35" customHeight="1">
      <c r="F284" s="254"/>
    </row>
    <row r="285" spans="6:6" ht="25.35" customHeight="1">
      <c r="F285" s="254"/>
    </row>
    <row r="286" spans="6:6" ht="25.35" customHeight="1">
      <c r="F286" s="254"/>
    </row>
    <row r="287" spans="6:6" ht="25.35" customHeight="1">
      <c r="F287" s="254"/>
    </row>
    <row r="288" spans="6:6" ht="25.35" customHeight="1">
      <c r="F288" s="254"/>
    </row>
    <row r="289" spans="6:6" ht="25.35" customHeight="1">
      <c r="F289" s="254"/>
    </row>
    <row r="290" spans="6:6" ht="25.35" customHeight="1">
      <c r="F290" s="254"/>
    </row>
    <row r="291" spans="6:6" ht="25.35" customHeight="1">
      <c r="F291" s="254"/>
    </row>
    <row r="292" spans="6:6" ht="25.35" customHeight="1">
      <c r="F292" s="254"/>
    </row>
    <row r="293" spans="6:6" ht="25.35" customHeight="1">
      <c r="F293" s="254"/>
    </row>
    <row r="294" spans="6:6" ht="25.35" customHeight="1">
      <c r="F294" s="254"/>
    </row>
    <row r="295" spans="6:6" ht="25.35" customHeight="1">
      <c r="F295" s="254"/>
    </row>
    <row r="296" spans="6:6" ht="25.35" customHeight="1">
      <c r="F296" s="254"/>
    </row>
    <row r="297" spans="6:6" ht="25.35" customHeight="1">
      <c r="F297" s="254"/>
    </row>
    <row r="298" spans="6:6" ht="25.35" customHeight="1">
      <c r="F298" s="254"/>
    </row>
    <row r="299" spans="6:6" ht="25.35" customHeight="1">
      <c r="F299" s="254"/>
    </row>
    <row r="300" spans="6:6" ht="25.35" customHeight="1">
      <c r="F300" s="254"/>
    </row>
    <row r="301" spans="6:6" ht="25.35" customHeight="1">
      <c r="F301" s="254"/>
    </row>
    <row r="302" spans="6:6" ht="25.35" customHeight="1">
      <c r="F302" s="254"/>
    </row>
    <row r="303" spans="6:6" ht="25.35" customHeight="1">
      <c r="F303" s="254"/>
    </row>
    <row r="304" spans="6:6" ht="25.35" customHeight="1">
      <c r="F304" s="254"/>
    </row>
    <row r="305" spans="6:6" ht="25.35" customHeight="1">
      <c r="F305" s="254"/>
    </row>
    <row r="306" spans="6:6" ht="25.35" customHeight="1">
      <c r="F306" s="254"/>
    </row>
    <row r="307" spans="6:6" ht="25.35" customHeight="1">
      <c r="F307" s="254"/>
    </row>
    <row r="308" spans="6:6" ht="25.35" customHeight="1">
      <c r="F308" s="254"/>
    </row>
    <row r="309" spans="6:6" ht="25.35" customHeight="1">
      <c r="F309" s="254"/>
    </row>
    <row r="310" spans="6:6" ht="25.35" customHeight="1">
      <c r="F310" s="254"/>
    </row>
    <row r="311" spans="6:6" ht="25.35" customHeight="1">
      <c r="F311" s="254"/>
    </row>
    <row r="312" spans="6:6" ht="25.35" customHeight="1">
      <c r="F312" s="254"/>
    </row>
    <row r="313" spans="6:6" ht="25.35" customHeight="1">
      <c r="F313" s="254"/>
    </row>
    <row r="314" spans="6:6" ht="25.35" customHeight="1">
      <c r="F314" s="254"/>
    </row>
    <row r="315" spans="6:6" ht="25.35" customHeight="1">
      <c r="F315" s="254"/>
    </row>
    <row r="316" spans="6:6" ht="25.35" customHeight="1">
      <c r="F316" s="254"/>
    </row>
    <row r="317" spans="6:6" ht="25.35" customHeight="1">
      <c r="F317" s="254"/>
    </row>
    <row r="318" spans="6:6" ht="25.35" customHeight="1">
      <c r="F318" s="254"/>
    </row>
    <row r="319" spans="6:6" ht="25.35" customHeight="1">
      <c r="F319" s="254"/>
    </row>
    <row r="320" spans="6:6" ht="25.35" customHeight="1">
      <c r="F320" s="254"/>
    </row>
    <row r="321" spans="6:6" ht="25.35" customHeight="1">
      <c r="F321" s="254"/>
    </row>
    <row r="322" spans="6:6" ht="25.35" customHeight="1">
      <c r="F322" s="254"/>
    </row>
    <row r="323" spans="6:6" ht="25.35" customHeight="1">
      <c r="F323" s="254"/>
    </row>
    <row r="324" spans="6:6" ht="25.35" customHeight="1">
      <c r="F324" s="254"/>
    </row>
    <row r="325" spans="6:6" ht="25.35" customHeight="1">
      <c r="F325" s="254"/>
    </row>
    <row r="326" spans="6:6" ht="25.35" customHeight="1">
      <c r="F326" s="254"/>
    </row>
    <row r="327" spans="6:6" ht="25.35" customHeight="1">
      <c r="F327" s="254"/>
    </row>
    <row r="328" spans="6:6" ht="25.35" customHeight="1">
      <c r="F328" s="254"/>
    </row>
    <row r="329" spans="6:6" ht="25.35" customHeight="1">
      <c r="F329" s="254"/>
    </row>
    <row r="330" spans="6:6" ht="25.35" customHeight="1">
      <c r="F330" s="254"/>
    </row>
    <row r="331" spans="6:6" ht="25.35" customHeight="1">
      <c r="F331" s="254"/>
    </row>
    <row r="332" spans="6:6" ht="25.35" customHeight="1">
      <c r="F332" s="254"/>
    </row>
    <row r="333" spans="6:6" ht="25.35" customHeight="1">
      <c r="F333" s="254"/>
    </row>
    <row r="334" spans="6:6" ht="25.35" customHeight="1">
      <c r="F334" s="254"/>
    </row>
    <row r="335" spans="6:6" ht="25.35" customHeight="1">
      <c r="F335" s="254"/>
    </row>
    <row r="336" spans="6:6" ht="25.35" customHeight="1">
      <c r="F336" s="254"/>
    </row>
    <row r="337" spans="6:6" ht="25.35" customHeight="1">
      <c r="F337" s="254"/>
    </row>
    <row r="338" spans="6:6" ht="25.35" customHeight="1">
      <c r="F338" s="254"/>
    </row>
    <row r="339" spans="6:6" ht="25.35" customHeight="1">
      <c r="F339" s="254"/>
    </row>
    <row r="340" spans="6:6" ht="25.35" customHeight="1">
      <c r="F340" s="254"/>
    </row>
    <row r="341" spans="6:6" ht="25.35" customHeight="1">
      <c r="F341" s="254"/>
    </row>
    <row r="342" spans="6:6" ht="25.35" customHeight="1">
      <c r="F342" s="254"/>
    </row>
    <row r="343" spans="6:6" ht="25.35" customHeight="1">
      <c r="F343" s="254"/>
    </row>
    <row r="344" spans="6:6" ht="25.35" customHeight="1">
      <c r="F344" s="254"/>
    </row>
    <row r="345" spans="6:6" ht="25.35" customHeight="1">
      <c r="F345" s="254"/>
    </row>
    <row r="346" spans="6:6" ht="25.35" customHeight="1">
      <c r="F346" s="254"/>
    </row>
    <row r="347" spans="6:6" ht="25.35" customHeight="1">
      <c r="F347" s="254"/>
    </row>
    <row r="348" spans="6:6" ht="25.35" customHeight="1">
      <c r="F348" s="254"/>
    </row>
    <row r="349" spans="6:6" ht="25.35" customHeight="1">
      <c r="F349" s="254"/>
    </row>
    <row r="350" spans="6:6" ht="25.35" customHeight="1">
      <c r="F350" s="254"/>
    </row>
    <row r="351" spans="6:6" ht="25.35" customHeight="1">
      <c r="F351" s="254"/>
    </row>
    <row r="352" spans="6:6" ht="25.35" customHeight="1">
      <c r="F352" s="254"/>
    </row>
    <row r="353" spans="6:6" ht="25.35" customHeight="1">
      <c r="F353" s="254"/>
    </row>
    <row r="354" spans="6:6" ht="25.35" customHeight="1">
      <c r="F354" s="254"/>
    </row>
    <row r="355" spans="6:6" ht="25.35" customHeight="1">
      <c r="F355" s="254"/>
    </row>
    <row r="356" spans="6:6" ht="25.35" customHeight="1">
      <c r="F356" s="254"/>
    </row>
    <row r="357" spans="6:6" ht="25.35" customHeight="1">
      <c r="F357" s="254"/>
    </row>
    <row r="358" spans="6:6" ht="25.35" customHeight="1">
      <c r="F358" s="254"/>
    </row>
    <row r="359" spans="6:6" ht="25.35" customHeight="1">
      <c r="F359" s="254"/>
    </row>
    <row r="360" spans="6:6" ht="25.35" customHeight="1">
      <c r="F360" s="254"/>
    </row>
    <row r="361" spans="6:6" ht="25.35" customHeight="1">
      <c r="F361" s="254"/>
    </row>
    <row r="362" spans="6:6" ht="25.35" customHeight="1">
      <c r="F362" s="254"/>
    </row>
    <row r="363" spans="6:6" ht="25.35" customHeight="1">
      <c r="F363" s="254"/>
    </row>
    <row r="364" spans="6:6" ht="25.35" customHeight="1">
      <c r="F364" s="254"/>
    </row>
    <row r="365" spans="6:6" ht="25.35" customHeight="1">
      <c r="F365" s="254"/>
    </row>
    <row r="366" spans="6:6" ht="25.35" customHeight="1">
      <c r="F366" s="254"/>
    </row>
    <row r="367" spans="6:6" ht="25.35" customHeight="1">
      <c r="F367" s="254"/>
    </row>
    <row r="368" spans="6:6" ht="25.35" customHeight="1">
      <c r="F368" s="254"/>
    </row>
    <row r="369" spans="6:6" ht="25.35" customHeight="1">
      <c r="F369" s="254"/>
    </row>
    <row r="370" spans="6:6" ht="25.35" customHeight="1">
      <c r="F370" s="254"/>
    </row>
    <row r="371" spans="6:6" ht="25.35" customHeight="1">
      <c r="F371" s="254"/>
    </row>
    <row r="372" spans="6:6" ht="25.35" customHeight="1">
      <c r="F372" s="254"/>
    </row>
    <row r="373" spans="6:6" ht="25.35" customHeight="1">
      <c r="F373" s="254"/>
    </row>
    <row r="374" spans="6:6" ht="25.35" customHeight="1">
      <c r="F374" s="254"/>
    </row>
    <row r="375" spans="6:6" ht="25.35" customHeight="1">
      <c r="F375" s="254"/>
    </row>
    <row r="376" spans="6:6" ht="25.35" customHeight="1">
      <c r="F376" s="254"/>
    </row>
    <row r="377" spans="6:6" ht="25.35" customHeight="1">
      <c r="F377" s="254"/>
    </row>
    <row r="378" spans="6:6" ht="25.35" customHeight="1">
      <c r="F378" s="254"/>
    </row>
    <row r="379" spans="6:6" ht="25.35" customHeight="1">
      <c r="F379" s="254"/>
    </row>
    <row r="380" spans="6:6" ht="25.35" customHeight="1">
      <c r="F380" s="254"/>
    </row>
    <row r="381" spans="6:6" ht="25.35" customHeight="1">
      <c r="F381" s="254"/>
    </row>
    <row r="382" spans="6:6" ht="25.35" customHeight="1">
      <c r="F382" s="254"/>
    </row>
    <row r="383" spans="6:6" ht="25.35" customHeight="1">
      <c r="F383" s="254"/>
    </row>
    <row r="384" spans="6:6" ht="25.35" customHeight="1">
      <c r="F384" s="254"/>
    </row>
    <row r="385" spans="6:6" ht="25.35" customHeight="1">
      <c r="F385" s="254"/>
    </row>
    <row r="386" spans="6:6" ht="25.35" customHeight="1">
      <c r="F386" s="254"/>
    </row>
    <row r="387" spans="6:6" ht="25.35" customHeight="1">
      <c r="F387" s="254"/>
    </row>
    <row r="388" spans="6:6" ht="25.35" customHeight="1">
      <c r="F388" s="254"/>
    </row>
    <row r="389" spans="6:6" ht="25.35" customHeight="1">
      <c r="F389" s="254"/>
    </row>
    <row r="390" spans="6:6" ht="25.35" customHeight="1">
      <c r="F390" s="254"/>
    </row>
    <row r="391" spans="6:6" ht="25.35" customHeight="1">
      <c r="F391" s="254"/>
    </row>
    <row r="392" spans="6:6" ht="25.35" customHeight="1">
      <c r="F392" s="254"/>
    </row>
    <row r="393" spans="6:6" ht="25.35" customHeight="1">
      <c r="F393" s="254"/>
    </row>
    <row r="394" spans="6:6" ht="25.35" customHeight="1">
      <c r="F394" s="254"/>
    </row>
    <row r="395" spans="6:6" ht="25.35" customHeight="1">
      <c r="F395" s="254"/>
    </row>
    <row r="396" spans="6:6" ht="25.35" customHeight="1">
      <c r="F396" s="254"/>
    </row>
    <row r="397" spans="6:6" ht="25.35" customHeight="1">
      <c r="F397" s="254"/>
    </row>
    <row r="398" spans="6:6" ht="25.35" customHeight="1">
      <c r="F398" s="254"/>
    </row>
    <row r="399" spans="6:6" ht="25.35" customHeight="1">
      <c r="F399" s="254"/>
    </row>
    <row r="400" spans="6:6" ht="25.35" customHeight="1">
      <c r="F400" s="254"/>
    </row>
    <row r="401" spans="6:6" ht="25.35" customHeight="1">
      <c r="F401" s="254"/>
    </row>
    <row r="402" spans="6:6" ht="25.35" customHeight="1">
      <c r="F402" s="254"/>
    </row>
    <row r="403" spans="6:6" ht="25.35" customHeight="1">
      <c r="F403" s="254"/>
    </row>
    <row r="404" spans="6:6" ht="25.35" customHeight="1">
      <c r="F404" s="254"/>
    </row>
    <row r="405" spans="6:6" ht="25.35" customHeight="1">
      <c r="F405" s="254"/>
    </row>
    <row r="406" spans="6:6" ht="25.35" customHeight="1">
      <c r="F406" s="254"/>
    </row>
    <row r="407" spans="6:6" ht="25.35" customHeight="1">
      <c r="F407" s="254"/>
    </row>
    <row r="408" spans="6:6" ht="25.35" customHeight="1">
      <c r="F408" s="254"/>
    </row>
    <row r="409" spans="6:6" ht="25.35" customHeight="1">
      <c r="F409" s="254"/>
    </row>
    <row r="410" spans="6:6" ht="25.35" customHeight="1">
      <c r="F410" s="254"/>
    </row>
    <row r="411" spans="6:6" ht="25.35" customHeight="1">
      <c r="F411" s="254"/>
    </row>
    <row r="412" spans="6:6" ht="25.35" customHeight="1">
      <c r="F412" s="254"/>
    </row>
    <row r="413" spans="6:6" ht="25.35" customHeight="1">
      <c r="F413" s="254"/>
    </row>
    <row r="414" spans="6:6" ht="25.35" customHeight="1">
      <c r="F414" s="254"/>
    </row>
    <row r="415" spans="6:6" ht="25.35" customHeight="1">
      <c r="F415" s="254"/>
    </row>
    <row r="416" spans="6:6" ht="25.35" customHeight="1">
      <c r="F416" s="254"/>
    </row>
    <row r="417" spans="6:6" ht="25.35" customHeight="1">
      <c r="F417" s="254"/>
    </row>
    <row r="418" spans="6:6" ht="25.35" customHeight="1">
      <c r="F418" s="254"/>
    </row>
    <row r="419" spans="6:6" ht="25.35" customHeight="1">
      <c r="F419" s="254"/>
    </row>
    <row r="420" spans="6:6" ht="25.35" customHeight="1">
      <c r="F420" s="254"/>
    </row>
    <row r="421" spans="6:6" ht="25.35" customHeight="1">
      <c r="F421" s="254"/>
    </row>
    <row r="422" spans="6:6" ht="25.35" customHeight="1">
      <c r="F422" s="254"/>
    </row>
    <row r="423" spans="6:6" ht="25.35" customHeight="1">
      <c r="F423" s="254"/>
    </row>
    <row r="424" spans="6:6" ht="25.35" customHeight="1">
      <c r="F424" s="254"/>
    </row>
    <row r="425" spans="6:6" ht="25.35" customHeight="1">
      <c r="F425" s="254"/>
    </row>
    <row r="426" spans="6:6" ht="25.35" customHeight="1">
      <c r="F426" s="254"/>
    </row>
    <row r="427" spans="6:6" ht="25.35" customHeight="1">
      <c r="F427" s="254"/>
    </row>
    <row r="428" spans="6:6" ht="25.35" customHeight="1">
      <c r="F428" s="254"/>
    </row>
    <row r="429" spans="6:6" ht="25.35" customHeight="1">
      <c r="F429" s="254"/>
    </row>
    <row r="430" spans="6:6" ht="25.35" customHeight="1">
      <c r="F430" s="254"/>
    </row>
    <row r="431" spans="6:6" ht="25.35" customHeight="1">
      <c r="F431" s="254"/>
    </row>
    <row r="432" spans="6:6" ht="25.35" customHeight="1">
      <c r="F432" s="254"/>
    </row>
    <row r="433" spans="6:6" ht="25.35" customHeight="1">
      <c r="F433" s="254"/>
    </row>
    <row r="434" spans="6:6" ht="25.35" customHeight="1">
      <c r="F434" s="254"/>
    </row>
    <row r="435" spans="6:6" ht="25.35" customHeight="1">
      <c r="F435" s="254"/>
    </row>
    <row r="436" spans="6:6" ht="25.35" customHeight="1">
      <c r="F436" s="254"/>
    </row>
    <row r="437" spans="6:6">
      <c r="F437" s="254"/>
    </row>
    <row r="438" spans="6:6">
      <c r="F438" s="254"/>
    </row>
    <row r="439" spans="6:6">
      <c r="F439" s="254"/>
    </row>
    <row r="440" spans="6:6">
      <c r="F440" s="254"/>
    </row>
    <row r="441" spans="6:6">
      <c r="F441" s="254"/>
    </row>
    <row r="442" spans="6:6">
      <c r="F442" s="254"/>
    </row>
    <row r="443" spans="6:6">
      <c r="F443" s="254"/>
    </row>
    <row r="444" spans="6:6">
      <c r="F444" s="254"/>
    </row>
    <row r="445" spans="6:6">
      <c r="F445" s="254"/>
    </row>
    <row r="446" spans="6:6">
      <c r="F446" s="254"/>
    </row>
    <row r="447" spans="6:6">
      <c r="F447" s="254"/>
    </row>
    <row r="448" spans="6:6">
      <c r="F448" s="254"/>
    </row>
    <row r="449" spans="6:6">
      <c r="F449" s="254"/>
    </row>
    <row r="450" spans="6:6">
      <c r="F450" s="254"/>
    </row>
    <row r="451" spans="6:6">
      <c r="F451" s="254"/>
    </row>
    <row r="452" spans="6:6">
      <c r="F452" s="254"/>
    </row>
    <row r="453" spans="6:6">
      <c r="F453" s="254"/>
    </row>
    <row r="454" spans="6:6">
      <c r="F454" s="254"/>
    </row>
    <row r="455" spans="6:6">
      <c r="F455" s="254"/>
    </row>
    <row r="456" spans="6:6">
      <c r="F456" s="254"/>
    </row>
    <row r="457" spans="6:6">
      <c r="F457" s="254"/>
    </row>
    <row r="458" spans="6:6">
      <c r="F458" s="254"/>
    </row>
    <row r="459" spans="6:6">
      <c r="F459" s="254"/>
    </row>
    <row r="460" spans="6:6">
      <c r="F460" s="254"/>
    </row>
    <row r="461" spans="6:6">
      <c r="F461" s="254"/>
    </row>
    <row r="462" spans="6:6">
      <c r="F462" s="254"/>
    </row>
    <row r="463" spans="6:6">
      <c r="F463" s="254"/>
    </row>
    <row r="464" spans="6:6">
      <c r="F464" s="254"/>
    </row>
    <row r="465" spans="6:6">
      <c r="F465" s="254"/>
    </row>
    <row r="466" spans="6:6">
      <c r="F466" s="254"/>
    </row>
    <row r="467" spans="6:6">
      <c r="F467" s="254"/>
    </row>
    <row r="468" spans="6:6">
      <c r="F468" s="254"/>
    </row>
    <row r="469" spans="6:6">
      <c r="F469" s="254"/>
    </row>
    <row r="470" spans="6:6">
      <c r="F470" s="254"/>
    </row>
    <row r="471" spans="6:6">
      <c r="F471" s="254"/>
    </row>
    <row r="472" spans="6:6">
      <c r="F472" s="254"/>
    </row>
    <row r="473" spans="6:6">
      <c r="F473" s="254"/>
    </row>
    <row r="474" spans="6:6">
      <c r="F474" s="254"/>
    </row>
    <row r="475" spans="6:6">
      <c r="F475" s="254"/>
    </row>
    <row r="476" spans="6:6">
      <c r="F476" s="254"/>
    </row>
    <row r="477" spans="6:6">
      <c r="F477" s="254"/>
    </row>
    <row r="478" spans="6:6">
      <c r="F478" s="254"/>
    </row>
    <row r="479" spans="6:6">
      <c r="F479" s="254"/>
    </row>
    <row r="480" spans="6:6">
      <c r="F480" s="254"/>
    </row>
    <row r="481" spans="6:6">
      <c r="F481" s="254"/>
    </row>
    <row r="482" spans="6:6">
      <c r="F482" s="254"/>
    </row>
    <row r="483" spans="6:6">
      <c r="F483" s="254"/>
    </row>
    <row r="484" spans="6:6">
      <c r="F484" s="254"/>
    </row>
    <row r="485" spans="6:6">
      <c r="F485" s="254"/>
    </row>
    <row r="486" spans="6:6">
      <c r="F486" s="254"/>
    </row>
    <row r="487" spans="6:6">
      <c r="F487" s="254"/>
    </row>
    <row r="488" spans="6:6">
      <c r="F488" s="254"/>
    </row>
    <row r="489" spans="6:6">
      <c r="F489" s="254"/>
    </row>
    <row r="490" spans="6:6">
      <c r="F490" s="254"/>
    </row>
    <row r="491" spans="6:6">
      <c r="F491" s="254"/>
    </row>
    <row r="492" spans="6:6">
      <c r="F492" s="254"/>
    </row>
    <row r="493" spans="6:6">
      <c r="F493" s="254"/>
    </row>
    <row r="494" spans="6:6">
      <c r="F494" s="254"/>
    </row>
    <row r="495" spans="6:6">
      <c r="F495" s="254"/>
    </row>
    <row r="496" spans="6:6">
      <c r="F496" s="254"/>
    </row>
    <row r="497" spans="6:6">
      <c r="F497" s="254"/>
    </row>
    <row r="498" spans="6:6">
      <c r="F498" s="254"/>
    </row>
    <row r="499" spans="6:6">
      <c r="F499" s="254"/>
    </row>
    <row r="500" spans="6:6">
      <c r="F500" s="254"/>
    </row>
    <row r="501" spans="6:6">
      <c r="F501" s="254"/>
    </row>
    <row r="502" spans="6:6">
      <c r="F502" s="254"/>
    </row>
    <row r="503" spans="6:6">
      <c r="F503" s="254"/>
    </row>
    <row r="504" spans="6:6">
      <c r="F504" s="254"/>
    </row>
    <row r="505" spans="6:6">
      <c r="F505" s="254"/>
    </row>
    <row r="506" spans="6:6">
      <c r="F506" s="254"/>
    </row>
    <row r="507" spans="6:6">
      <c r="F507" s="254"/>
    </row>
    <row r="508" spans="6:6">
      <c r="F508" s="254"/>
    </row>
    <row r="509" spans="6:6">
      <c r="F509" s="254"/>
    </row>
    <row r="510" spans="6:6">
      <c r="F510" s="254"/>
    </row>
    <row r="511" spans="6:6">
      <c r="F511" s="254"/>
    </row>
    <row r="512" spans="6:6">
      <c r="F512" s="254"/>
    </row>
    <row r="513" spans="6:6">
      <c r="F513" s="254"/>
    </row>
    <row r="514" spans="6:6">
      <c r="F514" s="254"/>
    </row>
    <row r="515" spans="6:6">
      <c r="F515" s="254"/>
    </row>
    <row r="516" spans="6:6">
      <c r="F516" s="254"/>
    </row>
    <row r="517" spans="6:6">
      <c r="F517" s="254"/>
    </row>
    <row r="518" spans="6:6">
      <c r="F518" s="254"/>
    </row>
    <row r="519" spans="6:6">
      <c r="F519" s="254"/>
    </row>
    <row r="520" spans="6:6">
      <c r="F520" s="254"/>
    </row>
    <row r="521" spans="6:6">
      <c r="F521" s="254"/>
    </row>
    <row r="522" spans="6:6">
      <c r="F522" s="254"/>
    </row>
    <row r="523" spans="6:6">
      <c r="F523" s="254"/>
    </row>
    <row r="524" spans="6:6">
      <c r="F524" s="254"/>
    </row>
    <row r="525" spans="6:6">
      <c r="F525" s="254"/>
    </row>
    <row r="526" spans="6:6">
      <c r="F526" s="254"/>
    </row>
    <row r="527" spans="6:6">
      <c r="F527" s="254"/>
    </row>
    <row r="528" spans="6:6">
      <c r="F528" s="254"/>
    </row>
    <row r="529" spans="6:6">
      <c r="F529" s="254"/>
    </row>
    <row r="530" spans="6:6">
      <c r="F530" s="254"/>
    </row>
    <row r="531" spans="6:6">
      <c r="F531" s="254"/>
    </row>
    <row r="532" spans="6:6">
      <c r="F532" s="254"/>
    </row>
    <row r="533" spans="6:6">
      <c r="F533" s="254"/>
    </row>
    <row r="534" spans="6:6">
      <c r="F534" s="254"/>
    </row>
    <row r="535" spans="6:6">
      <c r="F535" s="254"/>
    </row>
    <row r="536" spans="6:6">
      <c r="F536" s="254"/>
    </row>
    <row r="537" spans="6:6">
      <c r="F537" s="254"/>
    </row>
    <row r="538" spans="6:6">
      <c r="F538" s="254"/>
    </row>
    <row r="539" spans="6:6">
      <c r="F539" s="254"/>
    </row>
    <row r="540" spans="6:6">
      <c r="F540" s="254"/>
    </row>
    <row r="541" spans="6:6">
      <c r="F541" s="254"/>
    </row>
    <row r="542" spans="6:6">
      <c r="F542" s="254"/>
    </row>
    <row r="543" spans="6:6">
      <c r="F543" s="254"/>
    </row>
    <row r="544" spans="6:6">
      <c r="F544" s="254"/>
    </row>
    <row r="545" spans="6:6">
      <c r="F545" s="254"/>
    </row>
    <row r="546" spans="6:6">
      <c r="F546" s="254"/>
    </row>
    <row r="547" spans="6:6">
      <c r="F547" s="254"/>
    </row>
    <row r="548" spans="6:6">
      <c r="F548" s="254"/>
    </row>
    <row r="549" spans="6:6">
      <c r="F549" s="254"/>
    </row>
    <row r="550" spans="6:6">
      <c r="F550" s="254"/>
    </row>
    <row r="551" spans="6:6">
      <c r="F551" s="254"/>
    </row>
    <row r="552" spans="6:6">
      <c r="F552" s="254"/>
    </row>
    <row r="553" spans="6:6">
      <c r="F553" s="254"/>
    </row>
    <row r="554" spans="6:6">
      <c r="F554" s="254"/>
    </row>
    <row r="555" spans="6:6">
      <c r="F555" s="254"/>
    </row>
    <row r="556" spans="6:6">
      <c r="F556" s="254"/>
    </row>
    <row r="557" spans="6:6">
      <c r="F557" s="254"/>
    </row>
    <row r="558" spans="6:6">
      <c r="F558" s="254"/>
    </row>
    <row r="559" spans="6:6">
      <c r="F559" s="254"/>
    </row>
    <row r="560" spans="6:6">
      <c r="F560" s="254"/>
    </row>
    <row r="561" spans="6:6">
      <c r="F561" s="254"/>
    </row>
    <row r="562" spans="6:6">
      <c r="F562" s="254"/>
    </row>
    <row r="563" spans="6:6">
      <c r="F563" s="254"/>
    </row>
    <row r="564" spans="6:6">
      <c r="F564" s="254"/>
    </row>
    <row r="565" spans="6:6">
      <c r="F565" s="254"/>
    </row>
    <row r="566" spans="6:6">
      <c r="F566" s="254"/>
    </row>
    <row r="567" spans="6:6">
      <c r="F567" s="254"/>
    </row>
    <row r="568" spans="6:6">
      <c r="F568" s="254"/>
    </row>
    <row r="569" spans="6:6">
      <c r="F569" s="254"/>
    </row>
    <row r="570" spans="6:6">
      <c r="F570" s="254"/>
    </row>
    <row r="571" spans="6:6">
      <c r="F571" s="254"/>
    </row>
    <row r="572" spans="6:6">
      <c r="F572" s="254"/>
    </row>
    <row r="573" spans="6:6">
      <c r="F573" s="254"/>
    </row>
    <row r="574" spans="6:6">
      <c r="F574" s="254"/>
    </row>
    <row r="575" spans="6:6">
      <c r="F575" s="254"/>
    </row>
    <row r="576" spans="6:6">
      <c r="F576" s="254"/>
    </row>
    <row r="577" spans="6:6">
      <c r="F577" s="254"/>
    </row>
    <row r="578" spans="6:6">
      <c r="F578" s="254"/>
    </row>
    <row r="579" spans="6:6">
      <c r="F579" s="254"/>
    </row>
    <row r="580" spans="6:6">
      <c r="F580" s="254"/>
    </row>
    <row r="581" spans="6:6">
      <c r="F581" s="254"/>
    </row>
    <row r="582" spans="6:6">
      <c r="F582" s="254"/>
    </row>
    <row r="583" spans="6:6">
      <c r="F583" s="254"/>
    </row>
    <row r="584" spans="6:6">
      <c r="F584" s="254"/>
    </row>
    <row r="585" spans="6:6">
      <c r="F585" s="254"/>
    </row>
    <row r="586" spans="6:6">
      <c r="F586" s="254"/>
    </row>
    <row r="587" spans="6:6">
      <c r="F587" s="254"/>
    </row>
    <row r="588" spans="6:6">
      <c r="F588" s="254"/>
    </row>
    <row r="589" spans="6:6">
      <c r="F589" s="254"/>
    </row>
    <row r="590" spans="6:6">
      <c r="F590" s="254"/>
    </row>
    <row r="591" spans="6:6">
      <c r="F591" s="254"/>
    </row>
    <row r="592" spans="6:6">
      <c r="F592" s="254"/>
    </row>
    <row r="593" spans="6:6">
      <c r="F593" s="254"/>
    </row>
    <row r="594" spans="6:6">
      <c r="F594" s="254"/>
    </row>
    <row r="595" spans="6:6">
      <c r="F595" s="254"/>
    </row>
    <row r="596" spans="6:6">
      <c r="F596" s="254"/>
    </row>
    <row r="597" spans="6:6">
      <c r="F597" s="254"/>
    </row>
    <row r="598" spans="6:6">
      <c r="F598" s="254"/>
    </row>
    <row r="599" spans="6:6">
      <c r="F599" s="254"/>
    </row>
    <row r="600" spans="6:6">
      <c r="F600" s="254"/>
    </row>
    <row r="601" spans="6:6">
      <c r="F601" s="254"/>
    </row>
    <row r="602" spans="6:6">
      <c r="F602" s="254"/>
    </row>
    <row r="603" spans="6:6">
      <c r="F603" s="254"/>
    </row>
    <row r="604" spans="6:6">
      <c r="F604" s="254"/>
    </row>
    <row r="605" spans="6:6">
      <c r="F605" s="254"/>
    </row>
    <row r="606" spans="6:6">
      <c r="F606" s="254"/>
    </row>
    <row r="607" spans="6:6">
      <c r="F607" s="254"/>
    </row>
    <row r="608" spans="6:6">
      <c r="F608" s="254"/>
    </row>
    <row r="609" spans="6:6">
      <c r="F609" s="254"/>
    </row>
    <row r="610" spans="6:6">
      <c r="F610" s="254"/>
    </row>
    <row r="611" spans="6:6">
      <c r="F611" s="254"/>
    </row>
    <row r="612" spans="6:6">
      <c r="F612" s="254"/>
    </row>
    <row r="613" spans="6:6">
      <c r="F613" s="254"/>
    </row>
    <row r="614" spans="6:6">
      <c r="F614" s="254"/>
    </row>
    <row r="615" spans="6:6">
      <c r="F615" s="254"/>
    </row>
    <row r="616" spans="6:6">
      <c r="F616" s="254"/>
    </row>
    <row r="617" spans="6:6">
      <c r="F617" s="254"/>
    </row>
    <row r="618" spans="6:6">
      <c r="F618" s="254"/>
    </row>
    <row r="619" spans="6:6">
      <c r="F619" s="254"/>
    </row>
    <row r="620" spans="6:6">
      <c r="F620" s="254"/>
    </row>
    <row r="621" spans="6:6">
      <c r="F621" s="254"/>
    </row>
    <row r="622" spans="6:6">
      <c r="F622" s="254"/>
    </row>
    <row r="623" spans="6:6">
      <c r="F623" s="254"/>
    </row>
    <row r="624" spans="6:6">
      <c r="F624" s="254"/>
    </row>
    <row r="625" spans="6:6">
      <c r="F625" s="254"/>
    </row>
    <row r="626" spans="6:6">
      <c r="F626" s="254"/>
    </row>
    <row r="627" spans="6:6">
      <c r="F627" s="254"/>
    </row>
    <row r="628" spans="6:6">
      <c r="F628" s="254"/>
    </row>
    <row r="629" spans="6:6">
      <c r="F629" s="254"/>
    </row>
    <row r="630" spans="6:6">
      <c r="F630" s="254"/>
    </row>
    <row r="631" spans="6:6">
      <c r="F631" s="254"/>
    </row>
    <row r="632" spans="6:6">
      <c r="F632" s="254"/>
    </row>
    <row r="633" spans="6:6">
      <c r="F633" s="254"/>
    </row>
    <row r="634" spans="6:6">
      <c r="F634" s="254"/>
    </row>
    <row r="635" spans="6:6">
      <c r="F635" s="254"/>
    </row>
    <row r="636" spans="6:6">
      <c r="F636" s="254"/>
    </row>
    <row r="637" spans="6:6">
      <c r="F637" s="254"/>
    </row>
    <row r="638" spans="6:6">
      <c r="F638" s="254"/>
    </row>
    <row r="639" spans="6:6">
      <c r="F639" s="254"/>
    </row>
    <row r="640" spans="6:6">
      <c r="F640" s="254"/>
    </row>
    <row r="641" spans="6:6">
      <c r="F641" s="254"/>
    </row>
    <row r="642" spans="6:6">
      <c r="F642" s="254"/>
    </row>
    <row r="643" spans="6:6">
      <c r="F643" s="254"/>
    </row>
    <row r="644" spans="6:6">
      <c r="F644" s="254"/>
    </row>
    <row r="645" spans="6:6">
      <c r="F645" s="254"/>
    </row>
    <row r="646" spans="6:6">
      <c r="F646" s="254"/>
    </row>
    <row r="647" spans="6:6">
      <c r="F647" s="254"/>
    </row>
    <row r="648" spans="6:6">
      <c r="F648" s="254"/>
    </row>
    <row r="649" spans="6:6">
      <c r="F649" s="254"/>
    </row>
    <row r="650" spans="6:6">
      <c r="F650" s="254"/>
    </row>
    <row r="651" spans="6:6">
      <c r="F651" s="254"/>
    </row>
    <row r="652" spans="6:6">
      <c r="F652" s="254"/>
    </row>
    <row r="653" spans="6:6">
      <c r="F653" s="254"/>
    </row>
    <row r="654" spans="6:6">
      <c r="F654" s="254"/>
    </row>
    <row r="655" spans="6:6">
      <c r="F655" s="254"/>
    </row>
    <row r="656" spans="6:6">
      <c r="F656" s="254"/>
    </row>
    <row r="657" spans="6:6">
      <c r="F657" s="254"/>
    </row>
    <row r="658" spans="6:6">
      <c r="F658" s="254"/>
    </row>
    <row r="659" spans="6:6">
      <c r="F659" s="254"/>
    </row>
    <row r="660" spans="6:6">
      <c r="F660" s="254"/>
    </row>
    <row r="661" spans="6:6">
      <c r="F661" s="254"/>
    </row>
    <row r="662" spans="6:6">
      <c r="F662" s="254"/>
    </row>
    <row r="663" spans="6:6">
      <c r="F663" s="254"/>
    </row>
    <row r="664" spans="6:6">
      <c r="F664" s="254"/>
    </row>
    <row r="665" spans="6:6">
      <c r="F665" s="254"/>
    </row>
    <row r="666" spans="6:6">
      <c r="F666" s="254"/>
    </row>
    <row r="667" spans="6:6">
      <c r="F667" s="254"/>
    </row>
    <row r="668" spans="6:6">
      <c r="F668" s="254"/>
    </row>
    <row r="669" spans="6:6">
      <c r="F669" s="254"/>
    </row>
    <row r="670" spans="6:6">
      <c r="F670" s="254"/>
    </row>
    <row r="671" spans="6:6">
      <c r="F671" s="254"/>
    </row>
    <row r="672" spans="6:6">
      <c r="F672" s="254"/>
    </row>
    <row r="673" spans="6:6">
      <c r="F673" s="254"/>
    </row>
    <row r="674" spans="6:6">
      <c r="F674" s="254"/>
    </row>
    <row r="675" spans="6:6">
      <c r="F675" s="254"/>
    </row>
    <row r="676" spans="6:6">
      <c r="F676" s="254"/>
    </row>
    <row r="677" spans="6:6">
      <c r="F677" s="254"/>
    </row>
    <row r="678" spans="6:6">
      <c r="F678" s="254"/>
    </row>
    <row r="679" spans="6:6">
      <c r="F679" s="254"/>
    </row>
    <row r="680" spans="6:6">
      <c r="F680" s="254"/>
    </row>
    <row r="681" spans="6:6">
      <c r="F681" s="254"/>
    </row>
    <row r="682" spans="6:6">
      <c r="F682" s="254"/>
    </row>
    <row r="683" spans="6:6">
      <c r="F683" s="254"/>
    </row>
    <row r="684" spans="6:6">
      <c r="F684" s="254"/>
    </row>
    <row r="685" spans="6:6">
      <c r="F685" s="254"/>
    </row>
    <row r="686" spans="6:6">
      <c r="F686" s="254"/>
    </row>
    <row r="687" spans="6:6">
      <c r="F687" s="254"/>
    </row>
    <row r="688" spans="6:6">
      <c r="F688" s="254"/>
    </row>
    <row r="689" spans="6:6">
      <c r="F689" s="254"/>
    </row>
    <row r="690" spans="6:6">
      <c r="F690" s="254"/>
    </row>
    <row r="691" spans="6:6">
      <c r="F691" s="254"/>
    </row>
    <row r="692" spans="6:6">
      <c r="F692" s="254"/>
    </row>
    <row r="693" spans="6:6">
      <c r="F693" s="254"/>
    </row>
    <row r="694" spans="6:6">
      <c r="F694" s="254"/>
    </row>
    <row r="695" spans="6:6">
      <c r="F695" s="254"/>
    </row>
    <row r="696" spans="6:6">
      <c r="F696" s="254"/>
    </row>
    <row r="697" spans="6:6">
      <c r="F697" s="254"/>
    </row>
    <row r="698" spans="6:6">
      <c r="F698" s="254"/>
    </row>
    <row r="699" spans="6:6">
      <c r="F699" s="254"/>
    </row>
    <row r="700" spans="6:6">
      <c r="F700" s="254"/>
    </row>
    <row r="701" spans="6:6">
      <c r="F701" s="254"/>
    </row>
    <row r="702" spans="6:6">
      <c r="F702" s="254"/>
    </row>
    <row r="703" spans="6:6">
      <c r="F703" s="254"/>
    </row>
    <row r="704" spans="6:6">
      <c r="F704" s="254"/>
    </row>
    <row r="705" spans="6:6">
      <c r="F705" s="254"/>
    </row>
    <row r="706" spans="6:6">
      <c r="F706" s="254"/>
    </row>
    <row r="707" spans="6:6">
      <c r="F707" s="254"/>
    </row>
    <row r="708" spans="6:6">
      <c r="F708" s="254"/>
    </row>
    <row r="709" spans="6:6">
      <c r="F709" s="254"/>
    </row>
    <row r="710" spans="6:6">
      <c r="F710" s="254"/>
    </row>
    <row r="711" spans="6:6">
      <c r="F711" s="254"/>
    </row>
    <row r="712" spans="6:6">
      <c r="F712" s="254"/>
    </row>
    <row r="713" spans="6:6">
      <c r="F713" s="254"/>
    </row>
    <row r="714" spans="6:6">
      <c r="F714" s="254"/>
    </row>
    <row r="715" spans="6:6">
      <c r="F715" s="254"/>
    </row>
    <row r="716" spans="6:6">
      <c r="F716" s="254"/>
    </row>
    <row r="717" spans="6:6">
      <c r="F717" s="254"/>
    </row>
    <row r="718" spans="6:6">
      <c r="F718" s="254"/>
    </row>
    <row r="719" spans="6:6">
      <c r="F719" s="254"/>
    </row>
    <row r="720" spans="6:6">
      <c r="F720" s="254"/>
    </row>
    <row r="721" spans="6:6">
      <c r="F721" s="254"/>
    </row>
    <row r="722" spans="6:6">
      <c r="F722" s="254"/>
    </row>
    <row r="723" spans="6:6">
      <c r="F723" s="254"/>
    </row>
    <row r="724" spans="6:6">
      <c r="F724" s="254"/>
    </row>
    <row r="725" spans="6:6">
      <c r="F725" s="254"/>
    </row>
    <row r="726" spans="6:6">
      <c r="F726" s="254"/>
    </row>
    <row r="727" spans="6:6">
      <c r="F727" s="254"/>
    </row>
    <row r="728" spans="6:6">
      <c r="F728" s="254"/>
    </row>
    <row r="729" spans="6:6">
      <c r="F729" s="254"/>
    </row>
    <row r="730" spans="6:6">
      <c r="F730" s="254"/>
    </row>
    <row r="731" spans="6:6">
      <c r="F731" s="254"/>
    </row>
    <row r="732" spans="6:6">
      <c r="F732" s="254"/>
    </row>
    <row r="733" spans="6:6">
      <c r="F733" s="254"/>
    </row>
    <row r="734" spans="6:6">
      <c r="F734" s="254"/>
    </row>
    <row r="735" spans="6:6">
      <c r="F735" s="254"/>
    </row>
    <row r="736" spans="6:6">
      <c r="F736" s="254"/>
    </row>
    <row r="737" spans="6:6">
      <c r="F737" s="254"/>
    </row>
    <row r="738" spans="6:6">
      <c r="F738" s="254"/>
    </row>
    <row r="739" spans="6:6">
      <c r="F739" s="254"/>
    </row>
    <row r="740" spans="6:6">
      <c r="F740" s="254"/>
    </row>
    <row r="741" spans="6:6">
      <c r="F741" s="254"/>
    </row>
    <row r="742" spans="6:6">
      <c r="F742" s="254"/>
    </row>
    <row r="743" spans="6:6">
      <c r="F743" s="254"/>
    </row>
    <row r="744" spans="6:6">
      <c r="F744" s="254"/>
    </row>
    <row r="745" spans="6:6">
      <c r="F745" s="254"/>
    </row>
    <row r="746" spans="6:6">
      <c r="F746" s="254"/>
    </row>
    <row r="747" spans="6:6">
      <c r="F747" s="254"/>
    </row>
    <row r="748" spans="6:6">
      <c r="F748" s="254"/>
    </row>
    <row r="749" spans="6:6">
      <c r="F749" s="254"/>
    </row>
    <row r="750" spans="6:6">
      <c r="F750" s="254"/>
    </row>
    <row r="751" spans="6:6">
      <c r="F751" s="254"/>
    </row>
    <row r="752" spans="6:6">
      <c r="F752" s="254"/>
    </row>
    <row r="753" spans="6:6">
      <c r="F753" s="254"/>
    </row>
    <row r="754" spans="6:6">
      <c r="F754" s="254"/>
    </row>
    <row r="755" spans="6:6">
      <c r="F755" s="254"/>
    </row>
    <row r="756" spans="6:6">
      <c r="F756" s="254"/>
    </row>
    <row r="757" spans="6:6">
      <c r="F757" s="254"/>
    </row>
    <row r="758" spans="6:6">
      <c r="F758" s="254"/>
    </row>
    <row r="759" spans="6:6">
      <c r="F759" s="254"/>
    </row>
    <row r="760" spans="6:6">
      <c r="F760" s="254"/>
    </row>
    <row r="761" spans="6:6">
      <c r="F761" s="254"/>
    </row>
    <row r="762" spans="6:6">
      <c r="F762" s="254"/>
    </row>
    <row r="763" spans="6:6">
      <c r="F763" s="254"/>
    </row>
    <row r="764" spans="6:6">
      <c r="F764" s="254"/>
    </row>
    <row r="765" spans="6:6">
      <c r="F765" s="254"/>
    </row>
    <row r="766" spans="6:6">
      <c r="F766" s="254"/>
    </row>
    <row r="767" spans="6:6">
      <c r="F767" s="254"/>
    </row>
    <row r="768" spans="6:6">
      <c r="F768" s="254"/>
    </row>
    <row r="769" spans="6:6">
      <c r="F769" s="254"/>
    </row>
    <row r="770" spans="6:6">
      <c r="F770" s="254"/>
    </row>
    <row r="771" spans="6:6">
      <c r="F771" s="254"/>
    </row>
    <row r="772" spans="6:6">
      <c r="F772" s="254"/>
    </row>
    <row r="773" spans="6:6">
      <c r="F773" s="254"/>
    </row>
    <row r="774" spans="6:6">
      <c r="F774" s="254"/>
    </row>
    <row r="775" spans="6:6">
      <c r="F775" s="254"/>
    </row>
    <row r="776" spans="6:6">
      <c r="F776" s="254"/>
    </row>
    <row r="777" spans="6:6">
      <c r="F777" s="254"/>
    </row>
    <row r="778" spans="6:6">
      <c r="F778" s="254"/>
    </row>
    <row r="779" spans="6:6">
      <c r="F779" s="254"/>
    </row>
    <row r="780" spans="6:6">
      <c r="F780" s="254"/>
    </row>
    <row r="781" spans="6:6">
      <c r="F781" s="254"/>
    </row>
    <row r="782" spans="6:6">
      <c r="F782" s="254"/>
    </row>
    <row r="783" spans="6:6">
      <c r="F783" s="254"/>
    </row>
    <row r="784" spans="6:6">
      <c r="F784" s="254"/>
    </row>
    <row r="785" spans="6:6">
      <c r="F785" s="254"/>
    </row>
    <row r="786" spans="6:6">
      <c r="F786" s="254"/>
    </row>
    <row r="787" spans="6:6">
      <c r="F787" s="254"/>
    </row>
    <row r="788" spans="6:6">
      <c r="F788" s="254"/>
    </row>
    <row r="789" spans="6:6">
      <c r="F789" s="254"/>
    </row>
    <row r="790" spans="6:6">
      <c r="F790" s="254"/>
    </row>
    <row r="791" spans="6:6">
      <c r="F791" s="254"/>
    </row>
    <row r="792" spans="6:6">
      <c r="F792" s="254"/>
    </row>
    <row r="793" spans="6:6">
      <c r="F793" s="254"/>
    </row>
    <row r="794" spans="6:6">
      <c r="F794" s="254"/>
    </row>
    <row r="795" spans="6:6">
      <c r="F795" s="254"/>
    </row>
    <row r="796" spans="6:6">
      <c r="F796" s="254"/>
    </row>
    <row r="797" spans="6:6">
      <c r="F797" s="254"/>
    </row>
    <row r="798" spans="6:6">
      <c r="F798" s="254"/>
    </row>
    <row r="799" spans="6:6">
      <c r="F799" s="254"/>
    </row>
    <row r="800" spans="6:6">
      <c r="F800" s="254"/>
    </row>
    <row r="801" spans="6:6">
      <c r="F801" s="254"/>
    </row>
    <row r="802" spans="6:6">
      <c r="F802" s="254"/>
    </row>
    <row r="803" spans="6:6">
      <c r="F803" s="254"/>
    </row>
    <row r="804" spans="6:6">
      <c r="F804" s="254"/>
    </row>
    <row r="805" spans="6:6">
      <c r="F805" s="254"/>
    </row>
    <row r="806" spans="6:6">
      <c r="F806" s="254"/>
    </row>
    <row r="807" spans="6:6">
      <c r="F807" s="254"/>
    </row>
    <row r="808" spans="6:6">
      <c r="F808" s="254"/>
    </row>
    <row r="809" spans="6:6">
      <c r="F809" s="254"/>
    </row>
    <row r="810" spans="6:6">
      <c r="F810" s="254"/>
    </row>
    <row r="811" spans="6:6">
      <c r="F811" s="254"/>
    </row>
    <row r="812" spans="6:6">
      <c r="F812" s="254"/>
    </row>
    <row r="813" spans="6:6">
      <c r="F813" s="254"/>
    </row>
    <row r="814" spans="6:6">
      <c r="F814" s="254"/>
    </row>
    <row r="815" spans="6:6">
      <c r="F815" s="254"/>
    </row>
    <row r="816" spans="6:6">
      <c r="F816" s="254"/>
    </row>
    <row r="817" spans="6:6">
      <c r="F817" s="254"/>
    </row>
    <row r="818" spans="6:6">
      <c r="F818" s="254"/>
    </row>
    <row r="819" spans="6:6">
      <c r="F819" s="254"/>
    </row>
    <row r="820" spans="6:6">
      <c r="F820" s="254"/>
    </row>
    <row r="821" spans="6:6">
      <c r="F821" s="254"/>
    </row>
    <row r="822" spans="6:6">
      <c r="F822" s="254"/>
    </row>
    <row r="823" spans="6:6">
      <c r="F823" s="254"/>
    </row>
    <row r="824" spans="6:6">
      <c r="F824" s="254"/>
    </row>
    <row r="825" spans="6:6">
      <c r="F825" s="254"/>
    </row>
    <row r="826" spans="6:6">
      <c r="F826" s="254"/>
    </row>
    <row r="827" spans="6:6">
      <c r="F827" s="254"/>
    </row>
    <row r="828" spans="6:6">
      <c r="F828" s="254"/>
    </row>
    <row r="829" spans="6:6">
      <c r="F829" s="254"/>
    </row>
    <row r="830" spans="6:6">
      <c r="F830" s="254"/>
    </row>
    <row r="831" spans="6:6">
      <c r="F831" s="254"/>
    </row>
    <row r="832" spans="6:6">
      <c r="F832" s="254"/>
    </row>
    <row r="833" spans="6:6">
      <c r="F833" s="254"/>
    </row>
    <row r="834" spans="6:6">
      <c r="F834" s="254"/>
    </row>
    <row r="835" spans="6:6">
      <c r="F835" s="254"/>
    </row>
    <row r="836" spans="6:6">
      <c r="F836" s="254"/>
    </row>
    <row r="837" spans="6:6">
      <c r="F837" s="254"/>
    </row>
    <row r="838" spans="6:6">
      <c r="F838" s="254"/>
    </row>
    <row r="839" spans="6:6">
      <c r="F839" s="254"/>
    </row>
    <row r="840" spans="6:6">
      <c r="F840" s="254"/>
    </row>
    <row r="841" spans="6:6">
      <c r="F841" s="254"/>
    </row>
    <row r="842" spans="6:6">
      <c r="F842" s="254"/>
    </row>
    <row r="843" spans="6:6">
      <c r="F843" s="254"/>
    </row>
    <row r="844" spans="6:6">
      <c r="F844" s="254"/>
    </row>
    <row r="845" spans="6:6">
      <c r="F845" s="254"/>
    </row>
    <row r="846" spans="6:6">
      <c r="F846" s="254"/>
    </row>
    <row r="847" spans="6:6">
      <c r="F847" s="254"/>
    </row>
    <row r="848" spans="6:6">
      <c r="F848" s="254"/>
    </row>
    <row r="849" spans="6:6">
      <c r="F849" s="254"/>
    </row>
    <row r="850" spans="6:6">
      <c r="F850" s="254"/>
    </row>
    <row r="851" spans="6:6">
      <c r="F851" s="254"/>
    </row>
    <row r="852" spans="6:6">
      <c r="F852" s="254"/>
    </row>
    <row r="853" spans="6:6">
      <c r="F853" s="254"/>
    </row>
    <row r="854" spans="6:6">
      <c r="F854" s="254"/>
    </row>
    <row r="855" spans="6:6">
      <c r="F855" s="254"/>
    </row>
    <row r="856" spans="6:6">
      <c r="F856" s="254"/>
    </row>
    <row r="857" spans="6:6">
      <c r="F857" s="254"/>
    </row>
    <row r="858" spans="6:6">
      <c r="F858" s="254"/>
    </row>
    <row r="859" spans="6:6">
      <c r="F859" s="254"/>
    </row>
    <row r="860" spans="6:6">
      <c r="F860" s="254"/>
    </row>
    <row r="861" spans="6:6">
      <c r="F861" s="254"/>
    </row>
    <row r="862" spans="6:6">
      <c r="F862" s="254"/>
    </row>
    <row r="863" spans="6:6">
      <c r="F863" s="254"/>
    </row>
    <row r="864" spans="6:6">
      <c r="F864" s="254"/>
    </row>
    <row r="865" spans="6:6">
      <c r="F865" s="254"/>
    </row>
    <row r="866" spans="6:6">
      <c r="F866" s="254"/>
    </row>
    <row r="867" spans="6:6">
      <c r="F867" s="254"/>
    </row>
    <row r="868" spans="6:6">
      <c r="F868" s="254"/>
    </row>
    <row r="869" spans="6:6">
      <c r="F869" s="254"/>
    </row>
    <row r="870" spans="6:6">
      <c r="F870" s="254"/>
    </row>
    <row r="871" spans="6:6">
      <c r="F871" s="254"/>
    </row>
    <row r="872" spans="6:6">
      <c r="F872" s="254"/>
    </row>
    <row r="873" spans="6:6">
      <c r="F873" s="254"/>
    </row>
    <row r="874" spans="6:6">
      <c r="F874" s="254"/>
    </row>
    <row r="875" spans="6:6">
      <c r="F875" s="254"/>
    </row>
    <row r="876" spans="6:6">
      <c r="F876" s="254"/>
    </row>
    <row r="877" spans="6:6">
      <c r="F877" s="254"/>
    </row>
    <row r="878" spans="6:6">
      <c r="F878" s="254"/>
    </row>
    <row r="879" spans="6:6">
      <c r="F879" s="254"/>
    </row>
    <row r="880" spans="6:6">
      <c r="F880" s="254"/>
    </row>
    <row r="881" spans="6:6">
      <c r="F881" s="254"/>
    </row>
    <row r="882" spans="6:6">
      <c r="F882" s="254"/>
    </row>
    <row r="883" spans="6:6">
      <c r="F883" s="254"/>
    </row>
    <row r="884" spans="6:6">
      <c r="F884" s="254"/>
    </row>
    <row r="885" spans="6:6">
      <c r="F885" s="254"/>
    </row>
    <row r="886" spans="6:6">
      <c r="F886" s="254"/>
    </row>
    <row r="887" spans="6:6">
      <c r="F887" s="254"/>
    </row>
    <row r="888" spans="6:6">
      <c r="F888" s="254"/>
    </row>
    <row r="889" spans="6:6">
      <c r="F889" s="254"/>
    </row>
    <row r="890" spans="6:6">
      <c r="F890" s="254"/>
    </row>
    <row r="891" spans="6:6">
      <c r="F891" s="254"/>
    </row>
    <row r="892" spans="6:6">
      <c r="F892" s="254"/>
    </row>
    <row r="893" spans="6:6">
      <c r="F893" s="254"/>
    </row>
    <row r="894" spans="6:6">
      <c r="F894" s="254"/>
    </row>
    <row r="895" spans="6:6">
      <c r="F895" s="254"/>
    </row>
    <row r="896" spans="6:6">
      <c r="F896" s="254"/>
    </row>
    <row r="897" spans="6:6">
      <c r="F897" s="254"/>
    </row>
    <row r="898" spans="6:6">
      <c r="F898" s="254"/>
    </row>
    <row r="899" spans="6:6">
      <c r="F899" s="254"/>
    </row>
    <row r="900" spans="6:6">
      <c r="F900" s="254"/>
    </row>
    <row r="901" spans="6:6">
      <c r="F901" s="254"/>
    </row>
    <row r="902" spans="6:6">
      <c r="F902" s="254"/>
    </row>
    <row r="903" spans="6:6">
      <c r="F903" s="254"/>
    </row>
    <row r="904" spans="6:6">
      <c r="F904" s="254"/>
    </row>
    <row r="905" spans="6:6">
      <c r="F905" s="254"/>
    </row>
    <row r="906" spans="6:6">
      <c r="F906" s="254"/>
    </row>
    <row r="907" spans="6:6">
      <c r="F907" s="254"/>
    </row>
    <row r="908" spans="6:6">
      <c r="F908" s="254"/>
    </row>
    <row r="909" spans="6:6">
      <c r="F909" s="254"/>
    </row>
    <row r="910" spans="6:6">
      <c r="F910" s="254"/>
    </row>
    <row r="911" spans="6:6">
      <c r="F911" s="254"/>
    </row>
    <row r="912" spans="6:6">
      <c r="F912" s="254"/>
    </row>
    <row r="913" spans="6:6">
      <c r="F913" s="254"/>
    </row>
    <row r="914" spans="6:6">
      <c r="F914" s="254"/>
    </row>
    <row r="915" spans="6:6">
      <c r="F915" s="254"/>
    </row>
    <row r="916" spans="6:6">
      <c r="F916" s="254"/>
    </row>
    <row r="917" spans="6:6">
      <c r="F917" s="254"/>
    </row>
    <row r="918" spans="6:6">
      <c r="F918" s="254"/>
    </row>
    <row r="919" spans="6:6">
      <c r="F919" s="254"/>
    </row>
    <row r="920" spans="6:6">
      <c r="F920" s="254"/>
    </row>
    <row r="921" spans="6:6">
      <c r="F921" s="254"/>
    </row>
    <row r="922" spans="6:6">
      <c r="F922" s="254"/>
    </row>
    <row r="923" spans="6:6">
      <c r="F923" s="254"/>
    </row>
    <row r="924" spans="6:6">
      <c r="F924" s="254"/>
    </row>
    <row r="925" spans="6:6">
      <c r="F925" s="254"/>
    </row>
    <row r="926" spans="6:6">
      <c r="F926" s="254"/>
    </row>
    <row r="927" spans="6:6">
      <c r="F927" s="254"/>
    </row>
    <row r="928" spans="6:6">
      <c r="F928" s="254"/>
    </row>
    <row r="929" spans="6:6">
      <c r="F929" s="254"/>
    </row>
    <row r="930" spans="6:6">
      <c r="F930" s="254"/>
    </row>
    <row r="931" spans="6:6">
      <c r="F931" s="254"/>
    </row>
    <row r="932" spans="6:6">
      <c r="F932" s="254"/>
    </row>
    <row r="933" spans="6:6">
      <c r="F933" s="254"/>
    </row>
    <row r="934" spans="6:6">
      <c r="F934" s="254"/>
    </row>
    <row r="935" spans="6:6">
      <c r="F935" s="254"/>
    </row>
    <row r="936" spans="6:6">
      <c r="F936" s="254"/>
    </row>
    <row r="937" spans="6:6">
      <c r="F937" s="254"/>
    </row>
    <row r="938" spans="6:6">
      <c r="F938" s="254"/>
    </row>
    <row r="939" spans="6:6">
      <c r="F939" s="254"/>
    </row>
    <row r="940" spans="6:6">
      <c r="F940" s="254"/>
    </row>
    <row r="941" spans="6:6">
      <c r="F941" s="254"/>
    </row>
    <row r="942" spans="6:6">
      <c r="F942" s="254"/>
    </row>
    <row r="943" spans="6:6">
      <c r="F943" s="254"/>
    </row>
    <row r="944" spans="6:6">
      <c r="F944" s="254"/>
    </row>
    <row r="945" spans="6:6">
      <c r="F945" s="254"/>
    </row>
    <row r="946" spans="6:6">
      <c r="F946" s="254"/>
    </row>
    <row r="947" spans="6:6">
      <c r="F947" s="254"/>
    </row>
    <row r="948" spans="6:6">
      <c r="F948" s="254"/>
    </row>
    <row r="949" spans="6:6">
      <c r="F949" s="254"/>
    </row>
    <row r="950" spans="6:6">
      <c r="F950" s="254"/>
    </row>
    <row r="951" spans="6:6">
      <c r="F951" s="254"/>
    </row>
    <row r="952" spans="6:6">
      <c r="F952" s="254"/>
    </row>
    <row r="953" spans="6:6">
      <c r="F953" s="254"/>
    </row>
    <row r="954" spans="6:6">
      <c r="F954" s="254"/>
    </row>
    <row r="955" spans="6:6">
      <c r="F955" s="254"/>
    </row>
    <row r="956" spans="6:6">
      <c r="F956" s="254"/>
    </row>
    <row r="957" spans="6:6">
      <c r="F957" s="254"/>
    </row>
    <row r="958" spans="6:6">
      <c r="F958" s="254"/>
    </row>
    <row r="959" spans="6:6">
      <c r="F959" s="254"/>
    </row>
    <row r="960" spans="6:6">
      <c r="F960" s="254"/>
    </row>
    <row r="961" spans="6:6">
      <c r="F961" s="254"/>
    </row>
    <row r="962" spans="6:6">
      <c r="F962" s="254"/>
    </row>
    <row r="963" spans="6:6">
      <c r="F963" s="254"/>
    </row>
    <row r="964" spans="6:6">
      <c r="F964" s="254"/>
    </row>
    <row r="965" spans="6:6">
      <c r="F965" s="254"/>
    </row>
    <row r="966" spans="6:6">
      <c r="F966" s="254"/>
    </row>
    <row r="967" spans="6:6">
      <c r="F967" s="254"/>
    </row>
    <row r="968" spans="6:6">
      <c r="F968" s="254"/>
    </row>
    <row r="969" spans="6:6">
      <c r="F969" s="254"/>
    </row>
    <row r="970" spans="6:6">
      <c r="F970" s="254"/>
    </row>
    <row r="971" spans="6:6">
      <c r="F971" s="254"/>
    </row>
    <row r="972" spans="6:6">
      <c r="F972" s="254"/>
    </row>
    <row r="973" spans="6:6">
      <c r="F973" s="254"/>
    </row>
    <row r="974" spans="6:6">
      <c r="F974" s="254"/>
    </row>
    <row r="975" spans="6:6">
      <c r="F975" s="254"/>
    </row>
    <row r="976" spans="6:6">
      <c r="F976" s="254"/>
    </row>
    <row r="977" spans="6:6">
      <c r="F977" s="254"/>
    </row>
    <row r="978" spans="6:6">
      <c r="F978" s="254"/>
    </row>
    <row r="979" spans="6:6">
      <c r="F979" s="254"/>
    </row>
    <row r="980" spans="6:6">
      <c r="F980" s="254"/>
    </row>
    <row r="981" spans="6:6">
      <c r="F981" s="254"/>
    </row>
    <row r="982" spans="6:6">
      <c r="F982" s="254"/>
    </row>
    <row r="983" spans="6:6">
      <c r="F983" s="254"/>
    </row>
    <row r="984" spans="6:6">
      <c r="F984" s="254"/>
    </row>
    <row r="985" spans="6:6">
      <c r="F985" s="254"/>
    </row>
    <row r="986" spans="6:6">
      <c r="F986" s="254"/>
    </row>
    <row r="987" spans="6:6">
      <c r="F987" s="254"/>
    </row>
    <row r="988" spans="6:6">
      <c r="F988" s="254"/>
    </row>
    <row r="989" spans="6:6">
      <c r="F989" s="254"/>
    </row>
    <row r="990" spans="6:6">
      <c r="F990" s="254"/>
    </row>
    <row r="991" spans="6:6">
      <c r="F991" s="254"/>
    </row>
    <row r="992" spans="6:6">
      <c r="F992" s="254"/>
    </row>
    <row r="993" spans="6:6">
      <c r="F993" s="254"/>
    </row>
    <row r="994" spans="6:6">
      <c r="F994" s="254"/>
    </row>
    <row r="995" spans="6:6">
      <c r="F995" s="254"/>
    </row>
    <row r="996" spans="6:6">
      <c r="F996" s="254"/>
    </row>
    <row r="997" spans="6:6">
      <c r="F997" s="254"/>
    </row>
    <row r="998" spans="6:6">
      <c r="F998" s="254"/>
    </row>
    <row r="999" spans="6:6">
      <c r="F999" s="254"/>
    </row>
    <row r="1000" spans="6:6">
      <c r="F1000" s="254"/>
    </row>
    <row r="1001" spans="6:6">
      <c r="F1001" s="254"/>
    </row>
    <row r="1002" spans="6:6">
      <c r="F1002" s="254"/>
    </row>
    <row r="1003" spans="6:6">
      <c r="F1003" s="254"/>
    </row>
    <row r="1004" spans="6:6">
      <c r="F1004" s="254"/>
    </row>
    <row r="1005" spans="6:6">
      <c r="F1005" s="254"/>
    </row>
    <row r="1006" spans="6:6">
      <c r="F1006" s="254"/>
    </row>
    <row r="1007" spans="6:6">
      <c r="F1007" s="254"/>
    </row>
    <row r="1008" spans="6:6">
      <c r="F1008" s="254"/>
    </row>
    <row r="1009" spans="6:6">
      <c r="F1009" s="254"/>
    </row>
    <row r="1010" spans="6:6">
      <c r="F1010" s="254"/>
    </row>
    <row r="1011" spans="6:6">
      <c r="F1011" s="254"/>
    </row>
    <row r="1012" spans="6:6">
      <c r="F1012" s="254"/>
    </row>
    <row r="1013" spans="6:6">
      <c r="F1013" s="254"/>
    </row>
    <row r="1014" spans="6:6">
      <c r="F1014" s="254"/>
    </row>
    <row r="1015" spans="6:6">
      <c r="F1015" s="254"/>
    </row>
    <row r="1016" spans="6:6">
      <c r="F1016" s="254"/>
    </row>
    <row r="1017" spans="6:6">
      <c r="F1017" s="254"/>
    </row>
    <row r="1018" spans="6:6">
      <c r="F1018" s="254"/>
    </row>
    <row r="1019" spans="6:6">
      <c r="F1019" s="254"/>
    </row>
    <row r="1020" spans="6:6">
      <c r="F1020" s="254"/>
    </row>
    <row r="1021" spans="6:6">
      <c r="F1021" s="254"/>
    </row>
    <row r="1022" spans="6:6">
      <c r="F1022" s="254"/>
    </row>
    <row r="1023" spans="6:6">
      <c r="F1023" s="254"/>
    </row>
    <row r="1024" spans="6:6">
      <c r="F1024" s="254"/>
    </row>
    <row r="1025" spans="6:6">
      <c r="F1025" s="254"/>
    </row>
    <row r="1026" spans="6:6">
      <c r="F1026" s="254"/>
    </row>
    <row r="1027" spans="6:6">
      <c r="F1027" s="254"/>
    </row>
    <row r="1028" spans="6:6">
      <c r="F1028" s="254"/>
    </row>
    <row r="1029" spans="6:6">
      <c r="F1029" s="254"/>
    </row>
    <row r="1030" spans="6:6">
      <c r="F1030" s="254"/>
    </row>
    <row r="1031" spans="6:6">
      <c r="F1031" s="254"/>
    </row>
    <row r="1032" spans="6:6">
      <c r="F1032" s="254"/>
    </row>
    <row r="1033" spans="6:6">
      <c r="F1033" s="254"/>
    </row>
    <row r="1034" spans="6:6">
      <c r="F1034" s="254"/>
    </row>
    <row r="1035" spans="6:6">
      <c r="F1035" s="254"/>
    </row>
    <row r="1036" spans="6:6">
      <c r="F1036" s="254"/>
    </row>
    <row r="1037" spans="6:6">
      <c r="F1037" s="254"/>
    </row>
    <row r="1038" spans="6:6">
      <c r="F1038" s="254"/>
    </row>
    <row r="1039" spans="6:6">
      <c r="F1039" s="254"/>
    </row>
    <row r="1040" spans="6:6">
      <c r="F1040" s="254"/>
    </row>
    <row r="1041" spans="6:6">
      <c r="F1041" s="254"/>
    </row>
    <row r="1042" spans="6:6">
      <c r="F1042" s="254"/>
    </row>
    <row r="1043" spans="6:6">
      <c r="F1043" s="254"/>
    </row>
    <row r="1044" spans="6:6">
      <c r="F1044" s="254"/>
    </row>
    <row r="1045" spans="6:6">
      <c r="F1045" s="254"/>
    </row>
    <row r="1046" spans="6:6">
      <c r="F1046" s="254"/>
    </row>
    <row r="1047" spans="6:6">
      <c r="F1047" s="254"/>
    </row>
    <row r="1048" spans="6:6">
      <c r="F1048" s="254"/>
    </row>
    <row r="1049" spans="6:6">
      <c r="F1049" s="254"/>
    </row>
    <row r="1050" spans="6:6">
      <c r="F1050" s="254"/>
    </row>
    <row r="1051" spans="6:6">
      <c r="F1051" s="254"/>
    </row>
    <row r="1052" spans="6:6">
      <c r="F1052" s="254"/>
    </row>
    <row r="1053" spans="6:6">
      <c r="F1053" s="254"/>
    </row>
    <row r="1054" spans="6:6">
      <c r="F1054" s="254"/>
    </row>
    <row r="1055" spans="6:6">
      <c r="F1055" s="254"/>
    </row>
    <row r="1056" spans="6:6">
      <c r="F1056" s="254"/>
    </row>
    <row r="1057" spans="6:6">
      <c r="F1057" s="254"/>
    </row>
    <row r="1058" spans="6:6">
      <c r="F1058" s="254"/>
    </row>
    <row r="1059" spans="6:6">
      <c r="F1059" s="254"/>
    </row>
    <row r="1060" spans="6:6">
      <c r="F1060" s="254"/>
    </row>
    <row r="1061" spans="6:6">
      <c r="F1061" s="254"/>
    </row>
    <row r="1062" spans="6:6">
      <c r="F1062" s="254"/>
    </row>
    <row r="1063" spans="6:6">
      <c r="F1063" s="254"/>
    </row>
    <row r="1064" spans="6:6">
      <c r="F1064" s="254"/>
    </row>
    <row r="1065" spans="6:6">
      <c r="F1065" s="254"/>
    </row>
    <row r="1066" spans="6:6">
      <c r="F1066" s="254"/>
    </row>
    <row r="1067" spans="6:6">
      <c r="F1067" s="254"/>
    </row>
    <row r="1068" spans="6:6">
      <c r="F1068" s="254"/>
    </row>
    <row r="1069" spans="6:6">
      <c r="F1069" s="254"/>
    </row>
    <row r="1070" spans="6:6">
      <c r="F1070" s="254"/>
    </row>
    <row r="1071" spans="6:6">
      <c r="F1071" s="254"/>
    </row>
    <row r="1072" spans="6:6">
      <c r="F1072" s="254"/>
    </row>
    <row r="1073" spans="6:6">
      <c r="F1073" s="254"/>
    </row>
    <row r="1074" spans="6:6">
      <c r="F1074" s="254"/>
    </row>
    <row r="1075" spans="6:6">
      <c r="F1075" s="254"/>
    </row>
    <row r="1076" spans="6:6">
      <c r="F1076" s="254"/>
    </row>
    <row r="1077" spans="6:6">
      <c r="F1077" s="254"/>
    </row>
    <row r="1078" spans="6:6">
      <c r="F1078" s="254"/>
    </row>
    <row r="1079" spans="6:6">
      <c r="F1079" s="254"/>
    </row>
    <row r="1080" spans="6:6">
      <c r="F1080" s="254"/>
    </row>
    <row r="1081" spans="6:6">
      <c r="F1081" s="254"/>
    </row>
    <row r="1082" spans="6:6">
      <c r="F1082" s="254"/>
    </row>
    <row r="1083" spans="6:6">
      <c r="F1083" s="254"/>
    </row>
    <row r="1084" spans="6:6">
      <c r="F1084" s="254"/>
    </row>
    <row r="1085" spans="6:6">
      <c r="F1085" s="254"/>
    </row>
    <row r="1086" spans="6:6">
      <c r="F1086" s="254"/>
    </row>
    <row r="1087" spans="6:6">
      <c r="F1087" s="254"/>
    </row>
    <row r="1088" spans="6:6">
      <c r="F1088" s="254"/>
    </row>
    <row r="1089" spans="6:6">
      <c r="F1089" s="254"/>
    </row>
    <row r="1090" spans="6:6">
      <c r="F1090" s="254"/>
    </row>
    <row r="1091" spans="6:6">
      <c r="F1091" s="254"/>
    </row>
    <row r="1092" spans="6:6">
      <c r="F1092" s="254"/>
    </row>
    <row r="1093" spans="6:6">
      <c r="F1093" s="254"/>
    </row>
    <row r="1094" spans="6:6">
      <c r="F1094" s="254"/>
    </row>
    <row r="1095" spans="6:6">
      <c r="F1095" s="254"/>
    </row>
    <row r="1096" spans="6:6">
      <c r="F1096" s="254"/>
    </row>
    <row r="1097" spans="6:6">
      <c r="F1097" s="254"/>
    </row>
    <row r="1098" spans="6:6">
      <c r="F1098" s="254"/>
    </row>
    <row r="1099" spans="6:6">
      <c r="F1099" s="254"/>
    </row>
    <row r="1100" spans="6:6">
      <c r="F1100" s="254"/>
    </row>
    <row r="1101" spans="6:6">
      <c r="F1101" s="254"/>
    </row>
    <row r="1102" spans="6:6">
      <c r="F1102" s="254"/>
    </row>
    <row r="1103" spans="6:6">
      <c r="F1103" s="254"/>
    </row>
    <row r="1104" spans="6:6">
      <c r="F1104" s="254"/>
    </row>
    <row r="1105" spans="6:6">
      <c r="F1105" s="254"/>
    </row>
    <row r="1106" spans="6:6">
      <c r="F1106" s="254"/>
    </row>
    <row r="1107" spans="6:6">
      <c r="F1107" s="254"/>
    </row>
    <row r="1108" spans="6:6">
      <c r="F1108" s="254"/>
    </row>
    <row r="1109" spans="6:6">
      <c r="F1109" s="254"/>
    </row>
    <row r="1110" spans="6:6">
      <c r="F1110" s="254"/>
    </row>
    <row r="1111" spans="6:6">
      <c r="F1111" s="254"/>
    </row>
    <row r="1112" spans="6:6">
      <c r="F1112" s="254"/>
    </row>
    <row r="1113" spans="6:6">
      <c r="F1113" s="254"/>
    </row>
    <row r="1114" spans="6:6">
      <c r="F1114" s="254"/>
    </row>
    <row r="1115" spans="6:6">
      <c r="F1115" s="254"/>
    </row>
    <row r="1116" spans="6:6">
      <c r="F1116" s="254"/>
    </row>
    <row r="1117" spans="6:6">
      <c r="F1117" s="254"/>
    </row>
    <row r="1118" spans="6:6">
      <c r="F1118" s="254"/>
    </row>
    <row r="1119" spans="6:6">
      <c r="F1119" s="254"/>
    </row>
    <row r="1120" spans="6:6">
      <c r="F1120" s="254"/>
    </row>
    <row r="1121" spans="6:6">
      <c r="F1121" s="254"/>
    </row>
    <row r="1122" spans="6:6">
      <c r="F1122" s="254"/>
    </row>
    <row r="1123" spans="6:6">
      <c r="F1123" s="254"/>
    </row>
    <row r="1124" spans="6:6">
      <c r="F1124" s="254"/>
    </row>
    <row r="1125" spans="6:6">
      <c r="F1125" s="254"/>
    </row>
    <row r="1126" spans="6:6">
      <c r="F1126" s="254"/>
    </row>
    <row r="1127" spans="6:6">
      <c r="F1127" s="254"/>
    </row>
    <row r="1128" spans="6:6">
      <c r="F1128" s="254"/>
    </row>
    <row r="1129" spans="6:6">
      <c r="F1129" s="254"/>
    </row>
    <row r="1130" spans="6:6">
      <c r="F1130" s="254"/>
    </row>
    <row r="1131" spans="6:6">
      <c r="F1131" s="254"/>
    </row>
    <row r="1132" spans="6:6">
      <c r="F1132" s="254"/>
    </row>
    <row r="1133" spans="6:6">
      <c r="F1133" s="254"/>
    </row>
    <row r="1134" spans="6:6">
      <c r="F1134" s="254"/>
    </row>
    <row r="1135" spans="6:6">
      <c r="F1135" s="254"/>
    </row>
    <row r="1136" spans="6:6">
      <c r="F1136" s="254"/>
    </row>
    <row r="1137" spans="6:6">
      <c r="F1137" s="254"/>
    </row>
    <row r="1138" spans="6:6">
      <c r="F1138" s="254"/>
    </row>
    <row r="1139" spans="6:6">
      <c r="F1139" s="254"/>
    </row>
    <row r="1140" spans="6:6">
      <c r="F1140" s="254"/>
    </row>
    <row r="1141" spans="6:6">
      <c r="F1141" s="254"/>
    </row>
    <row r="1142" spans="6:6">
      <c r="F1142" s="254"/>
    </row>
    <row r="1143" spans="6:6">
      <c r="F1143" s="254"/>
    </row>
    <row r="1144" spans="6:6">
      <c r="F1144" s="254"/>
    </row>
    <row r="1145" spans="6:6">
      <c r="F1145" s="254"/>
    </row>
    <row r="1146" spans="6:6">
      <c r="F1146" s="254"/>
    </row>
    <row r="1147" spans="6:6">
      <c r="F1147" s="254"/>
    </row>
    <row r="1148" spans="6:6">
      <c r="F1148" s="254"/>
    </row>
    <row r="1149" spans="6:6">
      <c r="F1149" s="254"/>
    </row>
    <row r="1150" spans="6:6">
      <c r="F1150" s="254"/>
    </row>
    <row r="1151" spans="6:6">
      <c r="F1151" s="254"/>
    </row>
    <row r="1152" spans="6:6">
      <c r="F1152" s="254"/>
    </row>
    <row r="1153" spans="6:6">
      <c r="F1153" s="254"/>
    </row>
    <row r="1154" spans="6:6">
      <c r="F1154" s="254"/>
    </row>
    <row r="1155" spans="6:6">
      <c r="F1155" s="254"/>
    </row>
    <row r="1156" spans="6:6">
      <c r="F1156" s="254"/>
    </row>
    <row r="1157" spans="6:6">
      <c r="F1157" s="254"/>
    </row>
    <row r="1158" spans="6:6">
      <c r="F1158" s="254"/>
    </row>
    <row r="1159" spans="6:6">
      <c r="F1159" s="254"/>
    </row>
    <row r="1160" spans="6:6">
      <c r="F1160" s="254"/>
    </row>
    <row r="1161" spans="6:6">
      <c r="F1161" s="254"/>
    </row>
    <row r="1162" spans="6:6">
      <c r="F1162" s="254"/>
    </row>
    <row r="1163" spans="6:6">
      <c r="F1163" s="254"/>
    </row>
    <row r="1164" spans="6:6">
      <c r="F1164" s="254"/>
    </row>
    <row r="1165" spans="6:6">
      <c r="F1165" s="254"/>
    </row>
    <row r="1166" spans="6:6">
      <c r="F1166" s="254"/>
    </row>
    <row r="1167" spans="6:6">
      <c r="F1167" s="254"/>
    </row>
    <row r="1168" spans="6:6">
      <c r="F1168" s="254"/>
    </row>
    <row r="1169" spans="6:6">
      <c r="F1169" s="254"/>
    </row>
    <row r="1170" spans="6:6">
      <c r="F1170" s="254"/>
    </row>
    <row r="1171" spans="6:6">
      <c r="F1171" s="254"/>
    </row>
    <row r="1172" spans="6:6">
      <c r="F1172" s="254"/>
    </row>
    <row r="1173" spans="6:6">
      <c r="F1173" s="254"/>
    </row>
    <row r="1174" spans="6:6">
      <c r="F1174" s="254"/>
    </row>
    <row r="1175" spans="6:6">
      <c r="F1175" s="254"/>
    </row>
    <row r="1176" spans="6:6">
      <c r="F1176" s="254"/>
    </row>
    <row r="1177" spans="6:6">
      <c r="F1177" s="254"/>
    </row>
    <row r="1178" spans="6:6">
      <c r="F1178" s="254"/>
    </row>
    <row r="1179" spans="6:6">
      <c r="F1179" s="254"/>
    </row>
    <row r="1180" spans="6:6">
      <c r="F1180" s="254"/>
    </row>
    <row r="1181" spans="6:6">
      <c r="F1181" s="254"/>
    </row>
    <row r="1182" spans="6:6">
      <c r="F1182" s="254"/>
    </row>
    <row r="1183" spans="6:6">
      <c r="F1183" s="254"/>
    </row>
    <row r="1184" spans="6:6">
      <c r="F1184" s="254"/>
    </row>
  </sheetData>
  <sheetProtection algorithmName="SHA-512" hashValue="0Scr6VbDEa4U3oVl+zotNLCZ2AU4QeRNa9iFmUhoe7K1KcXmfcHHR2A7R0ix68RzX/fUTWd/doKwYMHD7XwtNw==" saltValue="eKm7XVXgdCW0ieKyIQ+6RA==" spinCount="100000" sheet="1" objects="1" scenarios="1"/>
  <protectedRanges>
    <protectedRange sqref="A7:D7 C96:D96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3" max="5" man="1"/>
  </rowBreaks>
  <ignoredErrors>
    <ignoredError sqref="C107:C113 C98:C102 C71:C72 C10:C58 C63:C69 C73:C87 C90:C92" numberStoredAsText="1"/>
    <ignoredError sqref="F118:F128 F107:F110 F71:F72 F54:F56 F10:F52 F98:F102 F64:F69 F73:F88 F89 F90:F92"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topLeftCell="A10" zoomScale="80" zoomScaleNormal="80" zoomScaleSheetLayoutView="90" zoomScalePageLayoutView="70" workbookViewId="0">
      <selection activeCell="C8" sqref="C8"/>
    </sheetView>
  </sheetViews>
  <sheetFormatPr defaultColWidth="9.140625" defaultRowHeight="15.75"/>
  <cols>
    <col min="1" max="1" width="5.28515625" style="275" customWidth="1"/>
    <col min="2" max="2" width="84.42578125" style="275" customWidth="1"/>
    <col min="3" max="3" width="14.85546875" style="275" customWidth="1"/>
    <col min="4" max="4" width="14" style="275" customWidth="1"/>
    <col min="5" max="5" width="15.42578125" style="275" customWidth="1"/>
    <col min="6" max="6" width="9.140625" style="275"/>
    <col min="7" max="7" width="10.85546875" style="275" customWidth="1"/>
    <col min="8" max="16384" width="9.140625" style="275"/>
  </cols>
  <sheetData>
    <row r="1" spans="2:7" ht="26.25">
      <c r="B1" s="911" t="s">
        <v>11</v>
      </c>
      <c r="C1" s="911"/>
      <c r="D1" s="911"/>
      <c r="E1" s="911"/>
      <c r="F1" s="274"/>
      <c r="G1" s="274"/>
    </row>
    <row r="2" spans="2:7" ht="26.25">
      <c r="B2" s="911" t="s">
        <v>745</v>
      </c>
      <c r="C2" s="911"/>
      <c r="D2" s="911"/>
      <c r="E2" s="911"/>
      <c r="F2" s="274"/>
      <c r="G2" s="274"/>
    </row>
    <row r="3" spans="2:7" ht="21">
      <c r="B3" s="901"/>
      <c r="C3" s="901"/>
      <c r="D3" s="901"/>
      <c r="E3" s="901"/>
      <c r="F3" s="274"/>
      <c r="G3" s="274"/>
    </row>
    <row r="4" spans="2:7" ht="21.75" thickBot="1">
      <c r="B4" s="1014"/>
      <c r="C4" s="1014"/>
      <c r="D4" s="1014"/>
      <c r="E4" s="1014"/>
      <c r="F4" s="274"/>
      <c r="G4" s="274"/>
    </row>
    <row r="5" spans="2:7" ht="48" customHeight="1">
      <c r="B5" s="894" t="s">
        <v>622</v>
      </c>
      <c r="C5" s="994" t="s">
        <v>623</v>
      </c>
      <c r="D5" s="995"/>
      <c r="E5" s="996"/>
    </row>
    <row r="6" spans="2:7">
      <c r="B6" s="895"/>
      <c r="C6" s="882" t="s">
        <v>624</v>
      </c>
      <c r="D6" s="768" t="s">
        <v>625</v>
      </c>
      <c r="E6" s="769" t="s">
        <v>626</v>
      </c>
    </row>
    <row r="7" spans="2:7" ht="29.25" customHeight="1">
      <c r="B7" s="896"/>
      <c r="C7" s="883"/>
      <c r="D7" s="770">
        <v>-0.1</v>
      </c>
      <c r="E7" s="771">
        <v>0.15</v>
      </c>
    </row>
    <row r="8" spans="2:7" ht="15" customHeight="1">
      <c r="B8" s="772" t="s">
        <v>194</v>
      </c>
      <c r="C8" s="773">
        <v>71.975999999999999</v>
      </c>
      <c r="D8" s="773">
        <v>64.78</v>
      </c>
      <c r="E8" s="774">
        <v>82.78</v>
      </c>
    </row>
    <row r="9" spans="2:7" ht="15" customHeight="1">
      <c r="B9" s="775" t="s">
        <v>627</v>
      </c>
      <c r="C9" s="776">
        <v>3.6</v>
      </c>
      <c r="D9" s="776">
        <v>3.24</v>
      </c>
      <c r="E9" s="777">
        <v>4.1399999999999997</v>
      </c>
    </row>
    <row r="10" spans="2:7" ht="15" customHeight="1">
      <c r="B10" s="775" t="s">
        <v>628</v>
      </c>
      <c r="C10" s="776">
        <v>3.6</v>
      </c>
      <c r="D10" s="776">
        <v>3.24</v>
      </c>
      <c r="E10" s="777">
        <v>4.1399999999999997</v>
      </c>
    </row>
    <row r="11" spans="2:7" ht="15" customHeight="1">
      <c r="B11" s="778" t="s">
        <v>629</v>
      </c>
      <c r="C11" s="776">
        <v>7.2</v>
      </c>
      <c r="D11" s="776">
        <v>6.48</v>
      </c>
      <c r="E11" s="777">
        <v>8.2799999999999994</v>
      </c>
      <c r="F11" s="178"/>
    </row>
    <row r="12" spans="2:7" ht="15" customHeight="1">
      <c r="B12" s="779" t="s">
        <v>630</v>
      </c>
      <c r="C12" s="780"/>
      <c r="D12" s="780"/>
      <c r="E12" s="781"/>
    </row>
    <row r="13" spans="2:7" ht="42.6" customHeight="1">
      <c r="B13" s="897" t="s">
        <v>631</v>
      </c>
      <c r="C13" s="991" t="s">
        <v>623</v>
      </c>
      <c r="D13" s="992"/>
      <c r="E13" s="993"/>
    </row>
    <row r="14" spans="2:7">
      <c r="B14" s="895"/>
      <c r="C14" s="882" t="s">
        <v>624</v>
      </c>
      <c r="D14" s="782" t="s">
        <v>625</v>
      </c>
      <c r="E14" s="783" t="s">
        <v>626</v>
      </c>
    </row>
    <row r="15" spans="2:7">
      <c r="B15" s="896"/>
      <c r="C15" s="883"/>
      <c r="D15" s="770">
        <f>D7</f>
        <v>-0.1</v>
      </c>
      <c r="E15" s="771">
        <f>E7</f>
        <v>0.15</v>
      </c>
    </row>
    <row r="16" spans="2:7" ht="15" customHeight="1">
      <c r="B16" s="784" t="s">
        <v>194</v>
      </c>
      <c r="C16" s="776">
        <v>71.975999999999999</v>
      </c>
      <c r="D16" s="776">
        <v>64.78</v>
      </c>
      <c r="E16" s="777">
        <v>82.78</v>
      </c>
    </row>
    <row r="17" spans="2:5" ht="15" customHeight="1">
      <c r="B17" s="784" t="s">
        <v>632</v>
      </c>
      <c r="C17" s="776">
        <v>215.93799999999999</v>
      </c>
      <c r="D17" s="776">
        <v>194.35</v>
      </c>
      <c r="E17" s="777">
        <v>248.33</v>
      </c>
    </row>
    <row r="18" spans="2:5" ht="15" customHeight="1">
      <c r="B18" s="779" t="s">
        <v>633</v>
      </c>
      <c r="C18" s="776">
        <v>14.4</v>
      </c>
      <c r="D18" s="776">
        <v>12.96</v>
      </c>
      <c r="E18" s="777">
        <v>16.559999999999999</v>
      </c>
    </row>
    <row r="19" spans="2:5" ht="15" customHeight="1">
      <c r="B19" s="779" t="s">
        <v>634</v>
      </c>
      <c r="C19" s="776">
        <v>14.4</v>
      </c>
      <c r="D19" s="776">
        <v>12.96</v>
      </c>
      <c r="E19" s="777">
        <v>16.559999999999999</v>
      </c>
    </row>
    <row r="20" spans="2:5" ht="15" customHeight="1">
      <c r="B20" s="785" t="s">
        <v>635</v>
      </c>
      <c r="C20" s="776">
        <v>7.2</v>
      </c>
      <c r="D20" s="776">
        <v>6.48</v>
      </c>
      <c r="E20" s="777">
        <v>8.2799999999999994</v>
      </c>
    </row>
    <row r="21" spans="2:5" ht="15" customHeight="1" thickBot="1">
      <c r="B21" s="786" t="s">
        <v>636</v>
      </c>
      <c r="C21" s="787">
        <v>57.58</v>
      </c>
      <c r="D21" s="787">
        <v>51.83</v>
      </c>
      <c r="E21" s="788">
        <v>66.22</v>
      </c>
    </row>
    <row r="22" spans="2:5" ht="16.5" thickBot="1">
      <c r="B22" s="276"/>
    </row>
    <row r="23" spans="2:5" ht="34.35" customHeight="1">
      <c r="B23" s="898" t="s">
        <v>637</v>
      </c>
      <c r="C23" s="997" t="s">
        <v>623</v>
      </c>
      <c r="D23" s="998"/>
      <c r="E23" s="999"/>
    </row>
    <row r="24" spans="2:5">
      <c r="B24" s="899"/>
      <c r="C24" s="882" t="s">
        <v>624</v>
      </c>
      <c r="D24" s="768" t="s">
        <v>625</v>
      </c>
      <c r="E24" s="789" t="s">
        <v>626</v>
      </c>
    </row>
    <row r="25" spans="2:5">
      <c r="B25" s="900"/>
      <c r="C25" s="883"/>
      <c r="D25" s="770">
        <v>0</v>
      </c>
      <c r="E25" s="790">
        <v>0</v>
      </c>
    </row>
    <row r="26" spans="2:5" ht="15" customHeight="1">
      <c r="B26" s="791" t="s">
        <v>194</v>
      </c>
      <c r="C26" s="776">
        <v>91.79</v>
      </c>
      <c r="D26" s="776">
        <f>ROUND(C26*(1+D25),2)</f>
        <v>91.79</v>
      </c>
      <c r="E26" s="792">
        <f>ROUND(C26*(1+E25),2)</f>
        <v>91.79</v>
      </c>
    </row>
    <row r="27" spans="2:5" ht="15" customHeight="1">
      <c r="B27" s="793" t="s">
        <v>627</v>
      </c>
      <c r="C27" s="776">
        <v>4.59</v>
      </c>
      <c r="D27" s="776">
        <v>4.59</v>
      </c>
      <c r="E27" s="792">
        <v>4.59</v>
      </c>
    </row>
    <row r="28" spans="2:5" ht="15" customHeight="1">
      <c r="B28" s="793" t="s">
        <v>628</v>
      </c>
      <c r="C28" s="776">
        <v>4.59</v>
      </c>
      <c r="D28" s="776">
        <v>4.59</v>
      </c>
      <c r="E28" s="792">
        <v>4.59</v>
      </c>
    </row>
    <row r="29" spans="2:5" ht="15" customHeight="1">
      <c r="B29" s="794" t="s">
        <v>629</v>
      </c>
      <c r="C29" s="776">
        <v>9.18</v>
      </c>
      <c r="D29" s="776">
        <v>9.18</v>
      </c>
      <c r="E29" s="792">
        <v>9.18</v>
      </c>
    </row>
    <row r="30" spans="2:5" ht="15" customHeight="1">
      <c r="B30" s="793" t="s">
        <v>638</v>
      </c>
      <c r="C30" s="780"/>
      <c r="D30" s="780"/>
      <c r="E30" s="795"/>
    </row>
    <row r="31" spans="2:5" ht="41.45" customHeight="1">
      <c r="B31" s="889" t="s">
        <v>639</v>
      </c>
      <c r="C31" s="991" t="s">
        <v>623</v>
      </c>
      <c r="D31" s="992"/>
      <c r="E31" s="1000"/>
    </row>
    <row r="32" spans="2:5">
      <c r="B32" s="890"/>
      <c r="C32" s="882" t="s">
        <v>624</v>
      </c>
      <c r="D32" s="768" t="s">
        <v>625</v>
      </c>
      <c r="E32" s="789" t="s">
        <v>626</v>
      </c>
    </row>
    <row r="33" spans="2:7">
      <c r="B33" s="891"/>
      <c r="C33" s="883"/>
      <c r="D33" s="770">
        <f>D25</f>
        <v>0</v>
      </c>
      <c r="E33" s="790">
        <f>E25</f>
        <v>0</v>
      </c>
    </row>
    <row r="34" spans="2:7" ht="15" customHeight="1">
      <c r="B34" s="791" t="s">
        <v>194</v>
      </c>
      <c r="C34" s="776">
        <v>91.79</v>
      </c>
      <c r="D34" s="776">
        <f>ROUND(C34*(1+D33),2)</f>
        <v>91.79</v>
      </c>
      <c r="E34" s="792">
        <f>ROUND(C34*(1+E33),2)</f>
        <v>91.79</v>
      </c>
    </row>
    <row r="35" spans="2:7" ht="15" customHeight="1">
      <c r="B35" s="791" t="s">
        <v>632</v>
      </c>
      <c r="C35" s="796" t="s">
        <v>640</v>
      </c>
      <c r="D35" s="796" t="s">
        <v>640</v>
      </c>
      <c r="E35" s="797" t="s">
        <v>640</v>
      </c>
    </row>
    <row r="36" spans="2:7" ht="15" customHeight="1">
      <c r="B36" s="793" t="s">
        <v>633</v>
      </c>
      <c r="C36" s="796" t="s">
        <v>640</v>
      </c>
      <c r="D36" s="796" t="s">
        <v>640</v>
      </c>
      <c r="E36" s="797" t="s">
        <v>640</v>
      </c>
    </row>
    <row r="37" spans="2:7" ht="15" customHeight="1">
      <c r="B37" s="793" t="s">
        <v>634</v>
      </c>
      <c r="C37" s="796" t="s">
        <v>640</v>
      </c>
      <c r="D37" s="796" t="s">
        <v>640</v>
      </c>
      <c r="E37" s="797" t="s">
        <v>640</v>
      </c>
    </row>
    <row r="38" spans="2:7" ht="15" customHeight="1">
      <c r="B38" s="794" t="s">
        <v>635</v>
      </c>
      <c r="C38" s="776">
        <f>C29</f>
        <v>9.18</v>
      </c>
      <c r="D38" s="776">
        <f>D29</f>
        <v>9.18</v>
      </c>
      <c r="E38" s="792">
        <f>E29</f>
        <v>9.18</v>
      </c>
    </row>
    <row r="39" spans="2:7" ht="15" customHeight="1" thickBot="1">
      <c r="B39" s="798" t="s">
        <v>636</v>
      </c>
      <c r="C39" s="799" t="s">
        <v>640</v>
      </c>
      <c r="D39" s="799" t="s">
        <v>640</v>
      </c>
      <c r="E39" s="800" t="s">
        <v>640</v>
      </c>
    </row>
    <row r="40" spans="2:7">
      <c r="B40" s="276"/>
      <c r="C40" s="277"/>
      <c r="D40" s="277"/>
      <c r="E40" s="277"/>
    </row>
    <row r="41" spans="2:7">
      <c r="B41" s="278" t="s">
        <v>641</v>
      </c>
      <c r="C41" s="279"/>
      <c r="D41" s="279"/>
      <c r="E41" s="279"/>
    </row>
    <row r="42" spans="2:7" ht="48" customHeight="1">
      <c r="B42" s="892" t="s">
        <v>642</v>
      </c>
      <c r="C42" s="892"/>
      <c r="D42" s="892"/>
      <c r="E42" s="892"/>
    </row>
    <row r="43" spans="2:7">
      <c r="B43" s="892"/>
      <c r="C43" s="892"/>
      <c r="D43" s="892"/>
      <c r="E43" s="892"/>
    </row>
    <row r="44" spans="2:7">
      <c r="B44" s="280"/>
      <c r="C44" s="280"/>
      <c r="D44" s="280"/>
      <c r="E44" s="280"/>
    </row>
    <row r="45" spans="2:7">
      <c r="B45" s="275" t="s">
        <v>643</v>
      </c>
      <c r="C45" s="280"/>
      <c r="D45" s="280"/>
      <c r="E45" s="280"/>
    </row>
    <row r="46" spans="2:7">
      <c r="B46" s="281" t="str">
        <f>"the maximum tuition rate.  Maximum credit tuition rate = "&amp;TEXT(E16,"$0.00")</f>
        <v>the maximum tuition rate.  Maximum credit tuition rate = $82.78</v>
      </c>
      <c r="C46" s="933"/>
    </row>
    <row r="47" spans="2:7">
      <c r="B47" s="281" t="s">
        <v>644</v>
      </c>
      <c r="G47" s="934"/>
    </row>
    <row r="49" spans="2:5" ht="15" customHeight="1">
      <c r="B49" s="892"/>
      <c r="C49" s="892"/>
      <c r="D49" s="892"/>
      <c r="E49" s="892"/>
    </row>
    <row r="50" spans="2:5">
      <c r="B50" s="892"/>
      <c r="C50" s="892"/>
      <c r="D50" s="892"/>
      <c r="E50" s="892"/>
    </row>
    <row r="51" spans="2:5">
      <c r="B51" s="892"/>
      <c r="C51" s="892"/>
      <c r="D51" s="892"/>
      <c r="E51" s="892"/>
    </row>
    <row r="52" spans="2:5" ht="21">
      <c r="B52" s="901" t="str">
        <f>B1</f>
        <v>THE FLORIDA COLLEGE SYSTEM</v>
      </c>
      <c r="C52" s="901"/>
      <c r="D52" s="901"/>
      <c r="E52" s="901"/>
    </row>
    <row r="53" spans="2:5" ht="21">
      <c r="B53" s="901" t="str">
        <f>B2&amp;" , cont."</f>
        <v>FALL 2024-25 TUITION INCREASED BY 0% , cont.</v>
      </c>
      <c r="C53" s="901"/>
      <c r="D53" s="901"/>
      <c r="E53" s="901"/>
    </row>
    <row r="54" spans="2:5" ht="21">
      <c r="B54" s="901"/>
      <c r="C54" s="901"/>
      <c r="D54" s="901"/>
      <c r="E54" s="901"/>
    </row>
    <row r="55" spans="2:5" ht="16.5" thickBot="1">
      <c r="B55" s="276"/>
      <c r="C55" s="277"/>
      <c r="D55" s="277"/>
      <c r="E55" s="277"/>
    </row>
    <row r="56" spans="2:5" ht="33" customHeight="1">
      <c r="B56" s="884" t="s">
        <v>645</v>
      </c>
      <c r="C56" s="997" t="s">
        <v>623</v>
      </c>
      <c r="D56" s="998"/>
      <c r="E56" s="999"/>
    </row>
    <row r="57" spans="2:5">
      <c r="B57" s="885"/>
      <c r="C57" s="882" t="s">
        <v>624</v>
      </c>
      <c r="D57" s="768" t="s">
        <v>625</v>
      </c>
      <c r="E57" s="789" t="s">
        <v>626</v>
      </c>
    </row>
    <row r="58" spans="2:5">
      <c r="B58" s="886"/>
      <c r="C58" s="883"/>
      <c r="D58" s="770">
        <v>-0.05</v>
      </c>
      <c r="E58" s="790">
        <v>0.05</v>
      </c>
    </row>
    <row r="59" spans="2:5" ht="15" customHeight="1">
      <c r="B59" s="791" t="s">
        <v>194</v>
      </c>
      <c r="C59" s="776">
        <v>69.900000000000006</v>
      </c>
      <c r="D59" s="776">
        <f>ROUND(C59*(1+D58),2)</f>
        <v>66.41</v>
      </c>
      <c r="E59" s="792">
        <f>ROUND(C59*(1+E58),2)</f>
        <v>73.400000000000006</v>
      </c>
    </row>
    <row r="60" spans="2:5" ht="15" customHeight="1">
      <c r="B60" s="793" t="s">
        <v>646</v>
      </c>
      <c r="C60" s="776">
        <v>6.99</v>
      </c>
      <c r="D60" s="801">
        <f>ROUND(D59*'DISCRETIONARY FEE PERCENTAGES'!$B$6,2)</f>
        <v>6.64</v>
      </c>
      <c r="E60" s="792">
        <f>ROUND(E59*'DISCRETIONARY FEE PERCENTAGES'!$B$6,2)</f>
        <v>7.34</v>
      </c>
    </row>
    <row r="61" spans="2:5" ht="15" customHeight="1">
      <c r="B61" s="793" t="s">
        <v>628</v>
      </c>
      <c r="C61" s="776">
        <v>3.5</v>
      </c>
      <c r="D61" s="801">
        <f>ROUND(D59*'DISCRETIONARY FEE PERCENTAGES'!$B$25,2)</f>
        <v>3.32</v>
      </c>
      <c r="E61" s="792">
        <f>ROUND(E59*'DISCRETIONARY FEE PERCENTAGES'!$B$25,2)</f>
        <v>3.67</v>
      </c>
    </row>
    <row r="62" spans="2:5" ht="15" customHeight="1">
      <c r="B62" s="793" t="s">
        <v>647</v>
      </c>
      <c r="C62" s="776">
        <v>3.5</v>
      </c>
      <c r="D62" s="801">
        <f>ROUND(D59*'DISCRETIONARY FEE PERCENTAGES'!$B$19,2)</f>
        <v>3.32</v>
      </c>
      <c r="E62" s="792">
        <f>ROUND(E59*'DISCRETIONARY FEE PERCENTAGES'!$B$19,2)</f>
        <v>3.67</v>
      </c>
    </row>
    <row r="63" spans="2:5" ht="33" customHeight="1">
      <c r="B63" s="887" t="s">
        <v>648</v>
      </c>
      <c r="C63" s="991" t="s">
        <v>623</v>
      </c>
      <c r="D63" s="992"/>
      <c r="E63" s="1000"/>
    </row>
    <row r="64" spans="2:5">
      <c r="B64" s="885"/>
      <c r="C64" s="882" t="s">
        <v>624</v>
      </c>
      <c r="D64" s="768" t="s">
        <v>625</v>
      </c>
      <c r="E64" s="789" t="s">
        <v>626</v>
      </c>
    </row>
    <row r="65" spans="2:16">
      <c r="B65" s="886"/>
      <c r="C65" s="883"/>
      <c r="D65" s="770">
        <f>D58</f>
        <v>-0.05</v>
      </c>
      <c r="E65" s="790">
        <f>E58</f>
        <v>0.05</v>
      </c>
    </row>
    <row r="66" spans="2:16" ht="15" customHeight="1">
      <c r="B66" s="791" t="s">
        <v>194</v>
      </c>
      <c r="C66" s="776">
        <v>69.900000000000006</v>
      </c>
      <c r="D66" s="776">
        <f>ROUND(C66*(1+D65),2)</f>
        <v>66.41</v>
      </c>
      <c r="E66" s="792">
        <f>ROUND(C66*(1+E65),2)</f>
        <v>73.400000000000006</v>
      </c>
    </row>
    <row r="67" spans="2:16" ht="15" customHeight="1">
      <c r="B67" s="791" t="s">
        <v>632</v>
      </c>
      <c r="C67" s="776">
        <v>209.70000000000002</v>
      </c>
      <c r="D67" s="776">
        <f>ROUND(C67*(1+D65),2)</f>
        <v>199.22</v>
      </c>
      <c r="E67" s="792">
        <f>ROUND(C67*(1+E65),2)</f>
        <v>220.19</v>
      </c>
    </row>
    <row r="68" spans="2:16" ht="15" customHeight="1">
      <c r="B68" s="793" t="s">
        <v>649</v>
      </c>
      <c r="C68" s="776">
        <v>27.96</v>
      </c>
      <c r="D68" s="801">
        <f>ROUND((D66+D67)*'DISCRETIONARY FEE PERCENTAGES'!$B$10,2)</f>
        <v>26.56</v>
      </c>
      <c r="E68" s="792">
        <f>ROUND((E66+E67)*'DISCRETIONARY FEE PERCENTAGES'!$B$10,2)</f>
        <v>29.36</v>
      </c>
    </row>
    <row r="69" spans="2:16" ht="15" customHeight="1">
      <c r="B69" s="793" t="s">
        <v>634</v>
      </c>
      <c r="C69" s="776">
        <v>13.98</v>
      </c>
      <c r="D69" s="801">
        <f>ROUND((D66+D67)*'DISCRETIONARY FEE PERCENTAGES'!$B$28,2)</f>
        <v>13.28</v>
      </c>
      <c r="E69" s="792">
        <f>ROUND((E66+E67)*'DISCRETIONARY FEE PERCENTAGES'!$B$28,2)</f>
        <v>14.68</v>
      </c>
    </row>
    <row r="70" spans="2:16" ht="15" customHeight="1" thickBot="1">
      <c r="B70" s="798" t="s">
        <v>650</v>
      </c>
      <c r="C70" s="802">
        <v>13.98</v>
      </c>
      <c r="D70" s="803">
        <f>ROUND((D66+D67)*'DISCRETIONARY FEE PERCENTAGES'!$B$22,2)</f>
        <v>13.28</v>
      </c>
      <c r="E70" s="804">
        <f>ROUND((E66+E67)*'DISCRETIONARY FEE PERCENTAGES'!$B$22,2)</f>
        <v>14.68</v>
      </c>
    </row>
    <row r="71" spans="2:16" ht="16.5" thickBot="1">
      <c r="B71" s="276"/>
      <c r="C71" s="282"/>
      <c r="D71" s="282"/>
      <c r="E71" s="282"/>
    </row>
    <row r="72" spans="2:16" ht="32.25" customHeight="1">
      <c r="B72" s="879" t="s">
        <v>651</v>
      </c>
      <c r="C72" s="997" t="s">
        <v>652</v>
      </c>
      <c r="D72" s="998"/>
      <c r="E72" s="999"/>
    </row>
    <row r="73" spans="2:16">
      <c r="B73" s="880"/>
      <c r="C73" s="882" t="s">
        <v>624</v>
      </c>
      <c r="D73" s="768" t="s">
        <v>625</v>
      </c>
      <c r="E73" s="789" t="s">
        <v>626</v>
      </c>
    </row>
    <row r="74" spans="2:16">
      <c r="B74" s="881"/>
      <c r="C74" s="883"/>
      <c r="D74" s="770">
        <v>-0.05</v>
      </c>
      <c r="E74" s="790">
        <v>0.05</v>
      </c>
    </row>
    <row r="75" spans="2:16" ht="15" customHeight="1">
      <c r="B75" s="791" t="s">
        <v>653</v>
      </c>
      <c r="C75" s="776">
        <v>30</v>
      </c>
      <c r="D75" s="776">
        <f>ROUND(C75*(1+D74),2)</f>
        <v>28.5</v>
      </c>
      <c r="E75" s="792">
        <f>ROUND(C75*(1+E74),2)</f>
        <v>31.5</v>
      </c>
    </row>
    <row r="76" spans="2:16" ht="15" customHeight="1">
      <c r="B76" s="791"/>
      <c r="C76" s="776"/>
      <c r="D76" s="776"/>
      <c r="E76" s="792"/>
      <c r="F76" s="893"/>
      <c r="G76" s="893"/>
      <c r="H76" s="893"/>
      <c r="I76" s="893"/>
      <c r="J76" s="893"/>
      <c r="K76" s="893"/>
      <c r="L76" s="893"/>
      <c r="M76" s="893"/>
      <c r="N76" s="893"/>
      <c r="O76" s="893"/>
      <c r="P76" s="893"/>
    </row>
    <row r="77" spans="2:16" ht="15" customHeight="1">
      <c r="B77" s="791" t="s">
        <v>654</v>
      </c>
      <c r="C77" s="776">
        <v>45</v>
      </c>
      <c r="D77" s="776">
        <f>ROUND(C77*(1+D74),2)</f>
        <v>42.75</v>
      </c>
      <c r="E77" s="805">
        <f>ROUND(C77*(1+E74),2)</f>
        <v>47.25</v>
      </c>
    </row>
    <row r="78" spans="2:16" ht="15" customHeight="1">
      <c r="C78" s="282"/>
      <c r="D78" s="282"/>
      <c r="E78" s="282"/>
      <c r="F78" s="893"/>
      <c r="G78" s="893"/>
      <c r="H78" s="893"/>
      <c r="I78" s="893"/>
      <c r="J78" s="893"/>
      <c r="K78" s="893"/>
      <c r="L78" s="893"/>
      <c r="M78" s="893"/>
      <c r="N78" s="893"/>
      <c r="O78" s="893"/>
      <c r="P78" s="893"/>
    </row>
    <row r="79" spans="2:16" ht="15" customHeight="1">
      <c r="B79" s="278" t="s">
        <v>655</v>
      </c>
      <c r="C79" s="279"/>
      <c r="D79" s="279"/>
      <c r="E79" s="279"/>
    </row>
    <row r="80" spans="2:16" ht="15" customHeight="1">
      <c r="B80" s="278"/>
      <c r="C80" s="279"/>
      <c r="D80" s="279"/>
      <c r="E80" s="279"/>
    </row>
    <row r="81" spans="2:5" ht="48" customHeight="1">
      <c r="B81" s="888" t="s">
        <v>656</v>
      </c>
      <c r="C81" s="888"/>
      <c r="D81" s="888"/>
      <c r="E81" s="888"/>
    </row>
    <row r="83" spans="2:5" ht="15" customHeight="1"/>
    <row r="85" spans="2:5">
      <c r="C85" s="935"/>
      <c r="D85" s="935"/>
      <c r="E85" s="935"/>
    </row>
    <row r="86" spans="2:5">
      <c r="C86" s="280"/>
      <c r="D86" s="280"/>
      <c r="E86" s="280"/>
    </row>
    <row r="87" spans="2:5">
      <c r="C87" s="933"/>
    </row>
    <row r="88" spans="2:5">
      <c r="C88" s="933"/>
    </row>
    <row r="91" spans="2:5">
      <c r="B91" s="178"/>
      <c r="C91" s="178"/>
      <c r="D91" s="178"/>
      <c r="E91" s="178"/>
    </row>
    <row r="92" spans="2:5">
      <c r="B92" s="178"/>
      <c r="C92" s="178"/>
      <c r="D92" s="178"/>
      <c r="E92" s="178"/>
    </row>
  </sheetData>
  <sheetProtection algorithmName="SHA-512" hashValue="yc1mSGZ5vTMonqWon1cpcZz3eMK2m77x33wJPksWu6xESuEJuyWihc5a3AJ1TKl3B+llXKgE5+0vQAkRDujkOw==" saltValue="OyJuRlO+jnOnpYj57jwbmw=="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C38"/>
  <sheetViews>
    <sheetView showGridLines="0" defaultGridColor="0" colorId="22" zoomScale="70" zoomScaleNormal="70" zoomScaleSheetLayoutView="80" zoomScalePageLayoutView="70" workbookViewId="0"/>
  </sheetViews>
  <sheetFormatPr defaultColWidth="12.42578125" defaultRowHeight="15"/>
  <cols>
    <col min="1" max="1" width="58.7109375" style="82" customWidth="1"/>
    <col min="2" max="2" width="8.42578125" style="82" customWidth="1"/>
    <col min="3" max="3" width="57.140625" style="82" customWidth="1"/>
    <col min="4" max="4" width="5" style="82" customWidth="1"/>
    <col min="5" max="16384" width="12.42578125" style="82"/>
  </cols>
  <sheetData>
    <row r="1" spans="1:3" s="85" customFormat="1" ht="26.25">
      <c r="A1" s="911" t="s">
        <v>11</v>
      </c>
      <c r="B1" s="911"/>
      <c r="C1" s="911"/>
    </row>
    <row r="2" spans="1:3" s="85" customFormat="1" ht="21" customHeight="1" thickBot="1">
      <c r="A2" s="911" t="s">
        <v>711</v>
      </c>
      <c r="B2" s="911"/>
      <c r="C2" s="911"/>
    </row>
    <row r="3" spans="1:3" s="85" customFormat="1" ht="26.45" customHeight="1">
      <c r="A3" s="1013" t="s">
        <v>657</v>
      </c>
      <c r="B3" s="1001"/>
      <c r="C3" s="1002"/>
    </row>
    <row r="4" spans="1:3" s="85" customFormat="1" ht="42">
      <c r="A4" s="806" t="s">
        <v>658</v>
      </c>
      <c r="B4" s="807">
        <v>7.0000000000000007E-2</v>
      </c>
      <c r="C4" s="808" t="s">
        <v>659</v>
      </c>
    </row>
    <row r="5" spans="1:3" s="85" customFormat="1" ht="42">
      <c r="A5" s="806" t="s">
        <v>660</v>
      </c>
      <c r="B5" s="807">
        <v>0.05</v>
      </c>
      <c r="C5" s="808" t="s">
        <v>659</v>
      </c>
    </row>
    <row r="6" spans="1:3" s="85" customFormat="1" ht="30.95" customHeight="1">
      <c r="A6" s="809" t="s">
        <v>661</v>
      </c>
      <c r="B6" s="810">
        <v>0.1</v>
      </c>
      <c r="C6" s="811" t="s">
        <v>659</v>
      </c>
    </row>
    <row r="7" spans="1:3" s="85" customFormat="1" ht="26.45" customHeight="1">
      <c r="A7" s="1007" t="s">
        <v>662</v>
      </c>
      <c r="B7" s="1008"/>
      <c r="C7" s="1009"/>
    </row>
    <row r="8" spans="1:3" s="85" customFormat="1" ht="42">
      <c r="A8" s="806" t="s">
        <v>658</v>
      </c>
      <c r="B8" s="807">
        <v>7.0000000000000007E-2</v>
      </c>
      <c r="C8" s="808" t="s">
        <v>663</v>
      </c>
    </row>
    <row r="9" spans="1:3" s="85" customFormat="1" ht="42">
      <c r="A9" s="806" t="s">
        <v>660</v>
      </c>
      <c r="B9" s="807">
        <v>0.05</v>
      </c>
      <c r="C9" s="808" t="s">
        <v>663</v>
      </c>
    </row>
    <row r="10" spans="1:3" s="85" customFormat="1" ht="29.1" customHeight="1">
      <c r="A10" s="809" t="str">
        <f>A6</f>
        <v>CCATD</v>
      </c>
      <c r="B10" s="810">
        <v>0.1</v>
      </c>
      <c r="C10" s="811" t="s">
        <v>663</v>
      </c>
    </row>
    <row r="11" spans="1:3" s="85" customFormat="1" ht="26.45" customHeight="1">
      <c r="A11" s="1007" t="s">
        <v>664</v>
      </c>
      <c r="B11" s="1008"/>
      <c r="C11" s="1009"/>
    </row>
    <row r="12" spans="1:3" s="85" customFormat="1" ht="29.1" customHeight="1">
      <c r="A12" s="806" t="s">
        <v>665</v>
      </c>
      <c r="B12" s="807">
        <v>0.1</v>
      </c>
      <c r="C12" s="808" t="s">
        <v>666</v>
      </c>
    </row>
    <row r="13" spans="1:3" s="85" customFormat="1" ht="30" customHeight="1">
      <c r="A13" s="809" t="str">
        <f>A6</f>
        <v>CCATD</v>
      </c>
      <c r="B13" s="810">
        <v>0</v>
      </c>
      <c r="C13" s="811" t="s">
        <v>667</v>
      </c>
    </row>
    <row r="14" spans="1:3" s="85" customFormat="1" ht="26.45" customHeight="1">
      <c r="A14" s="1010" t="s">
        <v>668</v>
      </c>
      <c r="B14" s="1011"/>
      <c r="C14" s="1012"/>
    </row>
    <row r="15" spans="1:3" s="85" customFormat="1" ht="27.95" customHeight="1">
      <c r="A15" s="806" t="s">
        <v>665</v>
      </c>
      <c r="B15" s="807">
        <v>0.1</v>
      </c>
      <c r="C15" s="808" t="s">
        <v>669</v>
      </c>
    </row>
    <row r="16" spans="1:3" s="85" customFormat="1" ht="27.95" customHeight="1">
      <c r="A16" s="809" t="str">
        <f>A6</f>
        <v>CCATD</v>
      </c>
      <c r="B16" s="810">
        <v>0</v>
      </c>
      <c r="C16" s="811" t="s">
        <v>667</v>
      </c>
    </row>
    <row r="17" spans="1:3" s="85" customFormat="1" ht="26.45" customHeight="1">
      <c r="A17" s="1007" t="s">
        <v>670</v>
      </c>
      <c r="B17" s="1008"/>
      <c r="C17" s="1009"/>
    </row>
    <row r="18" spans="1:3" s="85" customFormat="1" ht="42">
      <c r="A18" s="812" t="s">
        <v>665</v>
      </c>
      <c r="B18" s="807">
        <v>0.2</v>
      </c>
      <c r="C18" s="813" t="s">
        <v>671</v>
      </c>
    </row>
    <row r="19" spans="1:3" s="85" customFormat="1" ht="30.95" customHeight="1">
      <c r="A19" s="809" t="str">
        <f>A6</f>
        <v>CCATD</v>
      </c>
      <c r="B19" s="810">
        <v>0.05</v>
      </c>
      <c r="C19" s="811" t="s">
        <v>672</v>
      </c>
    </row>
    <row r="20" spans="1:3" s="85" customFormat="1" ht="26.45" customHeight="1">
      <c r="A20" s="1007" t="s">
        <v>673</v>
      </c>
      <c r="B20" s="1008"/>
      <c r="C20" s="1009"/>
    </row>
    <row r="21" spans="1:3" s="85" customFormat="1" ht="21">
      <c r="A21" s="812" t="s">
        <v>665</v>
      </c>
      <c r="B21" s="807">
        <v>0.2</v>
      </c>
      <c r="C21" s="808" t="s">
        <v>663</v>
      </c>
    </row>
    <row r="22" spans="1:3" s="85" customFormat="1" ht="27.95" customHeight="1">
      <c r="A22" s="809" t="str">
        <f>A6</f>
        <v>CCATD</v>
      </c>
      <c r="B22" s="810">
        <v>0.05</v>
      </c>
      <c r="C22" s="811" t="s">
        <v>663</v>
      </c>
    </row>
    <row r="23" spans="1:3" s="85" customFormat="1" ht="26.45" customHeight="1">
      <c r="A23" s="1007" t="s">
        <v>674</v>
      </c>
      <c r="B23" s="1008"/>
      <c r="C23" s="1009"/>
    </row>
    <row r="24" spans="1:3" s="85" customFormat="1" ht="21">
      <c r="A24" s="812" t="s">
        <v>665</v>
      </c>
      <c r="B24" s="807">
        <v>0.05</v>
      </c>
      <c r="C24" s="808" t="s">
        <v>666</v>
      </c>
    </row>
    <row r="25" spans="1:3" s="85" customFormat="1" ht="27.95" customHeight="1">
      <c r="A25" s="809" t="str">
        <f>A6</f>
        <v>CCATD</v>
      </c>
      <c r="B25" s="810">
        <v>0.05</v>
      </c>
      <c r="C25" s="814" t="s">
        <v>666</v>
      </c>
    </row>
    <row r="26" spans="1:3" s="85" customFormat="1" ht="26.45" customHeight="1">
      <c r="A26" s="1007" t="s">
        <v>675</v>
      </c>
      <c r="B26" s="1008"/>
      <c r="C26" s="1009"/>
    </row>
    <row r="27" spans="1:3" s="85" customFormat="1" ht="21">
      <c r="A27" s="812" t="s">
        <v>665</v>
      </c>
      <c r="B27" s="807">
        <v>0.05</v>
      </c>
      <c r="C27" s="808" t="s">
        <v>663</v>
      </c>
    </row>
    <row r="28" spans="1:3" s="85" customFormat="1" ht="27.95" customHeight="1" thickBot="1">
      <c r="A28" s="815" t="str">
        <f>A6</f>
        <v>CCATD</v>
      </c>
      <c r="B28" s="816">
        <v>0.05</v>
      </c>
      <c r="C28" s="817" t="s">
        <v>663</v>
      </c>
    </row>
    <row r="30" spans="1:3" ht="61.35" customHeight="1">
      <c r="A30" s="1003" t="s">
        <v>676</v>
      </c>
      <c r="B30" s="1003"/>
      <c r="C30" s="1003"/>
    </row>
    <row r="31" spans="1:3" ht="14.45" customHeight="1">
      <c r="A31" s="1004"/>
      <c r="B31" s="1004"/>
      <c r="C31" s="1004"/>
    </row>
    <row r="32" spans="1:3" ht="31.35" customHeight="1">
      <c r="A32" s="1003" t="s">
        <v>677</v>
      </c>
      <c r="B32" s="1003"/>
      <c r="C32" s="1003"/>
    </row>
    <row r="33" spans="1:3" ht="14.45" customHeight="1">
      <c r="A33" s="1004"/>
      <c r="B33" s="1004"/>
      <c r="C33" s="1004"/>
    </row>
    <row r="34" spans="1:3" ht="30" customHeight="1">
      <c r="A34" s="1003" t="s">
        <v>678</v>
      </c>
      <c r="B34" s="1003"/>
      <c r="C34" s="1003"/>
    </row>
    <row r="35" spans="1:3" ht="14.45" customHeight="1">
      <c r="A35" s="1004"/>
      <c r="B35" s="1004"/>
      <c r="C35" s="1004"/>
    </row>
    <row r="36" spans="1:3" ht="15" customHeight="1">
      <c r="A36" s="1005" t="s">
        <v>679</v>
      </c>
      <c r="B36" s="1004"/>
      <c r="C36" s="1004"/>
    </row>
    <row r="37" spans="1:3" ht="15" customHeight="1">
      <c r="A37" s="83"/>
    </row>
    <row r="38" spans="1:3" ht="15" customHeight="1">
      <c r="A38" s="84"/>
    </row>
  </sheetData>
  <sheetProtection algorithmName="SHA-512" hashValue="s4QfSF7sOyWcz4XCIAwA9RcjF8cM/s8Nads3ZmYJ+c96jj0qlOeTZhvR5rwDAk76pHGnnZpY3CGQLy08CBMnEw==" saltValue="NXWp3Ajml676CgBumR+q1Q=="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5546875" defaultRowHeight="12.75"/>
  <sheetData>
    <row r="1" spans="1:1">
      <c r="A1" s="606" t="s">
        <v>680</v>
      </c>
    </row>
    <row r="2" spans="1:1">
      <c r="A2" s="606" t="s">
        <v>681</v>
      </c>
    </row>
    <row r="3" spans="1:1">
      <c r="A3" s="606" t="s">
        <v>682</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zoomScale="70" zoomScaleNormal="70" zoomScalePageLayoutView="70" workbookViewId="0"/>
  </sheetViews>
  <sheetFormatPr defaultColWidth="8.85546875" defaultRowHeight="12.75"/>
  <cols>
    <col min="1" max="1" width="109" customWidth="1"/>
  </cols>
  <sheetData>
    <row r="1" spans="1:10" ht="22.35" customHeight="1">
      <c r="A1" s="612" t="s">
        <v>11</v>
      </c>
      <c r="B1" s="608"/>
      <c r="C1" s="608"/>
      <c r="D1" s="608"/>
      <c r="E1" s="608"/>
      <c r="F1" s="608"/>
      <c r="G1" s="608"/>
      <c r="H1" s="608"/>
      <c r="I1" s="608"/>
      <c r="J1" s="608"/>
    </row>
    <row r="2" spans="1:10" ht="22.35" customHeight="1">
      <c r="A2" s="612" t="s">
        <v>774</v>
      </c>
      <c r="B2" s="608"/>
      <c r="C2" s="608"/>
      <c r="D2" s="608"/>
      <c r="E2" s="608"/>
      <c r="F2" s="608"/>
      <c r="G2" s="608"/>
      <c r="H2" s="608"/>
      <c r="I2" s="608"/>
      <c r="J2" s="608"/>
    </row>
    <row r="3" spans="1:10" ht="22.35" customHeight="1">
      <c r="A3" s="612" t="s">
        <v>12</v>
      </c>
      <c r="B3" s="608"/>
      <c r="C3" s="608"/>
      <c r="D3" s="608"/>
      <c r="E3" s="608"/>
      <c r="F3" s="608"/>
      <c r="G3" s="608"/>
      <c r="H3" s="608"/>
      <c r="I3" s="608"/>
      <c r="J3" s="608"/>
    </row>
    <row r="4" spans="1:10" ht="26.45" customHeight="1">
      <c r="A4" s="613" t="s">
        <v>13</v>
      </c>
      <c r="B4" s="614"/>
      <c r="C4" s="614"/>
      <c r="D4" s="614"/>
      <c r="E4" s="614"/>
      <c r="F4" s="614"/>
      <c r="G4" s="614"/>
      <c r="H4" s="614"/>
      <c r="I4" s="614"/>
      <c r="J4" s="614"/>
    </row>
    <row r="11" spans="1:10" ht="34.5">
      <c r="E11" s="434"/>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1026" r:id="rId4">
          <objectPr defaultSize="0" r:id="rId5">
            <anchor moveWithCells="1">
              <from>
                <xdr:col>0</xdr:col>
                <xdr:colOff>0</xdr:colOff>
                <xdr:row>6</xdr:row>
                <xdr:rowOff>0</xdr:rowOff>
              </from>
              <to>
                <xdr:col>0</xdr:col>
                <xdr:colOff>5829300</xdr:colOff>
                <xdr:row>50</xdr:row>
                <xdr:rowOff>142875</xdr:rowOff>
              </to>
            </anchor>
          </objectPr>
        </oleObject>
      </mc:Choice>
      <mc:Fallback>
        <oleObject progId="Acrobat Document" shapeId="1026"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AX213"/>
  <sheetViews>
    <sheetView showGridLines="0" zoomScale="60" zoomScaleNormal="60" zoomScalePageLayoutView="80" workbookViewId="0"/>
  </sheetViews>
  <sheetFormatPr defaultColWidth="8.85546875" defaultRowHeight="21"/>
  <cols>
    <col min="1" max="1" width="57.42578125" style="17" customWidth="1"/>
    <col min="2" max="2" width="32.140625" style="17" customWidth="1"/>
    <col min="3" max="3" width="24.7109375" style="17" customWidth="1"/>
    <col min="4" max="4" width="26" style="17" bestFit="1" customWidth="1"/>
    <col min="5" max="5" width="23.42578125" style="17" customWidth="1"/>
    <col min="6" max="6" width="21.85546875" style="17" customWidth="1"/>
    <col min="7" max="7" width="22.28515625" style="17" customWidth="1"/>
    <col min="8" max="8" width="26.85546875" style="17" customWidth="1"/>
    <col min="9" max="9" width="14.85546875" style="17" customWidth="1"/>
    <col min="10" max="10" width="20.28515625" style="17" customWidth="1"/>
    <col min="11" max="11" width="17.85546875" style="17" bestFit="1" customWidth="1"/>
    <col min="12" max="12" width="13.7109375" style="17" customWidth="1"/>
    <col min="13" max="13" width="13.42578125" style="17" bestFit="1" customWidth="1"/>
    <col min="14" max="14" width="12.140625" style="17" bestFit="1" customWidth="1"/>
    <col min="15" max="15" width="13.28515625" style="17" customWidth="1"/>
    <col min="16" max="16" width="13" style="17" customWidth="1"/>
    <col min="17" max="17" width="15" style="17" customWidth="1"/>
    <col min="18" max="18" width="13.42578125" style="17" customWidth="1"/>
    <col min="19" max="19" width="13.7109375" style="17" customWidth="1"/>
    <col min="20" max="20" width="21.42578125" style="17" customWidth="1"/>
    <col min="21" max="21" width="8.85546875" style="17"/>
    <col min="22" max="22" width="12.140625" style="17" bestFit="1" customWidth="1"/>
    <col min="23" max="23" width="13.85546875" style="17" customWidth="1"/>
    <col min="24" max="24" width="9.28515625" style="17" bestFit="1" customWidth="1"/>
    <col min="25" max="25" width="2.42578125" style="17" customWidth="1"/>
    <col min="26" max="26" width="14.85546875" style="17" customWidth="1"/>
    <col min="27" max="27" width="15.28515625" style="17" customWidth="1"/>
    <col min="28" max="28" width="15.140625" style="17" customWidth="1"/>
    <col min="29" max="29" width="6.28515625" style="17" customWidth="1"/>
    <col min="30" max="30" width="64.85546875" style="17" customWidth="1"/>
    <col min="31" max="31" width="13.42578125" style="17" customWidth="1"/>
    <col min="32" max="32" width="14.7109375" style="17" customWidth="1"/>
    <col min="33" max="33" width="18" style="17" customWidth="1"/>
    <col min="34" max="34" width="4.7109375" style="17" customWidth="1"/>
    <col min="35" max="35" width="21.42578125" style="17" customWidth="1"/>
    <col min="36" max="39" width="8.85546875" style="17"/>
    <col min="40" max="40" width="46.85546875" style="17" customWidth="1"/>
    <col min="41" max="41" width="19.140625" style="17" customWidth="1"/>
    <col min="42" max="42" width="2.7109375" style="17" customWidth="1"/>
    <col min="43" max="44" width="20.140625" style="17" customWidth="1"/>
    <col min="45" max="16384" width="8.85546875" style="17"/>
  </cols>
  <sheetData>
    <row r="1" spans="1:10" ht="25.35" customHeight="1">
      <c r="A1" s="1022" t="s">
        <v>14</v>
      </c>
      <c r="B1" s="1022"/>
      <c r="C1" s="1022"/>
      <c r="D1" s="1022"/>
      <c r="E1" s="16"/>
    </row>
    <row r="2" spans="1:10" ht="33.6" customHeight="1" thickBot="1">
      <c r="A2" s="1029" t="s">
        <v>15</v>
      </c>
      <c r="B2" s="1029"/>
      <c r="C2" s="1029"/>
      <c r="D2" s="1029"/>
    </row>
    <row r="3" spans="1:10" ht="25.35" customHeight="1" thickBot="1">
      <c r="A3" s="62"/>
      <c r="B3" s="63" t="s">
        <v>757</v>
      </c>
      <c r="C3" s="64"/>
      <c r="D3" s="73"/>
      <c r="E3" s="72"/>
    </row>
    <row r="4" spans="1:10" ht="25.35" customHeight="1" thickBot="1">
      <c r="A4" s="62">
        <v>1</v>
      </c>
      <c r="B4" s="52">
        <v>2</v>
      </c>
      <c r="C4" s="52">
        <v>3</v>
      </c>
      <c r="D4" s="52">
        <v>4</v>
      </c>
      <c r="E4" s="19"/>
    </row>
    <row r="5" spans="1:10" ht="44.1" customHeight="1" thickBot="1">
      <c r="A5" s="38" t="s">
        <v>16</v>
      </c>
      <c r="B5" s="1068" t="s">
        <v>720</v>
      </c>
      <c r="C5" s="1069"/>
      <c r="D5" s="1070"/>
      <c r="E5" s="586"/>
      <c r="F5" s="19"/>
    </row>
    <row r="6" spans="1:10" ht="89.1" customHeight="1" thickBot="1">
      <c r="A6" s="290" t="s">
        <v>17</v>
      </c>
      <c r="B6" s="61" t="s">
        <v>18</v>
      </c>
      <c r="C6" s="23" t="s">
        <v>19</v>
      </c>
      <c r="D6" s="76" t="s">
        <v>20</v>
      </c>
      <c r="F6" s="19"/>
    </row>
    <row r="7" spans="1:10" ht="25.35" customHeight="1">
      <c r="A7" s="407" t="s">
        <v>21</v>
      </c>
      <c r="B7" s="940">
        <v>43600274.429753423</v>
      </c>
      <c r="C7" s="1147">
        <v>9683162.5702465735</v>
      </c>
      <c r="D7" s="81">
        <f t="shared" ref="D7:D34" si="0">SUM(B7:C7)</f>
        <v>53283437</v>
      </c>
      <c r="E7" s="431"/>
      <c r="F7" s="432"/>
      <c r="G7" s="48"/>
      <c r="I7" s="48"/>
      <c r="J7" s="48"/>
    </row>
    <row r="8" spans="1:10" ht="25.35" customHeight="1">
      <c r="A8" s="387" t="s">
        <v>22</v>
      </c>
      <c r="B8" s="1123">
        <v>90255203.52015838</v>
      </c>
      <c r="C8" s="1147">
        <v>19406699.479841623</v>
      </c>
      <c r="D8" s="74">
        <f t="shared" si="0"/>
        <v>109661903</v>
      </c>
      <c r="E8" s="409"/>
      <c r="F8" s="48"/>
      <c r="G8" s="48"/>
      <c r="I8" s="48"/>
      <c r="J8" s="48"/>
    </row>
    <row r="9" spans="1:10" ht="25.35" customHeight="1">
      <c r="A9" s="387" t="s">
        <v>23</v>
      </c>
      <c r="B9" s="941">
        <v>35165545.160336338</v>
      </c>
      <c r="C9" s="1147">
        <v>5543604.8396636629</v>
      </c>
      <c r="D9" s="74">
        <f t="shared" si="0"/>
        <v>40709150</v>
      </c>
      <c r="E9" s="409"/>
      <c r="F9" s="48"/>
      <c r="G9" s="48"/>
      <c r="I9" s="48"/>
      <c r="J9" s="48"/>
    </row>
    <row r="10" spans="1:10" ht="25.35" customHeight="1">
      <c r="A10" s="387" t="s">
        <v>24</v>
      </c>
      <c r="B10" s="941">
        <v>13053746.353345605</v>
      </c>
      <c r="C10" s="1147">
        <v>3049204.6466543949</v>
      </c>
      <c r="D10" s="74">
        <f t="shared" si="0"/>
        <v>16102951</v>
      </c>
      <c r="E10" s="409"/>
      <c r="F10" s="48"/>
      <c r="G10" s="48"/>
      <c r="I10" s="48"/>
      <c r="J10" s="48"/>
    </row>
    <row r="11" spans="1:10" ht="25.35" customHeight="1">
      <c r="A11" s="387" t="s">
        <v>25</v>
      </c>
      <c r="B11" s="941">
        <v>51911674.267480284</v>
      </c>
      <c r="C11" s="1147">
        <v>11651335.732519712</v>
      </c>
      <c r="D11" s="74">
        <f t="shared" si="0"/>
        <v>63563010</v>
      </c>
      <c r="E11" s="409"/>
      <c r="F11" s="48"/>
      <c r="G11" s="48"/>
      <c r="I11" s="48"/>
      <c r="J11" s="48"/>
    </row>
    <row r="12" spans="1:10" ht="25.35" customHeight="1">
      <c r="A12" s="387" t="s">
        <v>26</v>
      </c>
      <c r="B12" s="941">
        <v>46221977.178284936</v>
      </c>
      <c r="C12" s="1147">
        <v>7423501.8217150643</v>
      </c>
      <c r="D12" s="74">
        <f t="shared" si="0"/>
        <v>53645479</v>
      </c>
      <c r="E12" s="409"/>
      <c r="F12" s="48"/>
      <c r="G12" s="48"/>
      <c r="I12" s="48"/>
      <c r="J12" s="48"/>
    </row>
    <row r="13" spans="1:10" ht="25.35" customHeight="1">
      <c r="A13" s="387" t="s">
        <v>27</v>
      </c>
      <c r="B13" s="941">
        <v>70522268.071765155</v>
      </c>
      <c r="C13" s="1147">
        <v>17443886.928234838</v>
      </c>
      <c r="D13" s="74">
        <f t="shared" si="0"/>
        <v>87966155</v>
      </c>
      <c r="E13" s="409"/>
      <c r="F13" s="48"/>
      <c r="G13" s="48"/>
      <c r="I13" s="48"/>
      <c r="J13" s="48"/>
    </row>
    <row r="14" spans="1:10" ht="25.35" customHeight="1">
      <c r="A14" s="387" t="s">
        <v>28</v>
      </c>
      <c r="B14" s="941">
        <v>9205482.6022929847</v>
      </c>
      <c r="C14" s="1147">
        <v>1571784.3977070146</v>
      </c>
      <c r="D14" s="74">
        <f t="shared" si="0"/>
        <v>10777267</v>
      </c>
      <c r="E14" s="409"/>
      <c r="F14" s="48"/>
      <c r="G14" s="48"/>
      <c r="I14" s="48"/>
      <c r="J14" s="48"/>
    </row>
    <row r="15" spans="1:10" ht="25.35" customHeight="1">
      <c r="A15" s="387" t="s">
        <v>29</v>
      </c>
      <c r="B15" s="941">
        <v>22103920.083340969</v>
      </c>
      <c r="C15" s="1147">
        <v>4970200.9166590301</v>
      </c>
      <c r="D15" s="74">
        <f t="shared" si="0"/>
        <v>27074121</v>
      </c>
      <c r="E15" s="409"/>
      <c r="F15" s="48"/>
      <c r="G15" s="48"/>
      <c r="I15" s="48"/>
      <c r="J15" s="48"/>
    </row>
    <row r="16" spans="1:10" ht="25.35" customHeight="1">
      <c r="A16" s="387" t="s">
        <v>30</v>
      </c>
      <c r="B16" s="941">
        <v>71153026.980324924</v>
      </c>
      <c r="C16" s="1147">
        <v>13180273.01967508</v>
      </c>
      <c r="D16" s="74">
        <f t="shared" si="0"/>
        <v>84333300</v>
      </c>
      <c r="E16" s="409"/>
      <c r="F16" s="48"/>
      <c r="G16" s="48"/>
      <c r="I16" s="48"/>
      <c r="J16" s="48"/>
    </row>
    <row r="17" spans="1:10" ht="25.35" customHeight="1">
      <c r="A17" s="387" t="s">
        <v>31</v>
      </c>
      <c r="B17" s="941">
        <v>49338008.875280872</v>
      </c>
      <c r="C17" s="1147">
        <v>10681339.124719128</v>
      </c>
      <c r="D17" s="74">
        <f t="shared" si="0"/>
        <v>60019348</v>
      </c>
      <c r="E17" s="409"/>
      <c r="F17" s="48"/>
      <c r="G17" s="48"/>
      <c r="I17" s="48"/>
      <c r="J17" s="48"/>
    </row>
    <row r="18" spans="1:10" ht="25.35" customHeight="1">
      <c r="A18" s="387" t="s">
        <v>32</v>
      </c>
      <c r="B18" s="941">
        <v>16227012.774821987</v>
      </c>
      <c r="C18" s="1147">
        <v>3109791.2251780131</v>
      </c>
      <c r="D18" s="74">
        <f t="shared" si="0"/>
        <v>19336804</v>
      </c>
      <c r="E18" s="409"/>
      <c r="F18" s="48"/>
      <c r="G18" s="48"/>
      <c r="I18" s="48"/>
      <c r="J18" s="48"/>
    </row>
    <row r="19" spans="1:10" ht="25.35" customHeight="1">
      <c r="A19" s="387" t="s">
        <v>33</v>
      </c>
      <c r="B19" s="941">
        <v>21135195.500593662</v>
      </c>
      <c r="C19" s="1147">
        <v>3055669.4994063387</v>
      </c>
      <c r="D19" s="74">
        <f t="shared" si="0"/>
        <v>24190865</v>
      </c>
      <c r="E19" s="409"/>
      <c r="F19" s="48"/>
      <c r="G19" s="48"/>
      <c r="I19" s="48"/>
      <c r="J19" s="48"/>
    </row>
    <row r="20" spans="1:10" ht="25.35" customHeight="1">
      <c r="A20" s="387" t="s">
        <v>34</v>
      </c>
      <c r="B20" s="941">
        <v>31285444.06757804</v>
      </c>
      <c r="C20" s="1147">
        <v>5148765.9324219599</v>
      </c>
      <c r="D20" s="74">
        <f t="shared" si="0"/>
        <v>36434210</v>
      </c>
      <c r="E20" s="409"/>
      <c r="F20" s="48"/>
      <c r="G20" s="48"/>
      <c r="H20" s="48"/>
      <c r="I20" s="48"/>
      <c r="J20" s="48"/>
    </row>
    <row r="21" spans="1:10" ht="25.35" customHeight="1">
      <c r="A21" s="387" t="s">
        <v>35</v>
      </c>
      <c r="B21" s="941">
        <v>165651995.20318142</v>
      </c>
      <c r="C21" s="1147">
        <v>39356905.796818577</v>
      </c>
      <c r="D21" s="74">
        <f t="shared" si="0"/>
        <v>205008901</v>
      </c>
      <c r="E21" s="409"/>
      <c r="F21" s="48"/>
      <c r="G21" s="48"/>
      <c r="I21" s="48"/>
      <c r="J21" s="48"/>
    </row>
    <row r="22" spans="1:10" ht="25.35" customHeight="1">
      <c r="A22" s="387" t="s">
        <v>36</v>
      </c>
      <c r="B22" s="941">
        <v>8949937.6940170676</v>
      </c>
      <c r="C22" s="1147">
        <v>1656741.3059829331</v>
      </c>
      <c r="D22" s="74">
        <f t="shared" si="0"/>
        <v>10606679</v>
      </c>
      <c r="E22" s="409"/>
      <c r="F22" s="48"/>
      <c r="G22" s="48"/>
      <c r="I22" s="48"/>
      <c r="J22" s="48"/>
    </row>
    <row r="23" spans="1:10" ht="25.35" customHeight="1">
      <c r="A23" s="387" t="s">
        <v>37</v>
      </c>
      <c r="B23" s="941">
        <v>24756000.410122402</v>
      </c>
      <c r="C23" s="1147">
        <v>4377734.5898775999</v>
      </c>
      <c r="D23" s="74">
        <f t="shared" si="0"/>
        <v>29133735</v>
      </c>
      <c r="E23" s="409"/>
      <c r="F23" s="48"/>
      <c r="G23" s="48"/>
      <c r="I23" s="48"/>
      <c r="J23" s="48"/>
    </row>
    <row r="24" spans="1:10" ht="25.35" customHeight="1">
      <c r="A24" s="387" t="s">
        <v>38</v>
      </c>
      <c r="B24" s="941">
        <v>65808360.931644589</v>
      </c>
      <c r="C24" s="1147">
        <v>13200326.068355408</v>
      </c>
      <c r="D24" s="74">
        <f t="shared" si="0"/>
        <v>79008687</v>
      </c>
      <c r="E24" s="409"/>
      <c r="F24" s="48"/>
      <c r="G24" s="48"/>
      <c r="I24" s="48"/>
      <c r="J24" s="48"/>
    </row>
    <row r="25" spans="1:10" ht="25.35" customHeight="1">
      <c r="A25" s="387" t="s">
        <v>39</v>
      </c>
      <c r="B25" s="941">
        <v>45144249.785152942</v>
      </c>
      <c r="C25" s="1147">
        <v>6373548.2148470599</v>
      </c>
      <c r="D25" s="74">
        <f t="shared" si="0"/>
        <v>51517798</v>
      </c>
      <c r="E25" s="409"/>
      <c r="F25" s="48"/>
      <c r="G25" s="48"/>
      <c r="I25" s="48"/>
      <c r="J25" s="48"/>
    </row>
    <row r="26" spans="1:10" ht="25.35" customHeight="1">
      <c r="A26" s="387" t="s">
        <v>40</v>
      </c>
      <c r="B26" s="941">
        <v>54382200.078217097</v>
      </c>
      <c r="C26" s="1147">
        <v>7904347.9217829015</v>
      </c>
      <c r="D26" s="74">
        <f t="shared" si="0"/>
        <v>62286548</v>
      </c>
      <c r="E26" s="409"/>
      <c r="F26" s="48"/>
      <c r="G26" s="48"/>
      <c r="I26" s="48"/>
      <c r="J26" s="48"/>
    </row>
    <row r="27" spans="1:10" ht="25.35" customHeight="1">
      <c r="A27" s="387" t="s">
        <v>41</v>
      </c>
      <c r="B27" s="941">
        <v>43580224.848735243</v>
      </c>
      <c r="C27" s="1147">
        <v>6479015.1512647606</v>
      </c>
      <c r="D27" s="74">
        <f t="shared" si="0"/>
        <v>50059240</v>
      </c>
      <c r="E27" s="409"/>
      <c r="F27" s="48"/>
      <c r="G27" s="48"/>
      <c r="I27" s="48"/>
      <c r="J27" s="48"/>
    </row>
    <row r="28" spans="1:10" ht="25.35" customHeight="1">
      <c r="A28" s="387" t="s">
        <v>42</v>
      </c>
      <c r="B28" s="941">
        <v>33932430.755269237</v>
      </c>
      <c r="C28" s="1147">
        <v>4419727.2447307603</v>
      </c>
      <c r="D28" s="74">
        <f t="shared" si="0"/>
        <v>38352158</v>
      </c>
      <c r="E28" s="409"/>
      <c r="F28" s="48"/>
      <c r="G28" s="48"/>
      <c r="I28" s="48"/>
      <c r="J28" s="48"/>
    </row>
    <row r="29" spans="1:10" ht="25.35" customHeight="1">
      <c r="A29" s="387" t="s">
        <v>43</v>
      </c>
      <c r="B29" s="941">
        <v>77492481.402347744</v>
      </c>
      <c r="C29" s="1147">
        <v>15840843.597652253</v>
      </c>
      <c r="D29" s="74">
        <f t="shared" si="0"/>
        <v>93333325</v>
      </c>
      <c r="E29" s="409"/>
      <c r="F29" s="48"/>
      <c r="G29" s="48"/>
      <c r="I29" s="48"/>
      <c r="J29" s="48"/>
    </row>
    <row r="30" spans="1:10" ht="25.35" customHeight="1">
      <c r="A30" s="387" t="s">
        <v>44</v>
      </c>
      <c r="B30" s="941">
        <v>45822834.425018497</v>
      </c>
      <c r="C30" s="1147">
        <v>8042112.5749815032</v>
      </c>
      <c r="D30" s="74">
        <f t="shared" si="0"/>
        <v>53864947</v>
      </c>
      <c r="E30" s="409"/>
      <c r="F30" s="48"/>
      <c r="G30" s="48"/>
      <c r="I30" s="48"/>
      <c r="J30" s="48"/>
    </row>
    <row r="31" spans="1:10" ht="25.35" customHeight="1">
      <c r="A31" s="387" t="s">
        <v>45</v>
      </c>
      <c r="B31" s="941">
        <v>47618457.312297449</v>
      </c>
      <c r="C31" s="1147">
        <v>8663977.6877025533</v>
      </c>
      <c r="D31" s="74">
        <f t="shared" si="0"/>
        <v>56282435</v>
      </c>
      <c r="E31" s="409"/>
      <c r="F31" s="48"/>
      <c r="G31" s="48"/>
      <c r="I31" s="48"/>
      <c r="J31" s="48"/>
    </row>
    <row r="32" spans="1:10" ht="25.35" customHeight="1">
      <c r="A32" s="387" t="s">
        <v>46</v>
      </c>
      <c r="B32" s="941">
        <v>22811855.379114985</v>
      </c>
      <c r="C32" s="1147">
        <v>3719348.6208850164</v>
      </c>
      <c r="D32" s="74">
        <f t="shared" si="0"/>
        <v>26531204</v>
      </c>
      <c r="E32" s="409"/>
      <c r="F32" s="48"/>
      <c r="G32" s="48"/>
      <c r="I32" s="48" t="s">
        <v>47</v>
      </c>
      <c r="J32" s="48"/>
    </row>
    <row r="33" spans="1:12" ht="25.35" customHeight="1">
      <c r="A33" s="387" t="s">
        <v>721</v>
      </c>
      <c r="B33" s="941">
        <v>34145110.16823367</v>
      </c>
      <c r="C33" s="1147">
        <v>7234580.8317663297</v>
      </c>
      <c r="D33" s="74">
        <f t="shared" si="0"/>
        <v>41379691</v>
      </c>
      <c r="E33" s="409"/>
      <c r="F33" s="48"/>
      <c r="G33" s="48"/>
      <c r="I33" s="409"/>
      <c r="J33" s="48"/>
      <c r="K33" s="409"/>
    </row>
    <row r="34" spans="1:12" ht="25.35" customHeight="1" thickBot="1">
      <c r="A34" s="388" t="s">
        <v>48</v>
      </c>
      <c r="B34" s="941">
        <v>110093250.74129009</v>
      </c>
      <c r="C34" s="1147">
        <v>15737996.258709911</v>
      </c>
      <c r="D34" s="75">
        <f t="shared" si="0"/>
        <v>125831247</v>
      </c>
      <c r="E34" s="409"/>
      <c r="F34" s="48"/>
      <c r="G34" s="48"/>
      <c r="I34" s="409"/>
      <c r="J34" s="48"/>
      <c r="K34" s="409"/>
    </row>
    <row r="35" spans="1:12" ht="25.35" customHeight="1" thickBot="1">
      <c r="A35" s="389" t="s">
        <v>49</v>
      </c>
      <c r="B35" s="428">
        <f>SUM(B7:B34)</f>
        <v>1351368168.9999998</v>
      </c>
      <c r="C35" s="428">
        <f>SUM(C7:C34)</f>
        <v>258926426.00000006</v>
      </c>
      <c r="D35" s="401">
        <f>SUM(D7:D34)</f>
        <v>1610294595</v>
      </c>
      <c r="E35" s="429"/>
      <c r="F35" s="48"/>
      <c r="G35" s="48"/>
      <c r="H35" s="48"/>
      <c r="I35" s="409"/>
      <c r="J35" s="48"/>
      <c r="K35" s="409"/>
      <c r="L35" s="410"/>
    </row>
    <row r="36" spans="1:12" ht="19.350000000000001" customHeight="1">
      <c r="A36" s="1071" t="s">
        <v>50</v>
      </c>
      <c r="B36" s="1071"/>
      <c r="C36" s="1071"/>
      <c r="D36" s="1071"/>
      <c r="E36" s="476"/>
      <c r="K36" s="409"/>
    </row>
    <row r="37" spans="1:12" ht="44.45" customHeight="1">
      <c r="A37" s="1072" t="s">
        <v>747</v>
      </c>
      <c r="B37" s="1072"/>
      <c r="C37" s="1072"/>
      <c r="D37" s="1072"/>
      <c r="E37" s="475"/>
      <c r="K37" s="409"/>
    </row>
    <row r="38" spans="1:12" ht="26.45" customHeight="1">
      <c r="A38" s="1042"/>
      <c r="B38" s="1042"/>
      <c r="C38" s="1042"/>
      <c r="D38" s="1042"/>
      <c r="E38" s="475"/>
      <c r="K38" s="409"/>
    </row>
    <row r="39" spans="1:12" ht="36.6" customHeight="1" thickBot="1">
      <c r="A39" s="470" t="s">
        <v>15</v>
      </c>
      <c r="B39" s="471"/>
      <c r="C39" s="471"/>
      <c r="K39" s="169"/>
    </row>
    <row r="40" spans="1:12" ht="24" customHeight="1" thickBot="1">
      <c r="A40" s="44" t="s">
        <v>758</v>
      </c>
      <c r="B40" s="936" t="s">
        <v>770</v>
      </c>
      <c r="C40" s="937"/>
      <c r="D40" s="937"/>
      <c r="E40" s="938"/>
      <c r="F40" s="17" t="s">
        <v>10</v>
      </c>
      <c r="K40" s="169"/>
    </row>
    <row r="41" spans="1:12" ht="22.35" customHeight="1" thickBot="1">
      <c r="A41" s="45">
        <v>1</v>
      </c>
      <c r="B41" s="52">
        <v>2</v>
      </c>
      <c r="C41" s="52">
        <v>3</v>
      </c>
      <c r="D41" s="52">
        <v>4</v>
      </c>
      <c r="E41" s="52">
        <v>5</v>
      </c>
    </row>
    <row r="42" spans="1:12" ht="24.6" customHeight="1" thickBot="1">
      <c r="A42" s="40" t="s">
        <v>17</v>
      </c>
      <c r="B42" s="49" t="s">
        <v>51</v>
      </c>
      <c r="C42" s="50" t="s">
        <v>52</v>
      </c>
      <c r="D42" s="51" t="s">
        <v>53</v>
      </c>
      <c r="E42" s="390" t="s">
        <v>54</v>
      </c>
    </row>
    <row r="43" spans="1:12" ht="63">
      <c r="A43" s="943" t="str">
        <f>A10</f>
        <v>Chipola College</v>
      </c>
      <c r="B43" s="625" t="s">
        <v>759</v>
      </c>
      <c r="C43" s="626"/>
      <c r="D43" s="626">
        <v>650000</v>
      </c>
      <c r="E43" s="627">
        <f t="shared" ref="E43:E53" si="1">C43+D43</f>
        <v>650000</v>
      </c>
    </row>
    <row r="44" spans="1:12" ht="63">
      <c r="A44" s="944" t="str">
        <f>A11</f>
        <v>Daytona State College</v>
      </c>
      <c r="B44" s="628" t="s">
        <v>760</v>
      </c>
      <c r="C44" s="626"/>
      <c r="D44" s="626">
        <v>570000</v>
      </c>
      <c r="E44" s="627">
        <f t="shared" si="1"/>
        <v>570000</v>
      </c>
    </row>
    <row r="45" spans="1:12" ht="84.75" customHeight="1">
      <c r="A45" s="942" t="s">
        <v>25</v>
      </c>
      <c r="B45" s="628" t="s">
        <v>761</v>
      </c>
      <c r="C45" s="626"/>
      <c r="D45" s="626">
        <v>541000</v>
      </c>
      <c r="E45" s="627">
        <f t="shared" si="1"/>
        <v>541000</v>
      </c>
    </row>
    <row r="46" spans="1:12" ht="84.75" customHeight="1">
      <c r="A46" s="942" t="s">
        <v>25</v>
      </c>
      <c r="B46" s="1019" t="s">
        <v>762</v>
      </c>
      <c r="C46" s="1020"/>
      <c r="D46" s="1020">
        <v>1500000</v>
      </c>
      <c r="E46" s="627">
        <f t="shared" si="1"/>
        <v>1500000</v>
      </c>
    </row>
    <row r="47" spans="1:12" ht="84.75" customHeight="1">
      <c r="A47" s="942" t="s">
        <v>719</v>
      </c>
      <c r="B47" s="1019" t="s">
        <v>763</v>
      </c>
      <c r="C47" s="1020"/>
      <c r="D47" s="1020">
        <v>1500000</v>
      </c>
      <c r="E47" s="627">
        <f t="shared" si="1"/>
        <v>1500000</v>
      </c>
      <c r="G47" s="161" t="s">
        <v>10</v>
      </c>
    </row>
    <row r="48" spans="1:12" ht="62.45" customHeight="1">
      <c r="A48" s="942" t="s">
        <v>719</v>
      </c>
      <c r="B48" s="628" t="s">
        <v>764</v>
      </c>
      <c r="C48" s="626"/>
      <c r="D48" s="626">
        <v>2248487</v>
      </c>
      <c r="E48" s="627">
        <f t="shared" si="1"/>
        <v>2248487</v>
      </c>
    </row>
    <row r="49" spans="1:5" ht="62.45" customHeight="1">
      <c r="A49" s="942" t="s">
        <v>35</v>
      </c>
      <c r="B49" s="1019" t="s">
        <v>765</v>
      </c>
      <c r="C49" s="1020"/>
      <c r="D49" s="1020">
        <v>500000</v>
      </c>
      <c r="E49" s="627">
        <f t="shared" si="1"/>
        <v>500000</v>
      </c>
    </row>
    <row r="50" spans="1:5" ht="62.45" customHeight="1">
      <c r="A50" s="942" t="s">
        <v>35</v>
      </c>
      <c r="B50" s="1019" t="s">
        <v>766</v>
      </c>
      <c r="C50" s="1020"/>
      <c r="D50" s="1020">
        <v>2500000</v>
      </c>
      <c r="E50" s="627">
        <f t="shared" si="1"/>
        <v>2500000</v>
      </c>
    </row>
    <row r="51" spans="1:5" ht="62.45" customHeight="1">
      <c r="A51" s="1138" t="s">
        <v>767</v>
      </c>
      <c r="B51" s="1019" t="s">
        <v>768</v>
      </c>
      <c r="C51" s="1020"/>
      <c r="D51" s="1020">
        <v>1500000</v>
      </c>
      <c r="E51" s="1122">
        <f t="shared" si="1"/>
        <v>1500000</v>
      </c>
    </row>
    <row r="52" spans="1:5" ht="62.45" customHeight="1" thickBot="1">
      <c r="A52" s="1143" t="s">
        <v>46</v>
      </c>
      <c r="B52" s="1144" t="s">
        <v>769</v>
      </c>
      <c r="C52" s="1145"/>
      <c r="D52" s="1145">
        <v>1975000</v>
      </c>
      <c r="E52" s="1146">
        <f t="shared" si="1"/>
        <v>1975000</v>
      </c>
    </row>
    <row r="53" spans="1:5" ht="62.45" customHeight="1" thickBot="1">
      <c r="A53" s="1143" t="s">
        <v>34</v>
      </c>
      <c r="B53" s="1144" t="s">
        <v>773</v>
      </c>
      <c r="C53" s="1145"/>
      <c r="D53" s="1145">
        <v>3000000</v>
      </c>
      <c r="E53" s="1146">
        <f t="shared" si="1"/>
        <v>3000000</v>
      </c>
    </row>
    <row r="54" spans="1:5" ht="24.6" customHeight="1" thickBot="1">
      <c r="A54" s="1139" t="s">
        <v>54</v>
      </c>
      <c r="B54" s="1140"/>
      <c r="C54" s="1141">
        <f>SUM(C43:C51)</f>
        <v>0</v>
      </c>
      <c r="D54" s="1141">
        <f>SUM(D43:D53)</f>
        <v>16484487</v>
      </c>
      <c r="E54" s="1142">
        <f>SUM(E43:E53)</f>
        <v>16484487</v>
      </c>
    </row>
    <row r="55" spans="1:5" ht="25.35" customHeight="1">
      <c r="A55" s="17" t="s">
        <v>55</v>
      </c>
    </row>
    <row r="56" spans="1:5" ht="25.35" customHeight="1">
      <c r="D56" s="48"/>
    </row>
    <row r="57" spans="1:5" ht="30.6" customHeight="1" thickBot="1">
      <c r="A57" s="470" t="s">
        <v>15</v>
      </c>
      <c r="B57" s="471"/>
      <c r="C57" s="471"/>
    </row>
    <row r="58" spans="1:5" ht="41.1" customHeight="1" thickBot="1">
      <c r="A58" s="45" t="s">
        <v>722</v>
      </c>
      <c r="B58" s="391" t="s">
        <v>771</v>
      </c>
      <c r="C58" s="16" t="s">
        <v>10</v>
      </c>
      <c r="D58" s="16"/>
    </row>
    <row r="59" spans="1:5" ht="69" customHeight="1" thickBot="1">
      <c r="A59" s="1037" t="s">
        <v>772</v>
      </c>
      <c r="B59" s="1038"/>
      <c r="C59" s="148"/>
    </row>
    <row r="60" spans="1:5" ht="37.35" customHeight="1" thickBot="1">
      <c r="A60" s="357" t="s">
        <v>17</v>
      </c>
      <c r="B60" s="456" t="s">
        <v>49</v>
      </c>
      <c r="D60" s="22"/>
    </row>
    <row r="61" spans="1:5" ht="25.35" customHeight="1" thickBot="1">
      <c r="A61" s="408" t="str">
        <f>A33</f>
        <v>Tallahassee State College</v>
      </c>
      <c r="B61" s="472">
        <v>25000</v>
      </c>
      <c r="C61" s="161"/>
    </row>
    <row r="62" spans="1:5" ht="25.35" customHeight="1" thickBot="1">
      <c r="A62" s="379" t="s">
        <v>49</v>
      </c>
      <c r="B62" s="473">
        <f>SUM(B61:B61)</f>
        <v>25000</v>
      </c>
      <c r="C62" s="392"/>
    </row>
    <row r="63" spans="1:5" ht="24.6" customHeight="1">
      <c r="A63" s="478"/>
      <c r="B63" s="477"/>
      <c r="C63" s="477"/>
    </row>
    <row r="64" spans="1:5" ht="32.1" customHeight="1" thickBot="1">
      <c r="A64" s="470" t="s">
        <v>56</v>
      </c>
      <c r="B64" s="471"/>
      <c r="C64" s="471"/>
    </row>
    <row r="65" spans="1:7" ht="44.45" customHeight="1" thickBot="1">
      <c r="A65" s="38" t="s">
        <v>723</v>
      </c>
      <c r="B65" s="1039" t="s">
        <v>748</v>
      </c>
      <c r="C65" s="1040"/>
      <c r="D65" s="1040"/>
      <c r="E65" s="1041"/>
      <c r="F65" s="18"/>
      <c r="G65" s="16"/>
    </row>
    <row r="66" spans="1:7" ht="87.6" customHeight="1" thickBot="1">
      <c r="A66" s="40" t="s">
        <v>17</v>
      </c>
      <c r="B66" s="24" t="s">
        <v>746</v>
      </c>
      <c r="C66" s="39" t="s">
        <v>57</v>
      </c>
      <c r="D66" s="25" t="s">
        <v>58</v>
      </c>
      <c r="E66" s="26" t="s">
        <v>59</v>
      </c>
      <c r="F66" s="24" t="s">
        <v>60</v>
      </c>
    </row>
    <row r="67" spans="1:7" ht="25.35" customHeight="1">
      <c r="A67" s="629" t="str">
        <f t="shared" ref="A67:A94" si="2">A7</f>
        <v>Eastern Florida State College</v>
      </c>
      <c r="B67" s="411">
        <v>21343920.702796087</v>
      </c>
      <c r="C67" s="411">
        <f t="shared" ref="C67:C94" si="3">B67*0.05</f>
        <v>1067196.0351398045</v>
      </c>
      <c r="D67" s="1077">
        <f t="shared" ref="D67:D94" si="4">IF(C67&gt;500000,0,1)</f>
        <v>0</v>
      </c>
      <c r="E67" s="412">
        <f t="shared" ref="E67:E94" si="5">IF(D67&lt;1,0,B67*0.02)</f>
        <v>0</v>
      </c>
      <c r="F67" s="411">
        <f>C67+E67</f>
        <v>1067196.0351398045</v>
      </c>
    </row>
    <row r="68" spans="1:7" ht="25.35" customHeight="1">
      <c r="A68" s="630" t="str">
        <f t="shared" si="2"/>
        <v>Broward College</v>
      </c>
      <c r="B68" s="20">
        <v>58710588.862885587</v>
      </c>
      <c r="C68" s="20">
        <f t="shared" si="3"/>
        <v>2935529.4431442795</v>
      </c>
      <c r="D68" s="20">
        <f t="shared" si="4"/>
        <v>0</v>
      </c>
      <c r="E68" s="20">
        <f t="shared" si="5"/>
        <v>0</v>
      </c>
      <c r="F68" s="20">
        <f t="shared" ref="F68:F94" si="6">C68+E68</f>
        <v>2935529.4431442795</v>
      </c>
    </row>
    <row r="69" spans="1:7" ht="25.35" customHeight="1">
      <c r="A69" s="630" t="str">
        <f t="shared" si="2"/>
        <v>College of Central Florida</v>
      </c>
      <c r="B69" s="20">
        <v>10824134.7441312</v>
      </c>
      <c r="C69" s="20">
        <f t="shared" si="3"/>
        <v>541206.73720655998</v>
      </c>
      <c r="D69" s="20">
        <f t="shared" si="4"/>
        <v>0</v>
      </c>
      <c r="E69" s="20">
        <f t="shared" si="5"/>
        <v>0</v>
      </c>
      <c r="F69" s="20">
        <f t="shared" si="6"/>
        <v>541206.73720655998</v>
      </c>
    </row>
    <row r="70" spans="1:7" ht="25.35" customHeight="1">
      <c r="A70" s="631" t="str">
        <f t="shared" si="2"/>
        <v>Chipola College</v>
      </c>
      <c r="B70" s="377">
        <v>2572418.5309079303</v>
      </c>
      <c r="C70" s="377">
        <f t="shared" si="3"/>
        <v>128620.92654539652</v>
      </c>
      <c r="D70" s="377">
        <f t="shared" si="4"/>
        <v>1</v>
      </c>
      <c r="E70" s="377">
        <f t="shared" si="5"/>
        <v>51448.370618158609</v>
      </c>
      <c r="F70" s="377">
        <f t="shared" si="6"/>
        <v>180069.29716355514</v>
      </c>
    </row>
    <row r="71" spans="1:7" ht="25.35" customHeight="1">
      <c r="A71" s="630" t="str">
        <f t="shared" si="2"/>
        <v>Daytona State College</v>
      </c>
      <c r="B71" s="20">
        <v>22239203.763797291</v>
      </c>
      <c r="C71" s="20">
        <f t="shared" si="3"/>
        <v>1111960.1881898646</v>
      </c>
      <c r="D71" s="20">
        <f t="shared" si="4"/>
        <v>0</v>
      </c>
      <c r="E71" s="20">
        <f t="shared" si="5"/>
        <v>0</v>
      </c>
      <c r="F71" s="20">
        <f t="shared" si="6"/>
        <v>1111960.1881898646</v>
      </c>
    </row>
    <row r="72" spans="1:7" ht="25.35" customHeight="1">
      <c r="A72" s="630" t="str">
        <f t="shared" si="2"/>
        <v>Florida SouthWestern State College</v>
      </c>
      <c r="B72" s="20">
        <v>21026195.020153396</v>
      </c>
      <c r="C72" s="20">
        <f t="shared" si="3"/>
        <v>1051309.7510076698</v>
      </c>
      <c r="D72" s="20">
        <f t="shared" si="4"/>
        <v>0</v>
      </c>
      <c r="E72" s="20">
        <f t="shared" si="5"/>
        <v>0</v>
      </c>
      <c r="F72" s="20">
        <f t="shared" si="6"/>
        <v>1051309.7510076698</v>
      </c>
    </row>
    <row r="73" spans="1:7" ht="25.35" customHeight="1">
      <c r="A73" s="630" t="str">
        <f t="shared" si="2"/>
        <v>Florida State College at Jacksonville</v>
      </c>
      <c r="B73" s="20">
        <v>37416579.393034577</v>
      </c>
      <c r="C73" s="20">
        <f t="shared" si="3"/>
        <v>1870828.9696517289</v>
      </c>
      <c r="D73" s="20">
        <f t="shared" si="4"/>
        <v>0</v>
      </c>
      <c r="E73" s="20">
        <f t="shared" si="5"/>
        <v>0</v>
      </c>
      <c r="F73" s="20">
        <f t="shared" si="6"/>
        <v>1870828.9696517289</v>
      </c>
    </row>
    <row r="74" spans="1:7" ht="25.35" customHeight="1">
      <c r="A74" s="631" t="str">
        <f t="shared" si="2"/>
        <v>College of the Florida Keys</v>
      </c>
      <c r="B74" s="377">
        <v>2558702.4277445842</v>
      </c>
      <c r="C74" s="377">
        <f t="shared" si="3"/>
        <v>127935.12138722921</v>
      </c>
      <c r="D74" s="377">
        <f t="shared" si="4"/>
        <v>1</v>
      </c>
      <c r="E74" s="377">
        <f t="shared" si="5"/>
        <v>51174.048554891684</v>
      </c>
      <c r="F74" s="377">
        <f t="shared" si="6"/>
        <v>179109.16994212091</v>
      </c>
    </row>
    <row r="75" spans="1:7" ht="25.35" customHeight="1">
      <c r="A75" s="631" t="str">
        <f t="shared" si="2"/>
        <v>Gulf Coast State College</v>
      </c>
      <c r="B75" s="377">
        <v>7257684.5405805968</v>
      </c>
      <c r="C75" s="377">
        <f t="shared" si="3"/>
        <v>362884.22702902986</v>
      </c>
      <c r="D75" s="377">
        <f t="shared" si="4"/>
        <v>1</v>
      </c>
      <c r="E75" s="377">
        <f t="shared" si="5"/>
        <v>145153.69081161194</v>
      </c>
      <c r="F75" s="377">
        <f t="shared" si="6"/>
        <v>508037.91784064181</v>
      </c>
    </row>
    <row r="76" spans="1:7" ht="25.35" customHeight="1">
      <c r="A76" s="630" t="str">
        <f t="shared" si="2"/>
        <v>Hillsborough Community College</v>
      </c>
      <c r="B76" s="20">
        <v>44262235.065613717</v>
      </c>
      <c r="C76" s="20">
        <f>B76*0.05</f>
        <v>2213111.7532806857</v>
      </c>
      <c r="D76" s="20">
        <f t="shared" si="4"/>
        <v>0</v>
      </c>
      <c r="E76" s="20">
        <f t="shared" si="5"/>
        <v>0</v>
      </c>
      <c r="F76" s="20">
        <f t="shared" si="6"/>
        <v>2213111.7532806857</v>
      </c>
    </row>
    <row r="77" spans="1:7" ht="25.35" customHeight="1">
      <c r="A77" s="630" t="str">
        <f t="shared" si="2"/>
        <v>Indian River State College</v>
      </c>
      <c r="B77" s="20">
        <v>24017342.200046379</v>
      </c>
      <c r="C77" s="20">
        <f t="shared" si="3"/>
        <v>1200867.1100023191</v>
      </c>
      <c r="D77" s="20">
        <f t="shared" si="4"/>
        <v>0</v>
      </c>
      <c r="E77" s="20">
        <f t="shared" si="5"/>
        <v>0</v>
      </c>
      <c r="F77" s="20">
        <f t="shared" si="6"/>
        <v>1200867.1100023191</v>
      </c>
    </row>
    <row r="78" spans="1:7" ht="25.35" customHeight="1">
      <c r="A78" s="631" t="str">
        <f t="shared" si="2"/>
        <v>Florida Gateway College</v>
      </c>
      <c r="B78" s="377">
        <v>4502728.5670378795</v>
      </c>
      <c r="C78" s="377">
        <f t="shared" si="3"/>
        <v>225136.42835189399</v>
      </c>
      <c r="D78" s="377">
        <f t="shared" si="4"/>
        <v>1</v>
      </c>
      <c r="E78" s="377">
        <f t="shared" si="5"/>
        <v>90054.571340757597</v>
      </c>
      <c r="F78" s="377">
        <f t="shared" si="6"/>
        <v>315190.99969265156</v>
      </c>
    </row>
    <row r="79" spans="1:7" ht="25.35" customHeight="1">
      <c r="A79" s="631" t="str">
        <f t="shared" si="2"/>
        <v>Lake-Sumter State College</v>
      </c>
      <c r="B79" s="377">
        <v>7039410.8568977257</v>
      </c>
      <c r="C79" s="377">
        <f t="shared" si="3"/>
        <v>351970.54284488631</v>
      </c>
      <c r="D79" s="377">
        <f t="shared" si="4"/>
        <v>1</v>
      </c>
      <c r="E79" s="377">
        <f t="shared" si="5"/>
        <v>140788.21713795452</v>
      </c>
      <c r="F79" s="377">
        <f t="shared" si="6"/>
        <v>492758.75998284086</v>
      </c>
    </row>
    <row r="80" spans="1:7" ht="25.35" customHeight="1">
      <c r="A80" s="630" t="str">
        <f t="shared" si="2"/>
        <v>State College of Florida, Manatee-Sarasota</v>
      </c>
      <c r="B80" s="20">
        <v>15493697.017745752</v>
      </c>
      <c r="C80" s="20">
        <f t="shared" si="3"/>
        <v>774684.85088728764</v>
      </c>
      <c r="D80" s="20">
        <f t="shared" si="4"/>
        <v>0</v>
      </c>
      <c r="E80" s="20">
        <f t="shared" si="5"/>
        <v>0</v>
      </c>
      <c r="F80" s="20">
        <f t="shared" si="6"/>
        <v>774684.85088728764</v>
      </c>
    </row>
    <row r="81" spans="1:6" ht="25.35" customHeight="1">
      <c r="A81" s="630" t="str">
        <f t="shared" si="2"/>
        <v>Miami Dade College</v>
      </c>
      <c r="B81" s="20">
        <v>115592111.5884901</v>
      </c>
      <c r="C81" s="20">
        <f t="shared" si="3"/>
        <v>5779605.5794245051</v>
      </c>
      <c r="D81" s="20">
        <f t="shared" si="4"/>
        <v>0</v>
      </c>
      <c r="E81" s="20">
        <f t="shared" si="5"/>
        <v>0</v>
      </c>
      <c r="F81" s="20">
        <f t="shared" si="6"/>
        <v>5779605.5794245051</v>
      </c>
    </row>
    <row r="82" spans="1:6" ht="25.35" customHeight="1">
      <c r="A82" s="631" t="str">
        <f t="shared" si="2"/>
        <v>North Florida College</v>
      </c>
      <c r="B82" s="377">
        <v>1657248.7055421218</v>
      </c>
      <c r="C82" s="377">
        <f t="shared" si="3"/>
        <v>82862.435277106095</v>
      </c>
      <c r="D82" s="377">
        <f t="shared" si="4"/>
        <v>1</v>
      </c>
      <c r="E82" s="377">
        <f t="shared" si="5"/>
        <v>33144.974110842435</v>
      </c>
      <c r="F82" s="377">
        <f t="shared" si="6"/>
        <v>116007.40938794853</v>
      </c>
    </row>
    <row r="83" spans="1:6" ht="25.35" customHeight="1">
      <c r="A83" s="631" t="str">
        <f t="shared" si="2"/>
        <v>Northwest Florida State College</v>
      </c>
      <c r="B83" s="377">
        <v>8451652.197534265</v>
      </c>
      <c r="C83" s="377">
        <f t="shared" si="3"/>
        <v>422582.60987671325</v>
      </c>
      <c r="D83" s="377">
        <f t="shared" si="4"/>
        <v>1</v>
      </c>
      <c r="E83" s="377">
        <f t="shared" si="5"/>
        <v>169033.0439506853</v>
      </c>
      <c r="F83" s="377">
        <f t="shared" si="6"/>
        <v>591615.65382739855</v>
      </c>
    </row>
    <row r="84" spans="1:6" ht="25.35" customHeight="1">
      <c r="A84" s="630" t="str">
        <f t="shared" si="2"/>
        <v>Palm Beach State College</v>
      </c>
      <c r="B84" s="20">
        <v>40580920.396891579</v>
      </c>
      <c r="C84" s="20">
        <f t="shared" si="3"/>
        <v>2029046.019844579</v>
      </c>
      <c r="D84" s="20">
        <f t="shared" si="4"/>
        <v>0</v>
      </c>
      <c r="E84" s="20">
        <f t="shared" si="5"/>
        <v>0</v>
      </c>
      <c r="F84" s="20">
        <f t="shared" si="6"/>
        <v>2029046.019844579</v>
      </c>
    </row>
    <row r="85" spans="1:6" ht="25.35" customHeight="1">
      <c r="A85" s="630" t="str">
        <f t="shared" si="2"/>
        <v>Pasco-Hernando State College</v>
      </c>
      <c r="B85" s="20">
        <v>12738234.333178356</v>
      </c>
      <c r="C85" s="20">
        <f t="shared" si="3"/>
        <v>636911.71665891784</v>
      </c>
      <c r="D85" s="20">
        <f t="shared" si="4"/>
        <v>0</v>
      </c>
      <c r="E85" s="20">
        <f t="shared" si="5"/>
        <v>0</v>
      </c>
      <c r="F85" s="20">
        <f t="shared" si="6"/>
        <v>636911.71665891784</v>
      </c>
    </row>
    <row r="86" spans="1:6" ht="25.35" customHeight="1">
      <c r="A86" s="630" t="str">
        <f t="shared" si="2"/>
        <v>Pensacola State College</v>
      </c>
      <c r="B86" s="20">
        <v>14542196.654085513</v>
      </c>
      <c r="C86" s="20">
        <f t="shared" si="3"/>
        <v>727109.83270427573</v>
      </c>
      <c r="D86" s="20">
        <f t="shared" si="4"/>
        <v>0</v>
      </c>
      <c r="E86" s="20">
        <f t="shared" si="5"/>
        <v>0</v>
      </c>
      <c r="F86" s="20">
        <f t="shared" si="6"/>
        <v>727109.83270427573</v>
      </c>
    </row>
    <row r="87" spans="1:6" ht="25.35" customHeight="1">
      <c r="A87" s="630" t="str">
        <f t="shared" si="2"/>
        <v>Polk State College</v>
      </c>
      <c r="B87" s="20">
        <v>12813479.263554951</v>
      </c>
      <c r="C87" s="20">
        <f t="shared" si="3"/>
        <v>640673.96317774756</v>
      </c>
      <c r="D87" s="20">
        <f t="shared" si="4"/>
        <v>0</v>
      </c>
      <c r="E87" s="20">
        <f t="shared" si="5"/>
        <v>0</v>
      </c>
      <c r="F87" s="20">
        <f t="shared" si="6"/>
        <v>640673.96317774756</v>
      </c>
    </row>
    <row r="88" spans="1:6" ht="25.35" customHeight="1">
      <c r="A88" s="631" t="str">
        <f t="shared" si="2"/>
        <v>St. Johns River State College</v>
      </c>
      <c r="B88" s="377">
        <v>7749149.0055809645</v>
      </c>
      <c r="C88" s="377">
        <f t="shared" si="3"/>
        <v>387457.45027904824</v>
      </c>
      <c r="D88" s="377">
        <f t="shared" si="4"/>
        <v>1</v>
      </c>
      <c r="E88" s="377">
        <f t="shared" si="5"/>
        <v>154982.98011161928</v>
      </c>
      <c r="F88" s="377">
        <f t="shared" si="6"/>
        <v>542440.43039066752</v>
      </c>
    </row>
    <row r="89" spans="1:6" ht="25.35" customHeight="1">
      <c r="A89" s="630" t="str">
        <f t="shared" si="2"/>
        <v>St. Petersburg College</v>
      </c>
      <c r="B89" s="20">
        <v>38045061.348271757</v>
      </c>
      <c r="C89" s="20">
        <f t="shared" si="3"/>
        <v>1902253.0674135881</v>
      </c>
      <c r="D89" s="20">
        <f t="shared" si="4"/>
        <v>0</v>
      </c>
      <c r="E89" s="20">
        <f t="shared" si="5"/>
        <v>0</v>
      </c>
      <c r="F89" s="20">
        <f t="shared" si="6"/>
        <v>1902253.0674135881</v>
      </c>
    </row>
    <row r="90" spans="1:6" ht="25.35" customHeight="1">
      <c r="A90" s="630" t="str">
        <f t="shared" si="2"/>
        <v>Santa Fe College</v>
      </c>
      <c r="B90" s="20">
        <v>26232451.431537766</v>
      </c>
      <c r="C90" s="20">
        <f t="shared" si="3"/>
        <v>1311622.5715768884</v>
      </c>
      <c r="D90" s="20">
        <f t="shared" si="4"/>
        <v>0</v>
      </c>
      <c r="E90" s="20">
        <f t="shared" si="5"/>
        <v>0</v>
      </c>
      <c r="F90" s="20">
        <f t="shared" si="6"/>
        <v>1311622.5715768884</v>
      </c>
    </row>
    <row r="91" spans="1:6" ht="25.35" customHeight="1">
      <c r="A91" s="630" t="str">
        <f t="shared" si="2"/>
        <v>Seminole State College of Florida</v>
      </c>
      <c r="B91" s="20">
        <v>25194497.498493366</v>
      </c>
      <c r="C91" s="20">
        <f t="shared" si="3"/>
        <v>1259724.8749246683</v>
      </c>
      <c r="D91" s="20">
        <f t="shared" si="4"/>
        <v>0</v>
      </c>
      <c r="E91" s="20">
        <f t="shared" si="5"/>
        <v>0</v>
      </c>
      <c r="F91" s="20">
        <f t="shared" si="6"/>
        <v>1259724.8749246683</v>
      </c>
    </row>
    <row r="92" spans="1:6" ht="25.35" customHeight="1">
      <c r="A92" s="631" t="str">
        <f t="shared" si="2"/>
        <v>South Florida State College</v>
      </c>
      <c r="B92" s="377">
        <v>4045974.0797884515</v>
      </c>
      <c r="C92" s="377">
        <f t="shared" si="3"/>
        <v>202298.70398942259</v>
      </c>
      <c r="D92" s="377">
        <f t="shared" si="4"/>
        <v>1</v>
      </c>
      <c r="E92" s="377">
        <f t="shared" si="5"/>
        <v>80919.48159576903</v>
      </c>
      <c r="F92" s="377">
        <f t="shared" si="6"/>
        <v>283218.18558519159</v>
      </c>
    </row>
    <row r="93" spans="1:6" ht="25.35" customHeight="1">
      <c r="A93" s="630" t="str">
        <f t="shared" si="2"/>
        <v>Tallahassee State College</v>
      </c>
      <c r="B93" s="20">
        <v>24628352.217420455</v>
      </c>
      <c r="C93" s="20">
        <f t="shared" si="3"/>
        <v>1231417.6108710228</v>
      </c>
      <c r="D93" s="20">
        <f t="shared" si="4"/>
        <v>0</v>
      </c>
      <c r="E93" s="20">
        <f t="shared" si="5"/>
        <v>0</v>
      </c>
      <c r="F93" s="20">
        <f t="shared" si="6"/>
        <v>1231417.6108710228</v>
      </c>
    </row>
    <row r="94" spans="1:6" ht="25.35" customHeight="1" thickBot="1">
      <c r="A94" s="630" t="str">
        <f t="shared" si="2"/>
        <v>Valencia College</v>
      </c>
      <c r="B94" s="27">
        <v>95888317.353704765</v>
      </c>
      <c r="C94" s="27">
        <f t="shared" si="3"/>
        <v>4794415.8676852388</v>
      </c>
      <c r="D94" s="27">
        <f t="shared" si="4"/>
        <v>0</v>
      </c>
      <c r="E94" s="27">
        <f t="shared" si="5"/>
        <v>0</v>
      </c>
      <c r="F94" s="27">
        <f t="shared" si="6"/>
        <v>4794415.8676852388</v>
      </c>
    </row>
    <row r="95" spans="1:6" ht="25.35" customHeight="1" thickBot="1">
      <c r="A95" s="65" t="s">
        <v>49</v>
      </c>
      <c r="B95" s="413">
        <f>SUM(B67:B94)</f>
        <v>707424487.76744711</v>
      </c>
      <c r="C95" s="413">
        <f>SUM(C67:C94)</f>
        <v>35371224.388372362</v>
      </c>
      <c r="D95" s="66">
        <f>SUM(D67:D94)</f>
        <v>9</v>
      </c>
      <c r="E95" s="413">
        <f>SUM(E67:E94)</f>
        <v>916699.3782322905</v>
      </c>
      <c r="F95" s="414">
        <f>SUM(C95+E95)</f>
        <v>36287923.766604654</v>
      </c>
    </row>
    <row r="96" spans="1:6" ht="25.35" customHeight="1">
      <c r="A96" s="77"/>
    </row>
    <row r="97" spans="1:50" ht="25.35" customHeight="1">
      <c r="A97" s="78" t="s">
        <v>61</v>
      </c>
    </row>
    <row r="98" spans="1:50" ht="25.35" customHeight="1">
      <c r="A98" s="1030" t="s">
        <v>749</v>
      </c>
      <c r="B98" s="1030"/>
      <c r="C98" s="1030"/>
      <c r="D98" s="1030"/>
      <c r="E98" s="1030"/>
      <c r="F98" s="1030"/>
      <c r="G98" s="1030"/>
      <c r="H98" s="1030"/>
      <c r="I98" s="1030"/>
      <c r="J98" s="1030"/>
      <c r="K98" s="1030"/>
      <c r="L98" s="1030"/>
      <c r="M98" s="1030"/>
      <c r="N98" s="1030"/>
      <c r="O98" s="1030"/>
      <c r="P98" s="1030"/>
      <c r="Q98" s="1030"/>
      <c r="R98" s="1030"/>
    </row>
    <row r="99" spans="1:50" ht="20.100000000000001" customHeight="1">
      <c r="A99" s="1028" t="s">
        <v>62</v>
      </c>
      <c r="B99" s="1028"/>
      <c r="C99" s="1028"/>
      <c r="D99" s="1028"/>
      <c r="E99" s="1028"/>
      <c r="F99" s="1028"/>
      <c r="G99" s="1028"/>
      <c r="H99" s="1028"/>
      <c r="I99" s="1028"/>
      <c r="J99" s="1028"/>
      <c r="K99" s="1028"/>
      <c r="L99" s="1028"/>
      <c r="M99" s="1028"/>
      <c r="N99" s="1028"/>
      <c r="O99" s="1028"/>
      <c r="P99" s="1028"/>
      <c r="Q99" s="1028"/>
      <c r="R99" s="1028"/>
      <c r="S99" s="474"/>
    </row>
    <row r="100" spans="1:50" ht="20.100000000000001" customHeight="1">
      <c r="A100" s="458" t="s">
        <v>63</v>
      </c>
      <c r="B100" s="458"/>
      <c r="C100" s="458"/>
      <c r="D100" s="458"/>
      <c r="E100" s="458"/>
      <c r="F100" s="458"/>
      <c r="G100" s="458"/>
      <c r="H100" s="458"/>
      <c r="I100" s="458"/>
      <c r="J100" s="458"/>
      <c r="K100" s="458"/>
      <c r="L100" s="458"/>
      <c r="M100" s="458"/>
      <c r="N100" s="458"/>
      <c r="O100" s="458"/>
      <c r="P100" s="458"/>
      <c r="Q100" s="458"/>
      <c r="R100" s="458"/>
    </row>
    <row r="101" spans="1:50" ht="20.100000000000001" customHeight="1">
      <c r="A101" s="1028" t="s">
        <v>64</v>
      </c>
      <c r="B101" s="1028"/>
      <c r="C101" s="1028"/>
      <c r="D101" s="1028"/>
      <c r="E101" s="1028"/>
      <c r="F101" s="1028"/>
      <c r="G101" s="1028"/>
      <c r="H101" s="1028"/>
      <c r="I101" s="1028"/>
      <c r="J101" s="1028"/>
      <c r="K101" s="1028"/>
      <c r="L101" s="1028"/>
      <c r="M101" s="1028"/>
      <c r="N101" s="1028"/>
      <c r="O101" s="1028"/>
      <c r="P101" s="1028"/>
      <c r="Q101" s="1028"/>
      <c r="R101" s="1028"/>
    </row>
    <row r="102" spans="1:50" ht="20.100000000000001" customHeight="1">
      <c r="A102" s="1028"/>
      <c r="B102" s="1028"/>
      <c r="C102" s="1028"/>
      <c r="D102" s="1028"/>
      <c r="E102" s="1028"/>
      <c r="F102" s="1028"/>
      <c r="G102" s="1028"/>
    </row>
    <row r="103" spans="1:50" ht="32.450000000000003" customHeight="1" thickBot="1">
      <c r="E103" s="469"/>
      <c r="F103" s="469"/>
      <c r="G103" s="469"/>
    </row>
    <row r="104" spans="1:50" ht="43.35" customHeight="1" thickBot="1">
      <c r="A104" s="47" t="s">
        <v>750</v>
      </c>
      <c r="B104" s="1023" t="s">
        <v>754</v>
      </c>
      <c r="C104" s="1024"/>
      <c r="D104" s="1025"/>
      <c r="E104" s="1026" t="s">
        <v>65</v>
      </c>
      <c r="F104" s="1026"/>
      <c r="G104" s="1026"/>
      <c r="H104" s="1026"/>
      <c r="I104" s="1026"/>
      <c r="J104" s="1026"/>
      <c r="K104" s="1026"/>
      <c r="L104" s="1026"/>
      <c r="M104" s="1026"/>
      <c r="N104" s="1026"/>
      <c r="O104" s="1026"/>
      <c r="P104" s="1026"/>
      <c r="Q104" s="1026"/>
      <c r="R104" s="1026"/>
      <c r="S104" s="1027"/>
      <c r="T104" s="19"/>
      <c r="U104" s="19"/>
      <c r="AC104" s="19"/>
      <c r="AK104" s="384"/>
    </row>
    <row r="105" spans="1:50" ht="39" customHeight="1" thickBot="1">
      <c r="A105" s="46">
        <v>1</v>
      </c>
      <c r="B105" s="44">
        <v>2</v>
      </c>
      <c r="C105" s="1026">
        <v>3</v>
      </c>
      <c r="D105" s="1027">
        <v>4</v>
      </c>
      <c r="E105" s="1026">
        <v>5</v>
      </c>
      <c r="F105" s="1026">
        <v>6</v>
      </c>
      <c r="G105" s="1026">
        <v>7</v>
      </c>
      <c r="H105" s="1026">
        <v>8</v>
      </c>
      <c r="I105" s="1026">
        <v>9</v>
      </c>
      <c r="J105" s="1026">
        <v>10</v>
      </c>
      <c r="K105" s="1026">
        <v>11</v>
      </c>
      <c r="L105" s="1026">
        <v>12</v>
      </c>
      <c r="M105" s="1026">
        <v>13</v>
      </c>
      <c r="N105" s="1026">
        <v>14</v>
      </c>
      <c r="O105" s="1026">
        <v>15</v>
      </c>
      <c r="P105" s="1026">
        <v>16</v>
      </c>
      <c r="Q105" s="1026">
        <v>17</v>
      </c>
      <c r="R105" s="1026">
        <v>18</v>
      </c>
      <c r="S105" s="1027">
        <v>19</v>
      </c>
      <c r="T105" s="1064" t="s">
        <v>49</v>
      </c>
      <c r="U105" s="28"/>
      <c r="V105" s="44">
        <v>20</v>
      </c>
      <c r="W105" s="1026">
        <v>21</v>
      </c>
      <c r="X105" s="1026">
        <v>22</v>
      </c>
      <c r="Y105" s="58"/>
      <c r="Z105" s="1026">
        <v>23</v>
      </c>
      <c r="AA105" s="1026">
        <v>24</v>
      </c>
      <c r="AB105" s="1027">
        <v>25</v>
      </c>
      <c r="AC105" s="31"/>
    </row>
    <row r="106" spans="1:50" ht="29.45" customHeight="1" thickBot="1">
      <c r="A106" s="55" t="s">
        <v>67</v>
      </c>
      <c r="B106" s="1073" t="s">
        <v>68</v>
      </c>
      <c r="C106" s="1074"/>
      <c r="D106" s="1075"/>
      <c r="E106" s="30"/>
      <c r="G106" s="1045"/>
      <c r="H106" s="1045"/>
      <c r="I106" s="1045"/>
      <c r="J106" s="1045" t="s">
        <v>69</v>
      </c>
      <c r="K106" s="1045"/>
      <c r="L106" s="1045"/>
      <c r="M106" s="1045"/>
      <c r="N106" s="1045"/>
      <c r="O106" s="1045"/>
      <c r="P106" s="1045"/>
      <c r="Q106" s="1058" t="s">
        <v>70</v>
      </c>
      <c r="R106" s="1059"/>
      <c r="S106" s="1060"/>
      <c r="T106" s="1065" t="s">
        <v>694</v>
      </c>
      <c r="U106" s="32"/>
      <c r="V106" s="33"/>
      <c r="W106" s="34"/>
      <c r="X106" s="35"/>
      <c r="Y106" s="59"/>
      <c r="Z106" s="1046"/>
      <c r="AA106" s="1047"/>
      <c r="AB106" s="1048"/>
      <c r="AC106" s="19"/>
      <c r="AD106" s="1137" t="s">
        <v>751</v>
      </c>
      <c r="AF106" s="29"/>
    </row>
    <row r="107" spans="1:50" ht="66" customHeight="1" thickBot="1">
      <c r="A107" s="36"/>
      <c r="B107" s="44" t="s">
        <v>71</v>
      </c>
      <c r="C107" s="1026"/>
      <c r="D107" s="1027"/>
      <c r="E107" s="44" t="s">
        <v>72</v>
      </c>
      <c r="F107" s="1026"/>
      <c r="G107" s="1027"/>
      <c r="H107" s="44" t="s">
        <v>73</v>
      </c>
      <c r="I107" s="1026"/>
      <c r="J107" s="1027"/>
      <c r="K107" s="1034" t="s">
        <v>74</v>
      </c>
      <c r="L107" s="1034"/>
      <c r="M107" s="1034"/>
      <c r="N107" s="38" t="s">
        <v>75</v>
      </c>
      <c r="O107" s="1035"/>
      <c r="P107" s="39"/>
      <c r="Q107" s="1061" t="s">
        <v>718</v>
      </c>
      <c r="R107" s="1062"/>
      <c r="S107" s="1063"/>
      <c r="T107" s="1121"/>
      <c r="U107" s="21"/>
      <c r="V107" s="1031" t="s">
        <v>78</v>
      </c>
      <c r="W107" s="1032"/>
      <c r="X107" s="1036"/>
      <c r="Y107" s="1066"/>
      <c r="Z107" s="1031" t="s">
        <v>79</v>
      </c>
      <c r="AA107" s="1032"/>
      <c r="AB107" s="1033"/>
      <c r="AD107" s="43" t="s">
        <v>80</v>
      </c>
      <c r="AF107" s="19"/>
      <c r="AI107" s="1067" t="s">
        <v>695</v>
      </c>
      <c r="AJ107" s="1067"/>
      <c r="AK107" s="1067"/>
      <c r="AL107" s="1067"/>
      <c r="AM107" s="1067"/>
      <c r="AN107" s="1067"/>
      <c r="AO107" s="1067"/>
    </row>
    <row r="108" spans="1:50" ht="87" customHeight="1" thickBot="1">
      <c r="A108" s="40" t="s">
        <v>17</v>
      </c>
      <c r="B108" s="951" t="s">
        <v>81</v>
      </c>
      <c r="C108" s="382"/>
      <c r="D108" s="563" t="s">
        <v>54</v>
      </c>
      <c r="E108" s="950" t="s">
        <v>81</v>
      </c>
      <c r="F108" s="949" t="s">
        <v>82</v>
      </c>
      <c r="G108" s="19" t="s">
        <v>54</v>
      </c>
      <c r="H108" s="952" t="s">
        <v>81</v>
      </c>
      <c r="I108" s="953" t="s">
        <v>82</v>
      </c>
      <c r="J108" s="57" t="s">
        <v>54</v>
      </c>
      <c r="K108" s="954" t="s">
        <v>81</v>
      </c>
      <c r="L108" s="955" t="s">
        <v>82</v>
      </c>
      <c r="M108" s="592" t="s">
        <v>54</v>
      </c>
      <c r="N108" s="956" t="s">
        <v>81</v>
      </c>
      <c r="O108" s="955" t="s">
        <v>82</v>
      </c>
      <c r="P108" s="533" t="s">
        <v>54</v>
      </c>
      <c r="Q108" s="956" t="s">
        <v>81</v>
      </c>
      <c r="R108" s="949" t="s">
        <v>82</v>
      </c>
      <c r="S108" s="57" t="s">
        <v>54</v>
      </c>
      <c r="T108" s="1120" t="s">
        <v>77</v>
      </c>
      <c r="V108" s="957" t="s">
        <v>81</v>
      </c>
      <c r="W108" s="958" t="s">
        <v>82</v>
      </c>
      <c r="X108" s="632" t="s">
        <v>54</v>
      </c>
      <c r="Y108" s="56"/>
      <c r="Z108" s="37" t="s">
        <v>81</v>
      </c>
      <c r="AA108" s="959" t="s">
        <v>82</v>
      </c>
      <c r="AB108" s="80" t="s">
        <v>54</v>
      </c>
      <c r="AD108" s="40" t="s">
        <v>17</v>
      </c>
      <c r="AE108" s="960" t="s">
        <v>83</v>
      </c>
      <c r="AF108" s="961" t="s">
        <v>84</v>
      </c>
      <c r="AG108" s="23" t="s">
        <v>85</v>
      </c>
      <c r="AR108" s="28"/>
      <c r="AS108" s="28"/>
      <c r="AT108" s="28"/>
    </row>
    <row r="109" spans="1:50" ht="24.6" customHeight="1">
      <c r="A109" s="378" t="str">
        <f t="shared" ref="A109:A136" si="7">A7</f>
        <v>Eastern Florida State College</v>
      </c>
      <c r="B109" s="459">
        <v>915</v>
      </c>
      <c r="C109" s="1076"/>
      <c r="D109" s="945">
        <f t="shared" ref="D109:D136" si="8">B109+C109</f>
        <v>915</v>
      </c>
      <c r="E109" s="1049">
        <v>4409.036589992068</v>
      </c>
      <c r="F109" s="460">
        <v>221.0982515432631</v>
      </c>
      <c r="G109" s="393">
        <f t="shared" ref="G109:G136" si="9">E109+F109</f>
        <v>4630.1348415353314</v>
      </c>
      <c r="H109" s="1114">
        <v>1630.3516883116883</v>
      </c>
      <c r="I109" s="1115">
        <v>56.467994227994225</v>
      </c>
      <c r="J109" s="393">
        <f>H109+I109</f>
        <v>1686.8196825396826</v>
      </c>
      <c r="K109" s="461">
        <v>200.18078512396693</v>
      </c>
      <c r="L109" s="462">
        <v>29.819214876033058</v>
      </c>
      <c r="M109" s="54">
        <f t="shared" ref="M109:M136" si="10">K109+L109</f>
        <v>230</v>
      </c>
      <c r="N109" s="461">
        <v>0</v>
      </c>
      <c r="O109" s="462">
        <v>0</v>
      </c>
      <c r="P109" s="54">
        <f t="shared" ref="P109:P136" si="11">N109+O109</f>
        <v>0</v>
      </c>
      <c r="Q109" s="461">
        <v>313.48756635931829</v>
      </c>
      <c r="R109" s="463">
        <v>21.506007264599049</v>
      </c>
      <c r="S109" s="393">
        <f t="shared" ref="S109:S136" si="12">Q109+R109</f>
        <v>334.99357362391731</v>
      </c>
      <c r="T109" s="54">
        <f t="shared" ref="T109:T136" si="13">D109+G109+J109+M109+P109+S109</f>
        <v>7796.9480976989316</v>
      </c>
      <c r="V109" s="633">
        <f>X109-W109</f>
        <v>0</v>
      </c>
      <c r="W109" s="464">
        <v>0</v>
      </c>
      <c r="X109" s="465">
        <v>0</v>
      </c>
      <c r="Y109" s="79"/>
      <c r="Z109" s="398">
        <f>AB109-AA109</f>
        <v>0</v>
      </c>
      <c r="AA109" s="466">
        <v>0</v>
      </c>
      <c r="AB109" s="634">
        <f t="shared" ref="AB109:AB136" si="14">AG109</f>
        <v>0</v>
      </c>
      <c r="AD109" s="378" t="str">
        <f t="shared" ref="AD109:AD136" si="15">A109</f>
        <v>Eastern Florida State College</v>
      </c>
      <c r="AE109" s="467">
        <v>0</v>
      </c>
      <c r="AF109" s="467">
        <v>0</v>
      </c>
      <c r="AG109" s="400">
        <f t="shared" ref="AG109:AG136" si="16">AE109+AF109</f>
        <v>0</v>
      </c>
      <c r="AI109" s="1044" t="s">
        <v>86</v>
      </c>
      <c r="AJ109" s="1044"/>
      <c r="AK109" s="1044"/>
      <c r="AL109" s="1044"/>
      <c r="AM109" s="1044"/>
      <c r="AN109" s="1044"/>
      <c r="AO109" s="42">
        <f>X137+AB137</f>
        <v>3532</v>
      </c>
      <c r="AR109" s="28"/>
      <c r="AS109" s="28"/>
      <c r="AT109" s="28"/>
    </row>
    <row r="110" spans="1:50" ht="25.35" customHeight="1">
      <c r="A110" s="635" t="str">
        <f t="shared" si="7"/>
        <v>Broward College</v>
      </c>
      <c r="B110" s="609">
        <v>1082</v>
      </c>
      <c r="C110" s="615"/>
      <c r="D110" s="946">
        <f t="shared" si="8"/>
        <v>1082</v>
      </c>
      <c r="E110" s="1050">
        <v>10754.786556714595</v>
      </c>
      <c r="F110" s="617">
        <v>616.13231055978451</v>
      </c>
      <c r="G110" s="616">
        <f t="shared" si="9"/>
        <v>11370.918867274378</v>
      </c>
      <c r="H110" s="1116">
        <v>6176.8892795185529</v>
      </c>
      <c r="I110" s="1117">
        <v>351.75979857838098</v>
      </c>
      <c r="J110" s="616">
        <f t="shared" ref="J110:J136" si="17">H110+I110</f>
        <v>6528.6490780969343</v>
      </c>
      <c r="K110" s="636">
        <v>544.13924050632909</v>
      </c>
      <c r="L110" s="610">
        <v>78.860759493670869</v>
      </c>
      <c r="M110" s="637">
        <f t="shared" si="10"/>
        <v>623</v>
      </c>
      <c r="N110" s="636">
        <v>3.9082568807339451</v>
      </c>
      <c r="O110" s="610">
        <v>9.1743119266055037E-2</v>
      </c>
      <c r="P110" s="637">
        <f t="shared" si="11"/>
        <v>4</v>
      </c>
      <c r="Q110" s="636">
        <v>225.47382314122305</v>
      </c>
      <c r="R110" s="618">
        <v>3.5261768587769469</v>
      </c>
      <c r="S110" s="616">
        <f t="shared" si="12"/>
        <v>229</v>
      </c>
      <c r="T110" s="637">
        <f t="shared" si="13"/>
        <v>19837.567945371313</v>
      </c>
      <c r="V110" s="633">
        <f t="shared" ref="V110:V136" si="18">X110-W110</f>
        <v>0</v>
      </c>
      <c r="W110" s="618">
        <v>0</v>
      </c>
      <c r="X110" s="638">
        <v>0</v>
      </c>
      <c r="Y110" s="79"/>
      <c r="Z110" s="619">
        <f t="shared" ref="Z110:Z136" si="19">AB110-AA110</f>
        <v>1</v>
      </c>
      <c r="AA110" s="639">
        <v>30</v>
      </c>
      <c r="AB110" s="634">
        <f t="shared" si="14"/>
        <v>31</v>
      </c>
      <c r="AD110" s="383" t="str">
        <f t="shared" si="15"/>
        <v>Broward College</v>
      </c>
      <c r="AE110" s="640">
        <v>30</v>
      </c>
      <c r="AF110" s="640">
        <v>1</v>
      </c>
      <c r="AG110" s="616">
        <f t="shared" si="16"/>
        <v>31</v>
      </c>
      <c r="AI110" s="1044" t="s">
        <v>87</v>
      </c>
      <c r="AJ110" s="1044"/>
      <c r="AK110" s="1044"/>
      <c r="AL110" s="1044"/>
      <c r="AM110" s="1044"/>
      <c r="AN110" s="1044"/>
      <c r="AO110" s="468">
        <v>31528.837477508579</v>
      </c>
      <c r="AR110" s="157"/>
      <c r="AS110" s="157"/>
      <c r="AT110" s="157"/>
      <c r="AU110" s="157"/>
      <c r="AV110" s="157"/>
      <c r="AW110" s="157"/>
      <c r="AX110" s="157"/>
    </row>
    <row r="111" spans="1:50" ht="25.35" customHeight="1">
      <c r="A111" s="641" t="str">
        <f t="shared" si="7"/>
        <v>College of Central Florida</v>
      </c>
      <c r="B111" s="609">
        <v>271</v>
      </c>
      <c r="C111" s="615"/>
      <c r="D111" s="946">
        <f t="shared" si="8"/>
        <v>271</v>
      </c>
      <c r="E111" s="1050">
        <v>1950.0543591452492</v>
      </c>
      <c r="F111" s="617">
        <v>95.307077102511784</v>
      </c>
      <c r="G111" s="616">
        <f t="shared" si="9"/>
        <v>2045.361436247761</v>
      </c>
      <c r="H111" s="1116">
        <v>1130.6624683009297</v>
      </c>
      <c r="I111" s="1117">
        <v>49.621217244294172</v>
      </c>
      <c r="J111" s="616">
        <f t="shared" si="17"/>
        <v>1180.283685545224</v>
      </c>
      <c r="K111" s="636">
        <v>94.157007376185462</v>
      </c>
      <c r="L111" s="610">
        <v>20.842992623814538</v>
      </c>
      <c r="M111" s="637">
        <f t="shared" si="10"/>
        <v>115</v>
      </c>
      <c r="N111" s="636">
        <v>0</v>
      </c>
      <c r="O111" s="610">
        <v>0</v>
      </c>
      <c r="P111" s="637">
        <f t="shared" si="11"/>
        <v>0</v>
      </c>
      <c r="Q111" s="636">
        <v>117.88142292490119</v>
      </c>
      <c r="R111" s="618">
        <v>0.7083003952569169</v>
      </c>
      <c r="S111" s="616">
        <f t="shared" si="12"/>
        <v>118.5897233201581</v>
      </c>
      <c r="T111" s="637">
        <f t="shared" si="13"/>
        <v>3730.2348451131434</v>
      </c>
      <c r="V111" s="633">
        <f t="shared" si="18"/>
        <v>0</v>
      </c>
      <c r="W111" s="618">
        <v>0</v>
      </c>
      <c r="X111" s="638">
        <v>0</v>
      </c>
      <c r="Y111" s="79"/>
      <c r="Z111" s="619">
        <f t="shared" si="19"/>
        <v>6.3057851239669436</v>
      </c>
      <c r="AA111" s="639">
        <v>6.6942148760330564</v>
      </c>
      <c r="AB111" s="634">
        <f t="shared" si="14"/>
        <v>13</v>
      </c>
      <c r="AD111" s="641" t="str">
        <f t="shared" si="15"/>
        <v>College of Central Florida</v>
      </c>
      <c r="AE111" s="640">
        <v>10</v>
      </c>
      <c r="AF111" s="640">
        <v>3</v>
      </c>
      <c r="AG111" s="616">
        <f t="shared" si="16"/>
        <v>13</v>
      </c>
      <c r="AI111" s="1044" t="s">
        <v>88</v>
      </c>
      <c r="AJ111" s="1044"/>
      <c r="AK111" s="1044"/>
      <c r="AL111" s="1044"/>
      <c r="AM111" s="1044"/>
      <c r="AN111" s="1044"/>
      <c r="AO111" s="575">
        <f>3515-0</f>
        <v>3515</v>
      </c>
    </row>
    <row r="112" spans="1:50" ht="25.35" customHeight="1">
      <c r="A112" s="641" t="str">
        <f t="shared" si="7"/>
        <v>Chipola College</v>
      </c>
      <c r="B112" s="609">
        <v>139</v>
      </c>
      <c r="C112" s="615"/>
      <c r="D112" s="946">
        <f t="shared" si="8"/>
        <v>139</v>
      </c>
      <c r="E112" s="1050">
        <v>530.8765915768854</v>
      </c>
      <c r="F112" s="617">
        <v>41.880264446620963</v>
      </c>
      <c r="G112" s="616">
        <f t="shared" si="9"/>
        <v>572.75685602350632</v>
      </c>
      <c r="H112" s="1116">
        <v>162.48306010928962</v>
      </c>
      <c r="I112" s="1117">
        <v>5.027322404371585</v>
      </c>
      <c r="J112" s="616">
        <f t="shared" si="17"/>
        <v>167.5103825136612</v>
      </c>
      <c r="K112" s="636">
        <v>5.5555555555555562</v>
      </c>
      <c r="L112" s="610">
        <v>6.4444444444444438</v>
      </c>
      <c r="M112" s="637">
        <f t="shared" si="10"/>
        <v>12</v>
      </c>
      <c r="N112" s="636">
        <v>0</v>
      </c>
      <c r="O112" s="610">
        <v>0</v>
      </c>
      <c r="P112" s="637">
        <f t="shared" si="11"/>
        <v>0</v>
      </c>
      <c r="Q112" s="636">
        <v>168.70016034206307</v>
      </c>
      <c r="R112" s="618">
        <v>1.2442544094067345</v>
      </c>
      <c r="S112" s="616">
        <f t="shared" si="12"/>
        <v>169.94441475146979</v>
      </c>
      <c r="T112" s="637">
        <f t="shared" si="13"/>
        <v>1061.2116532886373</v>
      </c>
      <c r="V112" s="633">
        <f t="shared" si="18"/>
        <v>0</v>
      </c>
      <c r="W112" s="618">
        <v>0</v>
      </c>
      <c r="X112" s="638">
        <v>0</v>
      </c>
      <c r="Y112" s="79"/>
      <c r="Z112" s="619">
        <f t="shared" si="19"/>
        <v>0</v>
      </c>
      <c r="AA112" s="639">
        <v>0</v>
      </c>
      <c r="AB112" s="634">
        <f t="shared" si="14"/>
        <v>0</v>
      </c>
      <c r="AD112" s="641" t="str">
        <f t="shared" si="15"/>
        <v>Chipola College</v>
      </c>
      <c r="AE112" s="640">
        <v>0</v>
      </c>
      <c r="AF112" s="640">
        <v>0</v>
      </c>
      <c r="AG112" s="616">
        <f t="shared" si="16"/>
        <v>0</v>
      </c>
      <c r="AI112" s="28" t="s">
        <v>54</v>
      </c>
      <c r="AJ112" s="28"/>
      <c r="AK112" s="28"/>
      <c r="AL112" s="28"/>
      <c r="AM112" s="28"/>
      <c r="AN112" s="28"/>
      <c r="AO112" s="41">
        <f>SUM(AO109:AO111)</f>
        <v>38575.837477508583</v>
      </c>
      <c r="AR112" s="157"/>
      <c r="AS112" s="157"/>
      <c r="AT112" s="157"/>
      <c r="AU112" s="157"/>
      <c r="AV112" s="157"/>
      <c r="AW112" s="157"/>
      <c r="AX112" s="157"/>
    </row>
    <row r="113" spans="1:45" ht="25.35" customHeight="1">
      <c r="A113" s="641" t="str">
        <f t="shared" si="7"/>
        <v>Daytona State College</v>
      </c>
      <c r="B113" s="609">
        <v>891</v>
      </c>
      <c r="C113" s="615"/>
      <c r="D113" s="946">
        <f t="shared" si="8"/>
        <v>891</v>
      </c>
      <c r="E113" s="1050">
        <v>3949.4169250375667</v>
      </c>
      <c r="F113" s="617">
        <v>253.44011184448291</v>
      </c>
      <c r="G113" s="616">
        <f t="shared" si="9"/>
        <v>4202.8570368820492</v>
      </c>
      <c r="H113" s="1116">
        <v>1969.277802262377</v>
      </c>
      <c r="I113" s="1117">
        <v>93.272317712159051</v>
      </c>
      <c r="J113" s="616">
        <f t="shared" si="17"/>
        <v>2062.5501199745358</v>
      </c>
      <c r="K113" s="636">
        <v>123.56525096525097</v>
      </c>
      <c r="L113" s="610">
        <v>19.434749034749036</v>
      </c>
      <c r="M113" s="637">
        <f t="shared" si="10"/>
        <v>143</v>
      </c>
      <c r="N113" s="636">
        <v>1</v>
      </c>
      <c r="O113" s="610">
        <v>0</v>
      </c>
      <c r="P113" s="637">
        <f t="shared" si="11"/>
        <v>1</v>
      </c>
      <c r="Q113" s="636">
        <v>652.31127626125487</v>
      </c>
      <c r="R113" s="618">
        <v>26.036587108760898</v>
      </c>
      <c r="S113" s="616">
        <f t="shared" si="12"/>
        <v>678.34786337001583</v>
      </c>
      <c r="T113" s="637">
        <f t="shared" si="13"/>
        <v>7978.7550202266011</v>
      </c>
      <c r="V113" s="633">
        <f t="shared" si="18"/>
        <v>1</v>
      </c>
      <c r="W113" s="618">
        <v>0</v>
      </c>
      <c r="X113" s="638">
        <v>1</v>
      </c>
      <c r="Y113" s="79"/>
      <c r="Z113" s="619">
        <f t="shared" si="19"/>
        <v>174</v>
      </c>
      <c r="AA113" s="639">
        <v>0</v>
      </c>
      <c r="AB113" s="634">
        <f t="shared" si="14"/>
        <v>174</v>
      </c>
      <c r="AD113" s="641" t="str">
        <f t="shared" si="15"/>
        <v>Daytona State College</v>
      </c>
      <c r="AE113" s="640">
        <v>147</v>
      </c>
      <c r="AF113" s="640">
        <v>27</v>
      </c>
      <c r="AG113" s="616">
        <f t="shared" si="16"/>
        <v>174</v>
      </c>
      <c r="AS113" s="28"/>
    </row>
    <row r="114" spans="1:45" ht="25.35" customHeight="1">
      <c r="A114" s="641" t="str">
        <f t="shared" si="7"/>
        <v>Florida SouthWestern State College</v>
      </c>
      <c r="B114" s="609">
        <v>531</v>
      </c>
      <c r="C114" s="615"/>
      <c r="D114" s="946">
        <f t="shared" si="8"/>
        <v>531</v>
      </c>
      <c r="E114" s="1050">
        <v>6246.663270894951</v>
      </c>
      <c r="F114" s="617">
        <v>316.57735421915504</v>
      </c>
      <c r="G114" s="616">
        <f t="shared" si="9"/>
        <v>6563.2406251141056</v>
      </c>
      <c r="H114" s="1116">
        <v>265.25056947608203</v>
      </c>
      <c r="I114" s="1117">
        <v>6.6970387243735763</v>
      </c>
      <c r="J114" s="616">
        <f t="shared" si="17"/>
        <v>271.94760820045559</v>
      </c>
      <c r="K114" s="636">
        <v>110.59583333333333</v>
      </c>
      <c r="L114" s="610">
        <v>16.404166666666669</v>
      </c>
      <c r="M114" s="637">
        <f t="shared" si="10"/>
        <v>127</v>
      </c>
      <c r="N114" s="636">
        <v>0</v>
      </c>
      <c r="O114" s="610">
        <v>0</v>
      </c>
      <c r="P114" s="637">
        <f t="shared" si="11"/>
        <v>0</v>
      </c>
      <c r="Q114" s="636">
        <v>37.010204081632651</v>
      </c>
      <c r="R114" s="618">
        <v>1.9897959183673468</v>
      </c>
      <c r="S114" s="616">
        <f t="shared" si="12"/>
        <v>39</v>
      </c>
      <c r="T114" s="637">
        <f t="shared" si="13"/>
        <v>7532.1882333145613</v>
      </c>
      <c r="V114" s="633">
        <f t="shared" si="18"/>
        <v>0</v>
      </c>
      <c r="W114" s="618">
        <v>0</v>
      </c>
      <c r="X114" s="638">
        <v>0</v>
      </c>
      <c r="Y114" s="79"/>
      <c r="Z114" s="619">
        <f t="shared" si="19"/>
        <v>0</v>
      </c>
      <c r="AA114" s="639">
        <v>0</v>
      </c>
      <c r="AB114" s="634">
        <f t="shared" si="14"/>
        <v>0</v>
      </c>
      <c r="AD114" s="641" t="str">
        <f t="shared" si="15"/>
        <v>Florida SouthWestern State College</v>
      </c>
      <c r="AE114" s="640">
        <v>0</v>
      </c>
      <c r="AF114" s="640">
        <v>0</v>
      </c>
      <c r="AG114" s="616">
        <f t="shared" si="16"/>
        <v>0</v>
      </c>
      <c r="AI114" s="28" t="s">
        <v>752</v>
      </c>
      <c r="AO114" s="468">
        <v>285270</v>
      </c>
      <c r="AR114" s="28"/>
      <c r="AS114" s="28"/>
    </row>
    <row r="115" spans="1:45" ht="25.35" customHeight="1">
      <c r="A115" s="641" t="str">
        <f t="shared" si="7"/>
        <v>Florida State College at Jacksonville</v>
      </c>
      <c r="B115" s="609">
        <v>1557</v>
      </c>
      <c r="C115" s="615"/>
      <c r="D115" s="946">
        <f t="shared" si="8"/>
        <v>1557</v>
      </c>
      <c r="E115" s="1050">
        <v>6978.5329556305305</v>
      </c>
      <c r="F115" s="617">
        <v>244.79709720542363</v>
      </c>
      <c r="G115" s="616">
        <f t="shared" si="9"/>
        <v>7223.3300528359541</v>
      </c>
      <c r="H115" s="1116">
        <v>3115.5123649380935</v>
      </c>
      <c r="I115" s="1117">
        <v>68.539984892771514</v>
      </c>
      <c r="J115" s="616">
        <f t="shared" si="17"/>
        <v>3184.0523498308648</v>
      </c>
      <c r="K115" s="636">
        <v>593.4707661290322</v>
      </c>
      <c r="L115" s="610">
        <v>37.529233870967744</v>
      </c>
      <c r="M115" s="637">
        <f t="shared" si="10"/>
        <v>631</v>
      </c>
      <c r="N115" s="636">
        <v>5.3604651162790695</v>
      </c>
      <c r="O115" s="610">
        <v>0.63953488372093026</v>
      </c>
      <c r="P115" s="637">
        <f t="shared" si="11"/>
        <v>6</v>
      </c>
      <c r="Q115" s="636">
        <v>626.52662164284595</v>
      </c>
      <c r="R115" s="618">
        <v>30.24611276896497</v>
      </c>
      <c r="S115" s="616">
        <f t="shared" si="12"/>
        <v>656.77273441181092</v>
      </c>
      <c r="T115" s="637">
        <f t="shared" si="13"/>
        <v>13258.155137078629</v>
      </c>
      <c r="V115" s="633">
        <f t="shared" si="18"/>
        <v>4</v>
      </c>
      <c r="W115" s="618">
        <v>0</v>
      </c>
      <c r="X115" s="638">
        <v>4</v>
      </c>
      <c r="Y115" s="79"/>
      <c r="Z115" s="619">
        <f t="shared" si="19"/>
        <v>358.85693515556846</v>
      </c>
      <c r="AA115" s="639">
        <v>12.143064844431525</v>
      </c>
      <c r="AB115" s="634">
        <f t="shared" si="14"/>
        <v>371</v>
      </c>
      <c r="AD115" s="641" t="str">
        <f t="shared" si="15"/>
        <v>Florida State College at Jacksonville</v>
      </c>
      <c r="AE115" s="640">
        <v>360</v>
      </c>
      <c r="AF115" s="640">
        <v>11</v>
      </c>
      <c r="AG115" s="616">
        <f t="shared" si="16"/>
        <v>371</v>
      </c>
      <c r="AO115" s="576">
        <f>AO112</f>
        <v>38575.837477508583</v>
      </c>
      <c r="AQ115" s="28"/>
      <c r="AR115" s="28"/>
      <c r="AS115" s="28"/>
    </row>
    <row r="116" spans="1:45" ht="25.35" customHeight="1">
      <c r="A116" s="641" t="str">
        <f t="shared" si="7"/>
        <v>College of the Florida Keys</v>
      </c>
      <c r="B116" s="609">
        <v>65</v>
      </c>
      <c r="C116" s="615"/>
      <c r="D116" s="946">
        <f t="shared" si="8"/>
        <v>65</v>
      </c>
      <c r="E116" s="1050">
        <v>350.46916076845298</v>
      </c>
      <c r="F116" s="617">
        <v>38.554095045500503</v>
      </c>
      <c r="G116" s="616">
        <f t="shared" si="9"/>
        <v>389.02325581395348</v>
      </c>
      <c r="H116" s="1116">
        <v>207.54407616361073</v>
      </c>
      <c r="I116" s="1117">
        <v>35.136459802538788</v>
      </c>
      <c r="J116" s="616">
        <f t="shared" si="17"/>
        <v>242.68053596614951</v>
      </c>
      <c r="K116" s="636">
        <v>9.4499999999999993</v>
      </c>
      <c r="L116" s="610">
        <v>2.5499999999999998</v>
      </c>
      <c r="M116" s="637">
        <f t="shared" si="10"/>
        <v>12</v>
      </c>
      <c r="N116" s="636">
        <v>0</v>
      </c>
      <c r="O116" s="610">
        <v>0</v>
      </c>
      <c r="P116" s="637">
        <f t="shared" si="11"/>
        <v>0</v>
      </c>
      <c r="Q116" s="636">
        <v>42</v>
      </c>
      <c r="R116" s="618">
        <v>0</v>
      </c>
      <c r="S116" s="616">
        <f t="shared" si="12"/>
        <v>42</v>
      </c>
      <c r="T116" s="637">
        <f t="shared" si="13"/>
        <v>750.70379178010296</v>
      </c>
      <c r="V116" s="633">
        <f t="shared" si="18"/>
        <v>0</v>
      </c>
      <c r="W116" s="618">
        <v>0</v>
      </c>
      <c r="X116" s="638">
        <v>0</v>
      </c>
      <c r="Y116" s="79"/>
      <c r="Z116" s="619">
        <f t="shared" si="19"/>
        <v>0</v>
      </c>
      <c r="AA116" s="639">
        <v>0</v>
      </c>
      <c r="AB116" s="634">
        <f t="shared" si="14"/>
        <v>0</v>
      </c>
      <c r="AD116" s="641" t="str">
        <f t="shared" si="15"/>
        <v>College of the Florida Keys</v>
      </c>
      <c r="AE116" s="640">
        <v>0</v>
      </c>
      <c r="AF116" s="640">
        <v>0</v>
      </c>
      <c r="AG116" s="616">
        <f t="shared" si="16"/>
        <v>0</v>
      </c>
      <c r="AI116" s="1043" t="s">
        <v>89</v>
      </c>
      <c r="AJ116" s="1043"/>
      <c r="AK116" s="1043"/>
      <c r="AL116" s="1043"/>
      <c r="AM116" s="1043"/>
      <c r="AN116" s="1043"/>
      <c r="AO116" s="385">
        <f>AO114-AO115</f>
        <v>246694.16252249142</v>
      </c>
    </row>
    <row r="117" spans="1:45" ht="25.35" customHeight="1">
      <c r="A117" s="641" t="str">
        <f t="shared" si="7"/>
        <v>Gulf Coast State College</v>
      </c>
      <c r="B117" s="609">
        <v>117</v>
      </c>
      <c r="C117" s="615"/>
      <c r="D117" s="946">
        <f t="shared" si="8"/>
        <v>117</v>
      </c>
      <c r="E117" s="1050">
        <v>1861.715429118274</v>
      </c>
      <c r="F117" s="617">
        <v>124.25133759624168</v>
      </c>
      <c r="G117" s="616">
        <f t="shared" si="9"/>
        <v>1985.9667667145156</v>
      </c>
      <c r="H117" s="1116">
        <v>507.69817767653751</v>
      </c>
      <c r="I117" s="1117">
        <v>33.260820045558091</v>
      </c>
      <c r="J117" s="616">
        <f t="shared" si="17"/>
        <v>540.95899772209555</v>
      </c>
      <c r="K117" s="636">
        <v>31.675126903553299</v>
      </c>
      <c r="L117" s="610">
        <v>7.3248730964467006</v>
      </c>
      <c r="M117" s="637">
        <f t="shared" si="10"/>
        <v>39</v>
      </c>
      <c r="N117" s="636">
        <v>0</v>
      </c>
      <c r="O117" s="610">
        <v>0</v>
      </c>
      <c r="P117" s="637">
        <f t="shared" si="11"/>
        <v>0</v>
      </c>
      <c r="Q117" s="636">
        <v>159.68537939543492</v>
      </c>
      <c r="R117" s="618">
        <v>7.314620604565083</v>
      </c>
      <c r="S117" s="616">
        <f t="shared" si="12"/>
        <v>167</v>
      </c>
      <c r="T117" s="637">
        <f t="shared" si="13"/>
        <v>2849.9257644366116</v>
      </c>
      <c r="V117" s="633">
        <f t="shared" si="18"/>
        <v>0</v>
      </c>
      <c r="W117" s="618">
        <v>0</v>
      </c>
      <c r="X117" s="638">
        <v>0</v>
      </c>
      <c r="Y117" s="79"/>
      <c r="Z117" s="619">
        <f t="shared" si="19"/>
        <v>0</v>
      </c>
      <c r="AA117" s="639">
        <v>0</v>
      </c>
      <c r="AB117" s="634">
        <f t="shared" si="14"/>
        <v>0</v>
      </c>
      <c r="AD117" s="641" t="str">
        <f t="shared" si="15"/>
        <v>Gulf Coast State College</v>
      </c>
      <c r="AE117" s="640">
        <v>0</v>
      </c>
      <c r="AF117" s="640">
        <v>0</v>
      </c>
      <c r="AG117" s="616">
        <f t="shared" si="16"/>
        <v>0</v>
      </c>
    </row>
    <row r="118" spans="1:45" ht="25.35" customHeight="1">
      <c r="A118" s="641" t="str">
        <f t="shared" si="7"/>
        <v>Hillsborough Community College</v>
      </c>
      <c r="B118" s="609">
        <v>80</v>
      </c>
      <c r="C118" s="615"/>
      <c r="D118" s="946">
        <f t="shared" si="8"/>
        <v>80</v>
      </c>
      <c r="E118" s="1050">
        <v>8639.7149535510944</v>
      </c>
      <c r="F118" s="617">
        <v>533.80634444967677</v>
      </c>
      <c r="G118" s="616">
        <f t="shared" si="9"/>
        <v>9173.5212980007709</v>
      </c>
      <c r="H118" s="1116">
        <v>4542.0368683668621</v>
      </c>
      <c r="I118" s="1117">
        <v>252.86729763979093</v>
      </c>
      <c r="J118" s="616">
        <f t="shared" si="17"/>
        <v>4794.9041660066532</v>
      </c>
      <c r="K118" s="636">
        <v>664.37132216014902</v>
      </c>
      <c r="L118" s="610">
        <v>106.62867783985102</v>
      </c>
      <c r="M118" s="637">
        <f t="shared" si="10"/>
        <v>771</v>
      </c>
      <c r="N118" s="636">
        <v>16</v>
      </c>
      <c r="O118" s="610">
        <v>0</v>
      </c>
      <c r="P118" s="637">
        <f t="shared" si="11"/>
        <v>16</v>
      </c>
      <c r="Q118" s="636">
        <v>283.39088397790056</v>
      </c>
      <c r="R118" s="618">
        <v>6.6091160220994469</v>
      </c>
      <c r="S118" s="616">
        <f t="shared" si="12"/>
        <v>290</v>
      </c>
      <c r="T118" s="637">
        <f t="shared" si="13"/>
        <v>15125.425464007425</v>
      </c>
      <c r="V118" s="633">
        <f t="shared" si="18"/>
        <v>0</v>
      </c>
      <c r="W118" s="618">
        <v>0</v>
      </c>
      <c r="X118" s="638">
        <v>0</v>
      </c>
      <c r="Y118" s="79"/>
      <c r="Z118" s="619">
        <f t="shared" si="19"/>
        <v>0</v>
      </c>
      <c r="AA118" s="639">
        <v>0</v>
      </c>
      <c r="AB118" s="634">
        <f t="shared" si="14"/>
        <v>0</v>
      </c>
      <c r="AD118" s="641" t="str">
        <f t="shared" si="15"/>
        <v>Hillsborough Community College</v>
      </c>
      <c r="AE118" s="640">
        <v>0</v>
      </c>
      <c r="AF118" s="640">
        <v>0</v>
      </c>
      <c r="AG118" s="616">
        <f t="shared" si="16"/>
        <v>0</v>
      </c>
      <c r="AI118" s="1043" t="s">
        <v>753</v>
      </c>
      <c r="AJ118" s="1043"/>
      <c r="AK118" s="1043"/>
      <c r="AL118" s="1043"/>
      <c r="AM118" s="1043"/>
      <c r="AN118" s="1043"/>
      <c r="AO118" s="386">
        <f>AO112+AO116</f>
        <v>285270</v>
      </c>
    </row>
    <row r="119" spans="1:45" ht="25.35" customHeight="1">
      <c r="A119" s="641" t="str">
        <f t="shared" si="7"/>
        <v>Indian River State College</v>
      </c>
      <c r="B119" s="609">
        <v>1215</v>
      </c>
      <c r="C119" s="615"/>
      <c r="D119" s="946">
        <f t="shared" si="8"/>
        <v>1215</v>
      </c>
      <c r="E119" s="1050">
        <v>4660.3299105664128</v>
      </c>
      <c r="F119" s="617">
        <v>157.9372744547689</v>
      </c>
      <c r="G119" s="616">
        <f t="shared" si="9"/>
        <v>4818.2671850211818</v>
      </c>
      <c r="H119" s="1116">
        <v>2124.51858988395</v>
      </c>
      <c r="I119" s="1117">
        <v>47.263586599518284</v>
      </c>
      <c r="J119" s="616">
        <f t="shared" si="17"/>
        <v>2171.7821764834684</v>
      </c>
      <c r="K119" s="636">
        <v>43.864285714285714</v>
      </c>
      <c r="L119" s="610">
        <v>2.1357142857142857</v>
      </c>
      <c r="M119" s="637">
        <f t="shared" si="10"/>
        <v>46</v>
      </c>
      <c r="N119" s="636">
        <v>1</v>
      </c>
      <c r="O119" s="610">
        <v>0</v>
      </c>
      <c r="P119" s="637">
        <f t="shared" si="11"/>
        <v>1</v>
      </c>
      <c r="Q119" s="636">
        <v>589.13895216400908</v>
      </c>
      <c r="R119" s="618">
        <v>18.14123006833713</v>
      </c>
      <c r="S119" s="616">
        <f t="shared" si="12"/>
        <v>607.28018223234619</v>
      </c>
      <c r="T119" s="637">
        <f t="shared" si="13"/>
        <v>8859.3295437369961</v>
      </c>
      <c r="V119" s="633">
        <f t="shared" si="18"/>
        <v>0</v>
      </c>
      <c r="W119" s="618">
        <v>0</v>
      </c>
      <c r="X119" s="638">
        <v>0</v>
      </c>
      <c r="Y119" s="79"/>
      <c r="Z119" s="619">
        <f t="shared" si="19"/>
        <v>568</v>
      </c>
      <c r="AA119" s="639">
        <v>0</v>
      </c>
      <c r="AB119" s="634">
        <f t="shared" si="14"/>
        <v>568</v>
      </c>
      <c r="AD119" s="641" t="str">
        <f t="shared" si="15"/>
        <v>Indian River State College</v>
      </c>
      <c r="AE119" s="640">
        <v>554</v>
      </c>
      <c r="AF119" s="640">
        <v>14</v>
      </c>
      <c r="AG119" s="616">
        <f t="shared" si="16"/>
        <v>568</v>
      </c>
    </row>
    <row r="120" spans="1:45" ht="25.35" customHeight="1">
      <c r="A120" s="641" t="str">
        <f t="shared" si="7"/>
        <v>Florida Gateway College</v>
      </c>
      <c r="B120" s="609">
        <v>117</v>
      </c>
      <c r="C120" s="615"/>
      <c r="D120" s="946">
        <f t="shared" si="8"/>
        <v>117</v>
      </c>
      <c r="E120" s="1050">
        <v>915.82362999755719</v>
      </c>
      <c r="F120" s="617">
        <v>18.145102190375379</v>
      </c>
      <c r="G120" s="616">
        <f t="shared" si="9"/>
        <v>933.96873218793257</v>
      </c>
      <c r="H120" s="1116">
        <v>364.09095831077423</v>
      </c>
      <c r="I120" s="1117">
        <v>6.6854358419057931</v>
      </c>
      <c r="J120" s="616">
        <f t="shared" si="17"/>
        <v>370.77639415268004</v>
      </c>
      <c r="K120" s="636">
        <v>36.901734104046241</v>
      </c>
      <c r="L120" s="610">
        <v>1.0982658959537572</v>
      </c>
      <c r="M120" s="637">
        <f t="shared" si="10"/>
        <v>38</v>
      </c>
      <c r="N120" s="636">
        <v>3</v>
      </c>
      <c r="O120" s="610">
        <v>0</v>
      </c>
      <c r="P120" s="637">
        <f t="shared" si="11"/>
        <v>3</v>
      </c>
      <c r="Q120" s="636">
        <v>291.98661500528351</v>
      </c>
      <c r="R120" s="618">
        <v>1.8703768932722791</v>
      </c>
      <c r="S120" s="616">
        <f t="shared" si="12"/>
        <v>293.8569918985558</v>
      </c>
      <c r="T120" s="637">
        <f t="shared" si="13"/>
        <v>1756.6021182391685</v>
      </c>
      <c r="V120" s="633">
        <f t="shared" si="18"/>
        <v>0</v>
      </c>
      <c r="W120" s="618">
        <v>0</v>
      </c>
      <c r="X120" s="638">
        <v>0</v>
      </c>
      <c r="Y120" s="79"/>
      <c r="Z120" s="619">
        <f t="shared" si="19"/>
        <v>2</v>
      </c>
      <c r="AA120" s="639">
        <v>0</v>
      </c>
      <c r="AB120" s="634">
        <f t="shared" si="14"/>
        <v>2</v>
      </c>
      <c r="AD120" s="641" t="str">
        <f t="shared" si="15"/>
        <v>Florida Gateway College</v>
      </c>
      <c r="AE120" s="640">
        <v>1</v>
      </c>
      <c r="AF120" s="640">
        <v>1</v>
      </c>
      <c r="AG120" s="616">
        <f t="shared" si="16"/>
        <v>2</v>
      </c>
    </row>
    <row r="121" spans="1:45" ht="25.35" customHeight="1">
      <c r="A121" s="641" t="str">
        <f t="shared" si="7"/>
        <v>Lake-Sumter State College</v>
      </c>
      <c r="B121" s="609">
        <v>150</v>
      </c>
      <c r="C121" s="615"/>
      <c r="D121" s="946">
        <f t="shared" si="8"/>
        <v>150</v>
      </c>
      <c r="E121" s="1050">
        <v>1830.1096644350432</v>
      </c>
      <c r="F121" s="617">
        <v>37.919743705590008</v>
      </c>
      <c r="G121" s="616">
        <f t="shared" si="9"/>
        <v>1868.0294081406332</v>
      </c>
      <c r="H121" s="1116">
        <v>499.36773102135754</v>
      </c>
      <c r="I121" s="1117">
        <v>7.5935715796151406</v>
      </c>
      <c r="J121" s="616">
        <f t="shared" si="17"/>
        <v>506.96130260097266</v>
      </c>
      <c r="K121" s="636">
        <v>69.432989690721655</v>
      </c>
      <c r="L121" s="610">
        <v>5.5670103092783503</v>
      </c>
      <c r="M121" s="637">
        <f t="shared" si="10"/>
        <v>75</v>
      </c>
      <c r="N121" s="636">
        <v>0</v>
      </c>
      <c r="O121" s="610">
        <v>0</v>
      </c>
      <c r="P121" s="637">
        <f t="shared" si="11"/>
        <v>0</v>
      </c>
      <c r="Q121" s="636">
        <v>0</v>
      </c>
      <c r="R121" s="618">
        <v>0</v>
      </c>
      <c r="S121" s="616">
        <f t="shared" si="12"/>
        <v>0</v>
      </c>
      <c r="T121" s="637">
        <f t="shared" si="13"/>
        <v>2599.9907107416057</v>
      </c>
      <c r="V121" s="633">
        <f t="shared" si="18"/>
        <v>0</v>
      </c>
      <c r="W121" s="618">
        <v>0</v>
      </c>
      <c r="X121" s="638">
        <v>0</v>
      </c>
      <c r="Y121" s="79"/>
      <c r="Z121" s="619">
        <f t="shared" si="19"/>
        <v>0</v>
      </c>
      <c r="AA121" s="639">
        <v>0</v>
      </c>
      <c r="AB121" s="634">
        <f t="shared" si="14"/>
        <v>0</v>
      </c>
      <c r="AD121" s="641" t="str">
        <f t="shared" si="15"/>
        <v>Lake-Sumter State College</v>
      </c>
      <c r="AE121" s="640">
        <v>0</v>
      </c>
      <c r="AF121" s="640">
        <v>0</v>
      </c>
      <c r="AG121" s="616">
        <f t="shared" si="16"/>
        <v>0</v>
      </c>
    </row>
    <row r="122" spans="1:45" ht="25.35" customHeight="1">
      <c r="A122" s="641" t="str">
        <f t="shared" si="7"/>
        <v>State College of Florida, Manatee-Sarasota</v>
      </c>
      <c r="B122" s="609">
        <v>466</v>
      </c>
      <c r="C122" s="615"/>
      <c r="D122" s="946">
        <f t="shared" si="8"/>
        <v>466</v>
      </c>
      <c r="E122" s="1050">
        <v>3934.7164576870982</v>
      </c>
      <c r="F122" s="617">
        <v>212.71462274454976</v>
      </c>
      <c r="G122" s="616">
        <f t="shared" si="9"/>
        <v>4147.4310804316483</v>
      </c>
      <c r="H122" s="1116">
        <v>622.55562848703642</v>
      </c>
      <c r="I122" s="1117">
        <v>30.371184771906794</v>
      </c>
      <c r="J122" s="616">
        <f t="shared" si="17"/>
        <v>652.92681325894318</v>
      </c>
      <c r="K122" s="636">
        <v>118.04559848005067</v>
      </c>
      <c r="L122" s="610">
        <v>15.954401519949336</v>
      </c>
      <c r="M122" s="637">
        <f t="shared" si="10"/>
        <v>134</v>
      </c>
      <c r="N122" s="636">
        <v>0</v>
      </c>
      <c r="O122" s="610">
        <v>0</v>
      </c>
      <c r="P122" s="637">
        <f t="shared" si="11"/>
        <v>0</v>
      </c>
      <c r="Q122" s="636">
        <v>0</v>
      </c>
      <c r="R122" s="618">
        <v>0</v>
      </c>
      <c r="S122" s="616">
        <f t="shared" si="12"/>
        <v>0</v>
      </c>
      <c r="T122" s="637">
        <f t="shared" si="13"/>
        <v>5400.3578936905915</v>
      </c>
      <c r="V122" s="633">
        <f t="shared" si="18"/>
        <v>0</v>
      </c>
      <c r="W122" s="618">
        <v>0</v>
      </c>
      <c r="X122" s="638">
        <v>0</v>
      </c>
      <c r="Y122" s="79"/>
      <c r="Z122" s="619">
        <f t="shared" si="19"/>
        <v>0</v>
      </c>
      <c r="AA122" s="639">
        <v>0</v>
      </c>
      <c r="AB122" s="634">
        <f t="shared" si="14"/>
        <v>0</v>
      </c>
      <c r="AD122" s="641" t="str">
        <f t="shared" si="15"/>
        <v>State College of Florida, Manatee-Sarasota</v>
      </c>
      <c r="AE122" s="640">
        <v>0</v>
      </c>
      <c r="AF122" s="640">
        <v>0</v>
      </c>
      <c r="AG122" s="616">
        <f t="shared" si="16"/>
        <v>0</v>
      </c>
    </row>
    <row r="123" spans="1:45" ht="25.35" customHeight="1">
      <c r="A123" s="641" t="str">
        <f t="shared" si="7"/>
        <v>Miami Dade College</v>
      </c>
      <c r="B123" s="609">
        <v>2438</v>
      </c>
      <c r="C123" s="615"/>
      <c r="D123" s="946">
        <f t="shared" si="8"/>
        <v>2438</v>
      </c>
      <c r="E123" s="1050">
        <v>28519.305599670413</v>
      </c>
      <c r="F123" s="617">
        <v>1484.6336724455282</v>
      </c>
      <c r="G123" s="616">
        <f t="shared" si="9"/>
        <v>30003.939272115942</v>
      </c>
      <c r="H123" s="1116">
        <v>4245.8402679830742</v>
      </c>
      <c r="I123" s="1117">
        <v>202.42729196050777</v>
      </c>
      <c r="J123" s="616">
        <f t="shared" si="17"/>
        <v>4448.2675599435825</v>
      </c>
      <c r="K123" s="636">
        <v>1180.5966860414678</v>
      </c>
      <c r="L123" s="610">
        <v>106.40331395853212</v>
      </c>
      <c r="M123" s="637">
        <f t="shared" si="10"/>
        <v>1287</v>
      </c>
      <c r="N123" s="636">
        <v>7.7931034482758621</v>
      </c>
      <c r="O123" s="610">
        <v>0.20689655172413796</v>
      </c>
      <c r="P123" s="637">
        <f t="shared" si="11"/>
        <v>8</v>
      </c>
      <c r="Q123" s="636">
        <v>973.35855717574827</v>
      </c>
      <c r="R123" s="618">
        <v>47.641442824251719</v>
      </c>
      <c r="S123" s="616">
        <f t="shared" si="12"/>
        <v>1021</v>
      </c>
      <c r="T123" s="637">
        <f t="shared" si="13"/>
        <v>39206.206832059528</v>
      </c>
      <c r="V123" s="633">
        <f t="shared" si="18"/>
        <v>0.65625</v>
      </c>
      <c r="W123" s="618">
        <v>2.34375</v>
      </c>
      <c r="X123" s="638">
        <v>3</v>
      </c>
      <c r="Y123" s="79"/>
      <c r="Z123" s="619">
        <f t="shared" si="19"/>
        <v>11.950877494838096</v>
      </c>
      <c r="AA123" s="639">
        <v>1459.0491225051619</v>
      </c>
      <c r="AB123" s="634">
        <f t="shared" si="14"/>
        <v>1471</v>
      </c>
      <c r="AD123" s="641" t="str">
        <f t="shared" si="15"/>
        <v>Miami Dade College</v>
      </c>
      <c r="AE123" s="640">
        <v>1467</v>
      </c>
      <c r="AF123" s="640">
        <v>4</v>
      </c>
      <c r="AG123" s="616">
        <f t="shared" si="16"/>
        <v>1471</v>
      </c>
    </row>
    <row r="124" spans="1:45" ht="25.35" customHeight="1">
      <c r="A124" s="641" t="str">
        <f t="shared" si="7"/>
        <v>North Florida College</v>
      </c>
      <c r="B124" s="609">
        <v>30</v>
      </c>
      <c r="C124" s="615"/>
      <c r="D124" s="946">
        <f t="shared" si="8"/>
        <v>30</v>
      </c>
      <c r="E124" s="1050">
        <v>425.69584283459039</v>
      </c>
      <c r="F124" s="617">
        <v>17.30187686370812</v>
      </c>
      <c r="G124" s="616">
        <f t="shared" si="9"/>
        <v>442.99771969829851</v>
      </c>
      <c r="H124" s="1116">
        <v>85.788276465441825</v>
      </c>
      <c r="I124" s="1117">
        <v>11.624671916010501</v>
      </c>
      <c r="J124" s="616">
        <f t="shared" si="17"/>
        <v>97.412948381452324</v>
      </c>
      <c r="K124" s="636">
        <v>9.7468354430379751</v>
      </c>
      <c r="L124" s="610">
        <v>1.2531645569620253</v>
      </c>
      <c r="M124" s="637">
        <f t="shared" si="10"/>
        <v>11</v>
      </c>
      <c r="N124" s="636">
        <v>0</v>
      </c>
      <c r="O124" s="610">
        <v>0</v>
      </c>
      <c r="P124" s="637">
        <f t="shared" si="11"/>
        <v>0</v>
      </c>
      <c r="Q124" s="636">
        <v>43.551587301587304</v>
      </c>
      <c r="R124" s="618">
        <v>3.9682539682539679</v>
      </c>
      <c r="S124" s="616">
        <f t="shared" si="12"/>
        <v>47.519841269841272</v>
      </c>
      <c r="T124" s="637">
        <f t="shared" si="13"/>
        <v>628.93050934959217</v>
      </c>
      <c r="V124" s="633">
        <f t="shared" si="18"/>
        <v>0</v>
      </c>
      <c r="W124" s="618">
        <v>0</v>
      </c>
      <c r="X124" s="638">
        <v>0</v>
      </c>
      <c r="Y124" s="79"/>
      <c r="Z124" s="619">
        <f t="shared" si="19"/>
        <v>0</v>
      </c>
      <c r="AA124" s="639">
        <v>0</v>
      </c>
      <c r="AB124" s="634">
        <f t="shared" si="14"/>
        <v>0</v>
      </c>
      <c r="AD124" s="641" t="str">
        <f t="shared" si="15"/>
        <v>North Florida College</v>
      </c>
      <c r="AE124" s="640">
        <v>0</v>
      </c>
      <c r="AF124" s="640">
        <v>0</v>
      </c>
      <c r="AG124" s="616">
        <f t="shared" si="16"/>
        <v>0</v>
      </c>
    </row>
    <row r="125" spans="1:45" ht="25.35" customHeight="1">
      <c r="A125" s="641" t="str">
        <f t="shared" si="7"/>
        <v>Northwest Florida State College</v>
      </c>
      <c r="B125" s="609">
        <v>246</v>
      </c>
      <c r="C125" s="615"/>
      <c r="D125" s="946">
        <f t="shared" si="8"/>
        <v>246</v>
      </c>
      <c r="E125" s="1050">
        <v>1490.3653406706153</v>
      </c>
      <c r="F125" s="617">
        <v>143.48169565825674</v>
      </c>
      <c r="G125" s="616">
        <f t="shared" si="9"/>
        <v>1633.847036328872</v>
      </c>
      <c r="H125" s="1116">
        <v>526.6685103244838</v>
      </c>
      <c r="I125" s="1117">
        <v>43.436578171091448</v>
      </c>
      <c r="J125" s="616">
        <f t="shared" si="17"/>
        <v>570.10508849557527</v>
      </c>
      <c r="K125" s="636">
        <v>50.735812133072407</v>
      </c>
      <c r="L125" s="610">
        <v>7.2641878669275926</v>
      </c>
      <c r="M125" s="637">
        <f t="shared" si="10"/>
        <v>58</v>
      </c>
      <c r="N125" s="636">
        <v>0</v>
      </c>
      <c r="O125" s="610">
        <v>0</v>
      </c>
      <c r="P125" s="637">
        <f t="shared" si="11"/>
        <v>0</v>
      </c>
      <c r="Q125" s="636">
        <v>227.1479069767442</v>
      </c>
      <c r="R125" s="618">
        <v>4.1181395348837206</v>
      </c>
      <c r="S125" s="616">
        <f t="shared" si="12"/>
        <v>231.26604651162791</v>
      </c>
      <c r="T125" s="637">
        <f t="shared" si="13"/>
        <v>2739.2181713360751</v>
      </c>
      <c r="V125" s="633">
        <f t="shared" si="18"/>
        <v>0</v>
      </c>
      <c r="W125" s="618">
        <v>0</v>
      </c>
      <c r="X125" s="638">
        <v>0</v>
      </c>
      <c r="Y125" s="79"/>
      <c r="Z125" s="619">
        <f t="shared" si="19"/>
        <v>0</v>
      </c>
      <c r="AA125" s="639">
        <v>0</v>
      </c>
      <c r="AB125" s="634">
        <f t="shared" si="14"/>
        <v>0</v>
      </c>
      <c r="AD125" s="641" t="str">
        <f t="shared" si="15"/>
        <v>Northwest Florida State College</v>
      </c>
      <c r="AE125" s="640">
        <v>0</v>
      </c>
      <c r="AF125" s="640">
        <v>0</v>
      </c>
      <c r="AG125" s="616">
        <f t="shared" si="16"/>
        <v>0</v>
      </c>
    </row>
    <row r="126" spans="1:45" ht="25.35" customHeight="1">
      <c r="A126" s="641" t="str">
        <f t="shared" si="7"/>
        <v>Palm Beach State College</v>
      </c>
      <c r="B126" s="609">
        <v>789</v>
      </c>
      <c r="C126" s="615"/>
      <c r="D126" s="946">
        <f t="shared" si="8"/>
        <v>789</v>
      </c>
      <c r="E126" s="1050">
        <v>11127.499699106949</v>
      </c>
      <c r="F126" s="617">
        <v>542.61688692037967</v>
      </c>
      <c r="G126" s="616">
        <f t="shared" si="9"/>
        <v>11670.116586027329</v>
      </c>
      <c r="H126" s="1116">
        <v>1386.531490015361</v>
      </c>
      <c r="I126" s="1117">
        <v>36.663594470046085</v>
      </c>
      <c r="J126" s="616">
        <f t="shared" si="17"/>
        <v>1423.1950844854071</v>
      </c>
      <c r="K126" s="636">
        <v>331.58231447256185</v>
      </c>
      <c r="L126" s="610">
        <v>33.417685527438152</v>
      </c>
      <c r="M126" s="637">
        <f t="shared" si="10"/>
        <v>365</v>
      </c>
      <c r="N126" s="636">
        <v>13</v>
      </c>
      <c r="O126" s="610">
        <v>0</v>
      </c>
      <c r="P126" s="637">
        <f t="shared" si="11"/>
        <v>13</v>
      </c>
      <c r="Q126" s="636">
        <v>703.31690391459074</v>
      </c>
      <c r="R126" s="618">
        <v>19.683096085409254</v>
      </c>
      <c r="S126" s="616">
        <f t="shared" si="12"/>
        <v>723</v>
      </c>
      <c r="T126" s="637">
        <f t="shared" si="13"/>
        <v>14983.311670512736</v>
      </c>
      <c r="V126" s="633">
        <f t="shared" si="18"/>
        <v>0</v>
      </c>
      <c r="W126" s="618">
        <v>0</v>
      </c>
      <c r="X126" s="638">
        <v>0</v>
      </c>
      <c r="Y126" s="79"/>
      <c r="Z126" s="619">
        <f t="shared" si="19"/>
        <v>0</v>
      </c>
      <c r="AA126" s="639">
        <v>0</v>
      </c>
      <c r="AB126" s="634">
        <f t="shared" si="14"/>
        <v>0</v>
      </c>
      <c r="AD126" s="641" t="str">
        <f t="shared" si="15"/>
        <v>Palm Beach State College</v>
      </c>
      <c r="AE126" s="640">
        <v>0</v>
      </c>
      <c r="AF126" s="640">
        <v>0</v>
      </c>
      <c r="AG126" s="616">
        <f t="shared" si="16"/>
        <v>0</v>
      </c>
    </row>
    <row r="127" spans="1:45" ht="25.35" customHeight="1">
      <c r="A127" s="641" t="str">
        <f t="shared" si="7"/>
        <v>Pasco-Hernando State College</v>
      </c>
      <c r="B127" s="609">
        <v>327</v>
      </c>
      <c r="C127" s="615"/>
      <c r="D127" s="946">
        <f t="shared" si="8"/>
        <v>327</v>
      </c>
      <c r="E127" s="1050">
        <v>2912.2009412671323</v>
      </c>
      <c r="F127" s="617">
        <v>21.2593163428194</v>
      </c>
      <c r="G127" s="616">
        <f t="shared" si="9"/>
        <v>2933.4602576099519</v>
      </c>
      <c r="H127" s="1116">
        <v>1538.983320785313</v>
      </c>
      <c r="I127" s="1117">
        <v>9.470666589448081</v>
      </c>
      <c r="J127" s="616">
        <f t="shared" si="17"/>
        <v>1548.453987374761</v>
      </c>
      <c r="K127" s="636">
        <v>120.73129251700681</v>
      </c>
      <c r="L127" s="610">
        <v>3.2687074829931975</v>
      </c>
      <c r="M127" s="637">
        <f t="shared" si="10"/>
        <v>124</v>
      </c>
      <c r="N127" s="636">
        <v>10</v>
      </c>
      <c r="O127" s="610">
        <v>0</v>
      </c>
      <c r="P127" s="637">
        <f t="shared" si="11"/>
        <v>10</v>
      </c>
      <c r="Q127" s="636">
        <v>211.63776668179756</v>
      </c>
      <c r="R127" s="618">
        <v>4.7190195188379471</v>
      </c>
      <c r="S127" s="616">
        <f t="shared" si="12"/>
        <v>216.3567862006355</v>
      </c>
      <c r="T127" s="637">
        <f t="shared" si="13"/>
        <v>5159.2710311853489</v>
      </c>
      <c r="V127" s="633">
        <f t="shared" si="18"/>
        <v>0</v>
      </c>
      <c r="W127" s="618">
        <v>0</v>
      </c>
      <c r="X127" s="638">
        <v>0</v>
      </c>
      <c r="Y127" s="79"/>
      <c r="Z127" s="619">
        <f t="shared" si="19"/>
        <v>0</v>
      </c>
      <c r="AA127" s="639">
        <v>0</v>
      </c>
      <c r="AB127" s="634">
        <f t="shared" si="14"/>
        <v>0</v>
      </c>
      <c r="AD127" s="641" t="str">
        <f t="shared" si="15"/>
        <v>Pasco-Hernando State College</v>
      </c>
      <c r="AE127" s="640">
        <v>0</v>
      </c>
      <c r="AF127" s="640">
        <v>0</v>
      </c>
      <c r="AG127" s="616">
        <f t="shared" si="16"/>
        <v>0</v>
      </c>
    </row>
    <row r="128" spans="1:45" ht="25.35" customHeight="1">
      <c r="A128" s="641" t="str">
        <f t="shared" si="7"/>
        <v>Pensacola State College</v>
      </c>
      <c r="B128" s="609">
        <v>353</v>
      </c>
      <c r="C128" s="615"/>
      <c r="D128" s="946">
        <f t="shared" si="8"/>
        <v>353</v>
      </c>
      <c r="E128" s="1050">
        <v>3119.6488266081378</v>
      </c>
      <c r="F128" s="617">
        <v>134.73712645618775</v>
      </c>
      <c r="G128" s="616">
        <f t="shared" si="9"/>
        <v>3254.3859530643258</v>
      </c>
      <c r="H128" s="1116">
        <v>1128.286918177364</v>
      </c>
      <c r="I128" s="1117">
        <v>30.345124938755507</v>
      </c>
      <c r="J128" s="616">
        <f t="shared" si="17"/>
        <v>1158.6320431161196</v>
      </c>
      <c r="K128" s="636">
        <v>164.8031496062992</v>
      </c>
      <c r="L128" s="610">
        <v>19.196850393700785</v>
      </c>
      <c r="M128" s="637">
        <f t="shared" si="10"/>
        <v>184</v>
      </c>
      <c r="N128" s="636">
        <v>0</v>
      </c>
      <c r="O128" s="610">
        <v>0</v>
      </c>
      <c r="P128" s="637">
        <f t="shared" si="11"/>
        <v>0</v>
      </c>
      <c r="Q128" s="636">
        <v>322.05436156763591</v>
      </c>
      <c r="R128" s="618">
        <v>8.630214917825537</v>
      </c>
      <c r="S128" s="616">
        <f t="shared" si="12"/>
        <v>330.68457648546143</v>
      </c>
      <c r="T128" s="637">
        <f t="shared" si="13"/>
        <v>5280.7025726659067</v>
      </c>
      <c r="V128" s="633">
        <f t="shared" si="18"/>
        <v>0</v>
      </c>
      <c r="W128" s="618">
        <v>0</v>
      </c>
      <c r="X128" s="638">
        <v>0</v>
      </c>
      <c r="Y128" s="79"/>
      <c r="Z128" s="619">
        <f t="shared" si="19"/>
        <v>0</v>
      </c>
      <c r="AA128" s="639">
        <v>0</v>
      </c>
      <c r="AB128" s="634">
        <f t="shared" si="14"/>
        <v>0</v>
      </c>
      <c r="AD128" s="641" t="str">
        <f t="shared" si="15"/>
        <v>Pensacola State College</v>
      </c>
      <c r="AE128" s="640">
        <v>0</v>
      </c>
      <c r="AF128" s="640">
        <v>0</v>
      </c>
      <c r="AG128" s="616">
        <f t="shared" si="16"/>
        <v>0</v>
      </c>
    </row>
    <row r="129" spans="1:44" ht="25.35" customHeight="1">
      <c r="A129" s="641" t="str">
        <f t="shared" si="7"/>
        <v>Polk State College</v>
      </c>
      <c r="B129" s="609">
        <v>650</v>
      </c>
      <c r="C129" s="615"/>
      <c r="D129" s="946">
        <f t="shared" si="8"/>
        <v>650</v>
      </c>
      <c r="E129" s="1050">
        <v>2439.848461767725</v>
      </c>
      <c r="F129" s="617">
        <v>81.772626419843036</v>
      </c>
      <c r="G129" s="616">
        <f t="shared" si="9"/>
        <v>2521.6210881875681</v>
      </c>
      <c r="H129" s="1116">
        <v>1221.8153354632586</v>
      </c>
      <c r="I129" s="1117">
        <v>27.664137380191693</v>
      </c>
      <c r="J129" s="616">
        <f t="shared" si="17"/>
        <v>1249.4794728434504</v>
      </c>
      <c r="K129" s="636">
        <v>84.755403868031848</v>
      </c>
      <c r="L129" s="610">
        <v>15.244596131968146</v>
      </c>
      <c r="M129" s="637">
        <f t="shared" si="10"/>
        <v>100</v>
      </c>
      <c r="N129" s="636">
        <v>16</v>
      </c>
      <c r="O129" s="610">
        <v>0</v>
      </c>
      <c r="P129" s="637">
        <f t="shared" si="11"/>
        <v>16</v>
      </c>
      <c r="Q129" s="636">
        <v>127.87238285144566</v>
      </c>
      <c r="R129" s="618">
        <v>0.12761714855433701</v>
      </c>
      <c r="S129" s="616">
        <f t="shared" si="12"/>
        <v>128</v>
      </c>
      <c r="T129" s="637">
        <f t="shared" si="13"/>
        <v>4665.1005610310185</v>
      </c>
      <c r="V129" s="633">
        <f t="shared" si="18"/>
        <v>0</v>
      </c>
      <c r="W129" s="618">
        <v>0</v>
      </c>
      <c r="X129" s="638">
        <v>0</v>
      </c>
      <c r="Y129" s="79"/>
      <c r="Z129" s="619">
        <f t="shared" si="19"/>
        <v>0</v>
      </c>
      <c r="AA129" s="639">
        <v>0</v>
      </c>
      <c r="AB129" s="634">
        <f t="shared" si="14"/>
        <v>0</v>
      </c>
      <c r="AD129" s="641" t="str">
        <f t="shared" si="15"/>
        <v>Polk State College</v>
      </c>
      <c r="AE129" s="640">
        <v>0</v>
      </c>
      <c r="AF129" s="640">
        <v>0</v>
      </c>
      <c r="AG129" s="616">
        <f t="shared" si="16"/>
        <v>0</v>
      </c>
    </row>
    <row r="130" spans="1:44" ht="25.35" customHeight="1">
      <c r="A130" s="641" t="str">
        <f t="shared" si="7"/>
        <v>St. Johns River State College</v>
      </c>
      <c r="B130" s="609">
        <v>201</v>
      </c>
      <c r="C130" s="615"/>
      <c r="D130" s="946">
        <f t="shared" si="8"/>
        <v>201</v>
      </c>
      <c r="E130" s="1050">
        <v>1972.8061068702291</v>
      </c>
      <c r="F130" s="617">
        <v>59.65190839694656</v>
      </c>
      <c r="G130" s="616">
        <f t="shared" si="9"/>
        <v>2032.4580152671756</v>
      </c>
      <c r="H130" s="1116">
        <v>630.75982651124968</v>
      </c>
      <c r="I130" s="1117">
        <v>10.347248576850097</v>
      </c>
      <c r="J130" s="616">
        <f t="shared" si="17"/>
        <v>641.1070750880998</v>
      </c>
      <c r="K130" s="636">
        <v>36.075000000000003</v>
      </c>
      <c r="L130" s="610">
        <v>0.92500000000000004</v>
      </c>
      <c r="M130" s="637">
        <f t="shared" si="10"/>
        <v>37</v>
      </c>
      <c r="N130" s="636">
        <v>10.990147783251231</v>
      </c>
      <c r="O130" s="610">
        <v>9.852216748768473E-3</v>
      </c>
      <c r="P130" s="637">
        <f t="shared" si="11"/>
        <v>11</v>
      </c>
      <c r="Q130" s="636">
        <v>112.73159144893111</v>
      </c>
      <c r="R130" s="618">
        <v>0.26840855106888362</v>
      </c>
      <c r="S130" s="616">
        <f t="shared" si="12"/>
        <v>113</v>
      </c>
      <c r="T130" s="637">
        <f t="shared" si="13"/>
        <v>3035.5650903552755</v>
      </c>
      <c r="V130" s="633">
        <f t="shared" si="18"/>
        <v>0</v>
      </c>
      <c r="W130" s="618">
        <v>0</v>
      </c>
      <c r="X130" s="638">
        <v>0</v>
      </c>
      <c r="Y130" s="79"/>
      <c r="Z130" s="619">
        <f t="shared" si="19"/>
        <v>20</v>
      </c>
      <c r="AA130" s="639">
        <v>0</v>
      </c>
      <c r="AB130" s="634">
        <f t="shared" si="14"/>
        <v>20</v>
      </c>
      <c r="AD130" s="641" t="str">
        <f t="shared" si="15"/>
        <v>St. Johns River State College</v>
      </c>
      <c r="AE130" s="640">
        <v>19</v>
      </c>
      <c r="AF130" s="640">
        <v>1</v>
      </c>
      <c r="AG130" s="616">
        <f t="shared" si="16"/>
        <v>20</v>
      </c>
    </row>
    <row r="131" spans="1:44" ht="25.35" customHeight="1">
      <c r="A131" s="641" t="str">
        <f t="shared" si="7"/>
        <v>St. Petersburg College</v>
      </c>
      <c r="B131" s="609">
        <v>2202</v>
      </c>
      <c r="C131" s="615"/>
      <c r="D131" s="946">
        <f t="shared" si="8"/>
        <v>2202</v>
      </c>
      <c r="E131" s="1050">
        <v>6385.6475648389005</v>
      </c>
      <c r="F131" s="617">
        <v>294.91843304916682</v>
      </c>
      <c r="G131" s="616">
        <f t="shared" si="9"/>
        <v>6680.5659978880676</v>
      </c>
      <c r="H131" s="1116">
        <v>3681.5011252813206</v>
      </c>
      <c r="I131" s="1117">
        <v>137.5775693923481</v>
      </c>
      <c r="J131" s="616">
        <f t="shared" si="17"/>
        <v>3819.0786946736689</v>
      </c>
      <c r="K131" s="636">
        <v>313.94513867723253</v>
      </c>
      <c r="L131" s="610">
        <v>39.054861322767444</v>
      </c>
      <c r="M131" s="637">
        <f t="shared" si="10"/>
        <v>353</v>
      </c>
      <c r="N131" s="636">
        <v>0</v>
      </c>
      <c r="O131" s="610">
        <v>0</v>
      </c>
      <c r="P131" s="637">
        <f t="shared" si="11"/>
        <v>0</v>
      </c>
      <c r="Q131" s="636">
        <v>108.93219303604154</v>
      </c>
      <c r="R131" s="618">
        <v>54.067806963958461</v>
      </c>
      <c r="S131" s="616">
        <f t="shared" si="12"/>
        <v>163</v>
      </c>
      <c r="T131" s="637">
        <f t="shared" si="13"/>
        <v>13217.644692561738</v>
      </c>
      <c r="V131" s="633">
        <f t="shared" si="18"/>
        <v>0</v>
      </c>
      <c r="W131" s="618">
        <v>0</v>
      </c>
      <c r="X131" s="638">
        <v>0</v>
      </c>
      <c r="Y131" s="79"/>
      <c r="Z131" s="619">
        <f t="shared" si="19"/>
        <v>0</v>
      </c>
      <c r="AA131" s="639">
        <v>0</v>
      </c>
      <c r="AB131" s="634">
        <f t="shared" si="14"/>
        <v>0</v>
      </c>
      <c r="AD131" s="641" t="str">
        <f t="shared" si="15"/>
        <v>St. Petersburg College</v>
      </c>
      <c r="AE131" s="640">
        <v>0</v>
      </c>
      <c r="AF131" s="640">
        <v>0</v>
      </c>
      <c r="AG131" s="616">
        <f t="shared" si="16"/>
        <v>0</v>
      </c>
    </row>
    <row r="132" spans="1:44" ht="25.35" customHeight="1">
      <c r="A132" s="641" t="str">
        <f t="shared" si="7"/>
        <v>Santa Fe College</v>
      </c>
      <c r="B132" s="609">
        <v>381</v>
      </c>
      <c r="C132" s="615"/>
      <c r="D132" s="946">
        <f t="shared" si="8"/>
        <v>381</v>
      </c>
      <c r="E132" s="1050">
        <v>5381.8846382753609</v>
      </c>
      <c r="F132" s="617">
        <v>449.149814839307</v>
      </c>
      <c r="G132" s="616">
        <f t="shared" si="9"/>
        <v>5831.0344531146675</v>
      </c>
      <c r="H132" s="1116">
        <v>2081.6657560975609</v>
      </c>
      <c r="I132" s="1117">
        <v>114.82712195121952</v>
      </c>
      <c r="J132" s="616">
        <f t="shared" si="17"/>
        <v>2196.4928780487803</v>
      </c>
      <c r="K132" s="636">
        <v>208.51632564214191</v>
      </c>
      <c r="L132" s="610">
        <v>37.483674357858078</v>
      </c>
      <c r="M132" s="637">
        <f t="shared" si="10"/>
        <v>246</v>
      </c>
      <c r="N132" s="636">
        <v>0</v>
      </c>
      <c r="O132" s="610">
        <v>0</v>
      </c>
      <c r="P132" s="637">
        <f t="shared" si="11"/>
        <v>0</v>
      </c>
      <c r="Q132" s="636">
        <v>242.0517444139553</v>
      </c>
      <c r="R132" s="618">
        <v>7.6667973343786757</v>
      </c>
      <c r="S132" s="616">
        <f t="shared" si="12"/>
        <v>249.71854174833399</v>
      </c>
      <c r="T132" s="637">
        <f t="shared" si="13"/>
        <v>8904.2458729117825</v>
      </c>
      <c r="V132" s="633">
        <f t="shared" si="18"/>
        <v>1</v>
      </c>
      <c r="W132" s="618">
        <v>0</v>
      </c>
      <c r="X132" s="638">
        <v>1</v>
      </c>
      <c r="Y132" s="79"/>
      <c r="Z132" s="619">
        <f t="shared" si="19"/>
        <v>18.982165605095545</v>
      </c>
      <c r="AA132" s="639">
        <v>107.01783439490445</v>
      </c>
      <c r="AB132" s="634">
        <f t="shared" si="14"/>
        <v>126</v>
      </c>
      <c r="AD132" s="641" t="str">
        <f t="shared" si="15"/>
        <v>Santa Fe College</v>
      </c>
      <c r="AE132" s="640">
        <v>123</v>
      </c>
      <c r="AF132" s="640">
        <v>3</v>
      </c>
      <c r="AG132" s="616">
        <f t="shared" si="16"/>
        <v>126</v>
      </c>
    </row>
    <row r="133" spans="1:44" ht="25.35" customHeight="1">
      <c r="A133" s="641" t="str">
        <f t="shared" si="7"/>
        <v>Seminole State College of Florida</v>
      </c>
      <c r="B133" s="609">
        <v>912</v>
      </c>
      <c r="C133" s="615"/>
      <c r="D133" s="946">
        <f t="shared" si="8"/>
        <v>912</v>
      </c>
      <c r="E133" s="1050">
        <v>5395.3895303809049</v>
      </c>
      <c r="F133" s="617">
        <v>133.51193409842992</v>
      </c>
      <c r="G133" s="616">
        <f t="shared" si="9"/>
        <v>5528.9014644793351</v>
      </c>
      <c r="H133" s="1116">
        <v>2255.4402489782146</v>
      </c>
      <c r="I133" s="1117">
        <v>117.52251677978177</v>
      </c>
      <c r="J133" s="616">
        <f t="shared" si="17"/>
        <v>2372.9627657579963</v>
      </c>
      <c r="K133" s="636">
        <v>146.14361702127658</v>
      </c>
      <c r="L133" s="610">
        <v>10.856382978723406</v>
      </c>
      <c r="M133" s="637">
        <f t="shared" si="10"/>
        <v>157</v>
      </c>
      <c r="N133" s="636">
        <v>38</v>
      </c>
      <c r="O133" s="610">
        <v>0</v>
      </c>
      <c r="P133" s="637">
        <f t="shared" si="11"/>
        <v>38</v>
      </c>
      <c r="Q133" s="636">
        <v>212.25119744544972</v>
      </c>
      <c r="R133" s="618">
        <v>17.748802554550291</v>
      </c>
      <c r="S133" s="616">
        <f t="shared" si="12"/>
        <v>230</v>
      </c>
      <c r="T133" s="637">
        <f t="shared" si="13"/>
        <v>9238.8642302373319</v>
      </c>
      <c r="V133" s="633">
        <f t="shared" si="18"/>
        <v>0</v>
      </c>
      <c r="W133" s="618">
        <v>10</v>
      </c>
      <c r="X133" s="638">
        <v>10</v>
      </c>
      <c r="Y133" s="79"/>
      <c r="Z133" s="619">
        <f t="shared" si="19"/>
        <v>51.053398058252469</v>
      </c>
      <c r="AA133" s="639">
        <v>274.94660194174753</v>
      </c>
      <c r="AB133" s="634">
        <f t="shared" si="14"/>
        <v>326</v>
      </c>
      <c r="AD133" s="641" t="str">
        <f t="shared" si="15"/>
        <v>Seminole State College of Florida</v>
      </c>
      <c r="AE133" s="640">
        <v>285</v>
      </c>
      <c r="AF133" s="640">
        <v>41</v>
      </c>
      <c r="AG133" s="616">
        <f t="shared" si="16"/>
        <v>326</v>
      </c>
    </row>
    <row r="134" spans="1:44" ht="25.35" customHeight="1">
      <c r="A134" s="641" t="str">
        <f t="shared" si="7"/>
        <v>South Florida State College</v>
      </c>
      <c r="B134" s="609">
        <v>99</v>
      </c>
      <c r="C134" s="615"/>
      <c r="D134" s="946">
        <f t="shared" si="8"/>
        <v>99</v>
      </c>
      <c r="E134" s="1050">
        <v>1219.1509675765731</v>
      </c>
      <c r="F134" s="617">
        <v>16.127450980392158</v>
      </c>
      <c r="G134" s="616">
        <f t="shared" si="9"/>
        <v>1235.2784185569653</v>
      </c>
      <c r="H134" s="1116">
        <v>1</v>
      </c>
      <c r="I134" s="1117">
        <v>0</v>
      </c>
      <c r="J134" s="616">
        <f t="shared" si="17"/>
        <v>1</v>
      </c>
      <c r="K134" s="636">
        <v>17.739130434782609</v>
      </c>
      <c r="L134" s="610">
        <v>0.2608695652173913</v>
      </c>
      <c r="M134" s="637">
        <f t="shared" si="10"/>
        <v>18</v>
      </c>
      <c r="N134" s="636">
        <v>0</v>
      </c>
      <c r="O134" s="610">
        <v>0</v>
      </c>
      <c r="P134" s="637">
        <f t="shared" si="11"/>
        <v>0</v>
      </c>
      <c r="Q134" s="636">
        <v>269.94545454545454</v>
      </c>
      <c r="R134" s="618">
        <v>0.66818181818181821</v>
      </c>
      <c r="S134" s="616">
        <f t="shared" si="12"/>
        <v>270.61363636363637</v>
      </c>
      <c r="T134" s="637">
        <f t="shared" si="13"/>
        <v>1623.8920549206018</v>
      </c>
      <c r="V134" s="633">
        <f t="shared" si="18"/>
        <v>0</v>
      </c>
      <c r="W134" s="618">
        <v>0</v>
      </c>
      <c r="X134" s="638">
        <v>0</v>
      </c>
      <c r="Y134" s="79"/>
      <c r="Z134" s="619">
        <f t="shared" si="19"/>
        <v>35.69956066238592</v>
      </c>
      <c r="AA134" s="639">
        <v>329.30043933761408</v>
      </c>
      <c r="AB134" s="634">
        <f t="shared" si="14"/>
        <v>365</v>
      </c>
      <c r="AD134" s="641" t="str">
        <f t="shared" si="15"/>
        <v>South Florida State College</v>
      </c>
      <c r="AE134" s="640">
        <v>350</v>
      </c>
      <c r="AF134" s="640">
        <v>15</v>
      </c>
      <c r="AG134" s="616">
        <f t="shared" si="16"/>
        <v>365</v>
      </c>
    </row>
    <row r="135" spans="1:44" ht="25.35" customHeight="1">
      <c r="A135" s="641" t="str">
        <f t="shared" si="7"/>
        <v>Tallahassee State College</v>
      </c>
      <c r="B135" s="609">
        <v>100</v>
      </c>
      <c r="C135" s="615"/>
      <c r="D135" s="946">
        <f t="shared" si="8"/>
        <v>100</v>
      </c>
      <c r="E135" s="1050">
        <v>6799.7492845606776</v>
      </c>
      <c r="F135" s="617">
        <v>263.0170713739268</v>
      </c>
      <c r="G135" s="616">
        <f t="shared" si="9"/>
        <v>7062.7663559346047</v>
      </c>
      <c r="H135" s="1116">
        <v>1597.7773759583395</v>
      </c>
      <c r="I135" s="1117">
        <v>53.400838998987417</v>
      </c>
      <c r="J135" s="616">
        <f t="shared" si="17"/>
        <v>1651.1782149573269</v>
      </c>
      <c r="K135" s="636">
        <v>109.94944852941177</v>
      </c>
      <c r="L135" s="610">
        <v>15.050551470588236</v>
      </c>
      <c r="M135" s="637">
        <f t="shared" si="10"/>
        <v>125</v>
      </c>
      <c r="N135" s="636">
        <v>0</v>
      </c>
      <c r="O135" s="610">
        <v>0</v>
      </c>
      <c r="P135" s="637">
        <f t="shared" si="11"/>
        <v>0</v>
      </c>
      <c r="Q135" s="636">
        <v>309.07657512116316</v>
      </c>
      <c r="R135" s="618">
        <v>2.9234248788368338</v>
      </c>
      <c r="S135" s="616">
        <f t="shared" si="12"/>
        <v>312</v>
      </c>
      <c r="T135" s="637">
        <f t="shared" si="13"/>
        <v>9250.944570891932</v>
      </c>
      <c r="V135" s="633">
        <f t="shared" si="18"/>
        <v>0</v>
      </c>
      <c r="W135" s="618">
        <v>0</v>
      </c>
      <c r="X135" s="638">
        <v>0</v>
      </c>
      <c r="Y135" s="79"/>
      <c r="Z135" s="619">
        <f t="shared" si="19"/>
        <v>33.472766884531595</v>
      </c>
      <c r="AA135" s="639">
        <v>12.527233115468409</v>
      </c>
      <c r="AB135" s="634">
        <f t="shared" si="14"/>
        <v>46</v>
      </c>
      <c r="AD135" s="641" t="str">
        <f t="shared" si="15"/>
        <v>Tallahassee State College</v>
      </c>
      <c r="AE135" s="640">
        <v>46</v>
      </c>
      <c r="AF135" s="640">
        <v>0</v>
      </c>
      <c r="AG135" s="616">
        <f t="shared" si="16"/>
        <v>46</v>
      </c>
    </row>
    <row r="136" spans="1:44" ht="25.35" customHeight="1" thickBot="1">
      <c r="A136" s="642" t="str">
        <f t="shared" si="7"/>
        <v>Valencia College</v>
      </c>
      <c r="B136" s="564">
        <v>1251</v>
      </c>
      <c r="C136" s="593"/>
      <c r="D136" s="947">
        <f t="shared" si="8"/>
        <v>1251</v>
      </c>
      <c r="E136" s="1051">
        <v>18028.801067099237</v>
      </c>
      <c r="F136" s="594">
        <v>1645.1959329056467</v>
      </c>
      <c r="G136" s="565">
        <f t="shared" si="9"/>
        <v>19673.997000004885</v>
      </c>
      <c r="H136" s="1118">
        <v>7431.4523146123565</v>
      </c>
      <c r="I136" s="1119">
        <v>562.41912913100521</v>
      </c>
      <c r="J136" s="643">
        <f t="shared" si="17"/>
        <v>7993.8714437433619</v>
      </c>
      <c r="K136" s="644">
        <v>799.54126473740621</v>
      </c>
      <c r="L136" s="645">
        <v>204.45873526259379</v>
      </c>
      <c r="M136" s="646">
        <f t="shared" si="10"/>
        <v>1004</v>
      </c>
      <c r="N136" s="644">
        <v>54</v>
      </c>
      <c r="O136" s="645">
        <v>0</v>
      </c>
      <c r="P136" s="646">
        <f t="shared" si="11"/>
        <v>54</v>
      </c>
      <c r="Q136" s="644">
        <v>208.44579780755177</v>
      </c>
      <c r="R136" s="647">
        <v>37.554202192448237</v>
      </c>
      <c r="S136" s="565">
        <f t="shared" si="12"/>
        <v>246</v>
      </c>
      <c r="T136" s="646">
        <f t="shared" si="13"/>
        <v>30222.868443748248</v>
      </c>
      <c r="V136" s="633">
        <f t="shared" si="18"/>
        <v>0</v>
      </c>
      <c r="W136" s="464">
        <v>0</v>
      </c>
      <c r="X136" s="465">
        <v>0</v>
      </c>
      <c r="Y136" s="79"/>
      <c r="Z136" s="648">
        <f t="shared" si="19"/>
        <v>0</v>
      </c>
      <c r="AA136" s="649">
        <v>0</v>
      </c>
      <c r="AB136" s="634">
        <f t="shared" si="14"/>
        <v>0</v>
      </c>
      <c r="AD136" s="642" t="str">
        <f t="shared" si="15"/>
        <v>Valencia College</v>
      </c>
      <c r="AE136" s="595">
        <v>0</v>
      </c>
      <c r="AF136" s="595">
        <v>0</v>
      </c>
      <c r="AG136" s="565">
        <f t="shared" si="16"/>
        <v>0</v>
      </c>
    </row>
    <row r="137" spans="1:44" ht="25.35" customHeight="1" thickBot="1">
      <c r="A137" s="379" t="s">
        <v>49</v>
      </c>
      <c r="B137" s="380">
        <f t="shared" ref="B137" si="20">SUM(B109:B136)</f>
        <v>17575</v>
      </c>
      <c r="C137" s="67"/>
      <c r="D137" s="394">
        <f t="shared" ref="D137:T137" si="21">SUM(D109:D136)</f>
        <v>17575</v>
      </c>
      <c r="E137" s="948">
        <f t="shared" si="21"/>
        <v>152230.24032664322</v>
      </c>
      <c r="F137" s="381">
        <f t="shared" si="21"/>
        <v>8199.9367338584852</v>
      </c>
      <c r="G137" s="394">
        <f t="shared" si="21"/>
        <v>160430.17706050174</v>
      </c>
      <c r="H137" s="404">
        <f t="shared" si="21"/>
        <v>51131.750029480463</v>
      </c>
      <c r="I137" s="381">
        <f t="shared" si="21"/>
        <v>2402.2905203214218</v>
      </c>
      <c r="J137" s="394">
        <f t="shared" si="21"/>
        <v>53534.040549801903</v>
      </c>
      <c r="K137" s="404">
        <f t="shared" si="21"/>
        <v>6220.2669151661903</v>
      </c>
      <c r="L137" s="406">
        <f t="shared" si="21"/>
        <v>844.73308483381027</v>
      </c>
      <c r="M137" s="395">
        <f t="shared" si="21"/>
        <v>7065</v>
      </c>
      <c r="N137" s="404">
        <f t="shared" si="21"/>
        <v>180.05197322854011</v>
      </c>
      <c r="O137" s="406">
        <f t="shared" si="21"/>
        <v>0.94802677145989178</v>
      </c>
      <c r="P137" s="395">
        <f t="shared" si="21"/>
        <v>181</v>
      </c>
      <c r="Q137" s="403">
        <f t="shared" si="21"/>
        <v>7579.9669255839635</v>
      </c>
      <c r="R137" s="405">
        <f t="shared" si="21"/>
        <v>328.97798660384655</v>
      </c>
      <c r="S137" s="396">
        <f t="shared" si="21"/>
        <v>7908.9449121878106</v>
      </c>
      <c r="T137" s="68">
        <f t="shared" si="21"/>
        <v>246694.16252249148</v>
      </c>
      <c r="U137" s="69"/>
      <c r="V137" s="397">
        <f t="shared" ref="V137:AB137" si="22">SUM(V109:V136)</f>
        <v>6.65625</v>
      </c>
      <c r="W137" s="404">
        <f t="shared" si="22"/>
        <v>12.34375</v>
      </c>
      <c r="X137" s="402">
        <f t="shared" si="22"/>
        <v>19</v>
      </c>
      <c r="Y137" s="70"/>
      <c r="Z137" s="397">
        <f t="shared" si="22"/>
        <v>1281.321488984639</v>
      </c>
      <c r="AA137" s="403">
        <f t="shared" si="22"/>
        <v>2231.6785110153605</v>
      </c>
      <c r="AB137" s="399">
        <f t="shared" si="22"/>
        <v>3513</v>
      </c>
      <c r="AC137" s="69"/>
      <c r="AD137" s="379" t="s">
        <v>49</v>
      </c>
      <c r="AE137" s="402">
        <f>SUM(AE109:AE136)</f>
        <v>3392</v>
      </c>
      <c r="AF137" s="402">
        <f>SUM(AF109:AF136)</f>
        <v>121</v>
      </c>
      <c r="AG137" s="394">
        <f>SUM(AG109:AG136)</f>
        <v>3513</v>
      </c>
      <c r="AH137" s="69"/>
      <c r="AI137" s="69"/>
      <c r="AJ137" s="69"/>
      <c r="AK137" s="69"/>
      <c r="AL137" s="69"/>
      <c r="AM137" s="69"/>
      <c r="AN137" s="69"/>
      <c r="AO137" s="69"/>
      <c r="AP137" s="69"/>
      <c r="AQ137" s="69"/>
      <c r="AR137" s="69"/>
    </row>
    <row r="138" spans="1:44" ht="14.1" customHeight="1">
      <c r="A138" s="374"/>
      <c r="B138" s="375"/>
      <c r="C138" s="375"/>
      <c r="D138" s="375"/>
      <c r="E138" s="375"/>
      <c r="F138" s="375"/>
      <c r="G138" s="375"/>
      <c r="H138" s="375"/>
      <c r="I138" s="375"/>
      <c r="J138" s="375"/>
      <c r="K138" s="375"/>
      <c r="L138" s="375"/>
      <c r="M138" s="375"/>
      <c r="N138" s="375"/>
      <c r="O138" s="375"/>
      <c r="P138" s="375"/>
      <c r="Q138" s="375"/>
      <c r="R138" s="375"/>
      <c r="S138" s="375"/>
      <c r="T138" s="375"/>
      <c r="U138" s="69"/>
      <c r="V138" s="376"/>
      <c r="W138" s="376"/>
      <c r="X138" s="376"/>
      <c r="Y138" s="376"/>
      <c r="Z138" s="376"/>
      <c r="AA138" s="376"/>
      <c r="AB138" s="376"/>
      <c r="AC138" s="69"/>
      <c r="AD138" s="374"/>
      <c r="AE138" s="71"/>
      <c r="AF138" s="71"/>
      <c r="AG138" s="71"/>
      <c r="AH138" s="69"/>
      <c r="AI138" s="69"/>
      <c r="AJ138" s="69"/>
      <c r="AK138" s="69"/>
      <c r="AL138" s="69"/>
      <c r="AM138" s="69"/>
      <c r="AN138" s="69"/>
      <c r="AO138" s="69"/>
      <c r="AP138" s="69"/>
      <c r="AQ138" s="69"/>
      <c r="AR138" s="69"/>
    </row>
    <row r="139" spans="1:44">
      <c r="A139" s="17" t="s">
        <v>688</v>
      </c>
      <c r="V139" s="53"/>
      <c r="W139" s="53"/>
      <c r="X139" s="53"/>
      <c r="Y139" s="53"/>
      <c r="Z139" s="53"/>
      <c r="AA139" s="53"/>
      <c r="AB139" s="53"/>
    </row>
    <row r="140" spans="1:44">
      <c r="A140" s="17" t="s">
        <v>755</v>
      </c>
      <c r="V140" s="53"/>
      <c r="W140" s="53"/>
      <c r="X140" s="53"/>
      <c r="Y140" s="53"/>
      <c r="Z140" s="60"/>
      <c r="AA140" s="53"/>
      <c r="AB140" s="53"/>
    </row>
    <row r="141" spans="1:44">
      <c r="A141" s="819" t="s">
        <v>90</v>
      </c>
      <c r="B141" s="819"/>
      <c r="C141" s="819"/>
      <c r="D141" s="819"/>
      <c r="E141" s="28"/>
    </row>
    <row r="142" spans="1:44">
      <c r="A142" s="819" t="s">
        <v>91</v>
      </c>
      <c r="B142" s="819"/>
      <c r="C142" s="819"/>
      <c r="D142" s="819"/>
    </row>
    <row r="143" spans="1:44">
      <c r="A143" s="17" t="s">
        <v>92</v>
      </c>
    </row>
    <row r="145" spans="1:4" ht="54.6" customHeight="1" thickBot="1">
      <c r="A145" s="1111" t="s">
        <v>717</v>
      </c>
      <c r="B145" s="1029"/>
      <c r="C145" s="1110"/>
      <c r="D145" s="1110"/>
    </row>
    <row r="146" spans="1:4" ht="21.75" thickBot="1">
      <c r="A146" s="62"/>
      <c r="B146" s="63" t="s">
        <v>756</v>
      </c>
    </row>
    <row r="147" spans="1:4" ht="21.75" thickBot="1">
      <c r="A147" s="62">
        <v>1</v>
      </c>
      <c r="B147" s="52">
        <v>2</v>
      </c>
    </row>
    <row r="148" spans="1:4" ht="57" customHeight="1" thickBot="1">
      <c r="A148" s="38" t="s">
        <v>150</v>
      </c>
      <c r="B148" s="1106" t="str">
        <f>B5</f>
        <v xml:space="preserve">2024-25 BASE BUDGET </v>
      </c>
    </row>
    <row r="149" spans="1:4" ht="63.75" thickBot="1">
      <c r="A149" s="290" t="s">
        <v>17</v>
      </c>
      <c r="B149" s="23" t="s">
        <v>150</v>
      </c>
    </row>
    <row r="150" spans="1:4">
      <c r="A150" s="407" t="str">
        <f t="shared" ref="A150:A177" si="23">A7</f>
        <v>Eastern Florida State College</v>
      </c>
      <c r="B150" s="1107">
        <v>1223211</v>
      </c>
    </row>
    <row r="151" spans="1:4">
      <c r="A151" s="387" t="str">
        <f t="shared" si="23"/>
        <v>Broward College</v>
      </c>
      <c r="B151" s="1108">
        <v>2901756</v>
      </c>
    </row>
    <row r="152" spans="1:4">
      <c r="A152" s="387" t="str">
        <f t="shared" si="23"/>
        <v>College of Central Florida</v>
      </c>
      <c r="B152" s="1108">
        <v>580642</v>
      </c>
    </row>
    <row r="153" spans="1:4">
      <c r="A153" s="387" t="str">
        <f t="shared" si="23"/>
        <v>Chipola College</v>
      </c>
      <c r="B153" s="1108">
        <v>199039</v>
      </c>
    </row>
    <row r="154" spans="1:4">
      <c r="A154" s="387" t="str">
        <f t="shared" si="23"/>
        <v>Daytona State College</v>
      </c>
      <c r="B154" s="1108">
        <v>806367</v>
      </c>
    </row>
    <row r="155" spans="1:4">
      <c r="A155" s="387" t="str">
        <f t="shared" si="23"/>
        <v>Florida SouthWestern State College</v>
      </c>
      <c r="B155" s="1108">
        <v>831927</v>
      </c>
    </row>
    <row r="156" spans="1:4">
      <c r="A156" s="387" t="str">
        <f t="shared" si="23"/>
        <v>Florida State College at Jacksonville</v>
      </c>
      <c r="B156" s="1108">
        <v>1522554</v>
      </c>
    </row>
    <row r="157" spans="1:4">
      <c r="A157" s="387" t="str">
        <f t="shared" si="23"/>
        <v>College of the Florida Keys</v>
      </c>
      <c r="B157" s="1108">
        <v>55645</v>
      </c>
    </row>
    <row r="158" spans="1:4">
      <c r="A158" s="387" t="str">
        <f t="shared" si="23"/>
        <v>Gulf Coast State College</v>
      </c>
      <c r="B158" s="1108">
        <v>281214</v>
      </c>
    </row>
    <row r="159" spans="1:4">
      <c r="A159" s="387" t="str">
        <f t="shared" si="23"/>
        <v>Hillsborough Community College</v>
      </c>
      <c r="B159" s="1108">
        <v>1535676</v>
      </c>
    </row>
    <row r="160" spans="1:4">
      <c r="A160" s="387" t="str">
        <f t="shared" si="23"/>
        <v>Indian River State College</v>
      </c>
      <c r="B160" s="1108">
        <v>861594</v>
      </c>
    </row>
    <row r="161" spans="1:2">
      <c r="A161" s="387" t="str">
        <f t="shared" si="23"/>
        <v>Florida Gateway College</v>
      </c>
      <c r="B161" s="1108">
        <v>234886</v>
      </c>
    </row>
    <row r="162" spans="1:2">
      <c r="A162" s="387" t="str">
        <f t="shared" si="23"/>
        <v>Lake-Sumter State College</v>
      </c>
      <c r="B162" s="1108">
        <v>334183</v>
      </c>
    </row>
    <row r="163" spans="1:2">
      <c r="A163" s="387" t="str">
        <f t="shared" si="23"/>
        <v>State College of Florida, Manatee-Sarasota</v>
      </c>
      <c r="B163" s="1108">
        <v>538310</v>
      </c>
    </row>
    <row r="164" spans="1:2">
      <c r="A164" s="387" t="str">
        <f t="shared" si="23"/>
        <v>Miami Dade College</v>
      </c>
      <c r="B164" s="1108">
        <v>4079933</v>
      </c>
    </row>
    <row r="165" spans="1:2">
      <c r="A165" s="387" t="str">
        <f t="shared" si="23"/>
        <v>North Florida College</v>
      </c>
      <c r="B165" s="1108">
        <v>134140</v>
      </c>
    </row>
    <row r="166" spans="1:2">
      <c r="A166" s="387" t="str">
        <f t="shared" si="23"/>
        <v>Northwest Florida State College</v>
      </c>
      <c r="B166" s="1108">
        <v>337943</v>
      </c>
    </row>
    <row r="167" spans="1:2">
      <c r="A167" s="387" t="str">
        <f t="shared" si="23"/>
        <v>Palm Beach State College</v>
      </c>
      <c r="B167" s="1108">
        <v>1362933</v>
      </c>
    </row>
    <row r="168" spans="1:2">
      <c r="A168" s="387" t="str">
        <f t="shared" si="23"/>
        <v>Pasco-Hernando State College</v>
      </c>
      <c r="B168" s="1108">
        <v>656969</v>
      </c>
    </row>
    <row r="169" spans="1:2">
      <c r="A169" s="387" t="str">
        <f t="shared" si="23"/>
        <v>Pensacola State College</v>
      </c>
      <c r="B169" s="1108">
        <v>468310</v>
      </c>
    </row>
    <row r="170" spans="1:2">
      <c r="A170" s="387" t="str">
        <f t="shared" si="23"/>
        <v>Polk State College</v>
      </c>
      <c r="B170" s="1108">
        <v>612408</v>
      </c>
    </row>
    <row r="171" spans="1:2">
      <c r="A171" s="387" t="str">
        <f t="shared" si="23"/>
        <v>St. Johns River State College</v>
      </c>
      <c r="B171" s="1108">
        <v>432461</v>
      </c>
    </row>
    <row r="172" spans="1:2">
      <c r="A172" s="387" t="str">
        <f t="shared" si="23"/>
        <v>St. Petersburg College</v>
      </c>
      <c r="B172" s="1108">
        <v>1662776</v>
      </c>
    </row>
    <row r="173" spans="1:2">
      <c r="A173" s="387" t="str">
        <f t="shared" si="23"/>
        <v>Santa Fe College</v>
      </c>
      <c r="B173" s="1108">
        <v>1069199</v>
      </c>
    </row>
    <row r="174" spans="1:2">
      <c r="A174" s="387" t="str">
        <f t="shared" si="23"/>
        <v>Seminole State College of Florida</v>
      </c>
      <c r="B174" s="1108">
        <v>1560101</v>
      </c>
    </row>
    <row r="175" spans="1:2">
      <c r="A175" s="387" t="str">
        <f t="shared" si="23"/>
        <v>South Florida State College</v>
      </c>
      <c r="B175" s="1108">
        <v>188239</v>
      </c>
    </row>
    <row r="176" spans="1:2">
      <c r="A176" s="387" t="str">
        <f t="shared" si="23"/>
        <v>Tallahassee State College</v>
      </c>
      <c r="B176" s="1108">
        <v>1011402</v>
      </c>
    </row>
    <row r="177" spans="1:2" ht="21.75" thickBot="1">
      <c r="A177" s="388" t="str">
        <f t="shared" si="23"/>
        <v>Valencia College</v>
      </c>
      <c r="B177" s="1109">
        <v>4516182</v>
      </c>
    </row>
    <row r="178" spans="1:2" ht="24" thickBot="1">
      <c r="A178" s="389" t="s">
        <v>49</v>
      </c>
      <c r="B178" s="427">
        <f>SUM(B150:B177)</f>
        <v>30000000</v>
      </c>
    </row>
    <row r="180" spans="1:2" ht="36.75" thickBot="1">
      <c r="A180" s="1111" t="s">
        <v>717</v>
      </c>
      <c r="B180" s="1029"/>
    </row>
    <row r="181" spans="1:2" ht="21.75" thickBot="1">
      <c r="A181" s="62"/>
      <c r="B181" s="63" t="s">
        <v>756</v>
      </c>
    </row>
    <row r="182" spans="1:2" ht="21.75" thickBot="1">
      <c r="A182" s="62">
        <v>1</v>
      </c>
      <c r="B182" s="52">
        <v>2</v>
      </c>
    </row>
    <row r="183" spans="1:2" ht="54" thickBot="1">
      <c r="A183" s="1112" t="s">
        <v>696</v>
      </c>
      <c r="B183" s="1106" t="str">
        <f>B5</f>
        <v xml:space="preserve">2024-25 BASE BUDGET </v>
      </c>
    </row>
    <row r="184" spans="1:2" ht="42.75" thickBot="1">
      <c r="A184" s="290" t="s">
        <v>17</v>
      </c>
      <c r="B184" s="23" t="s">
        <v>696</v>
      </c>
    </row>
    <row r="185" spans="1:2">
      <c r="A185" s="407" t="str">
        <f t="shared" ref="A185:A212" si="24">A7</f>
        <v>Eastern Florida State College</v>
      </c>
      <c r="B185" s="1113">
        <v>1305041</v>
      </c>
    </row>
    <row r="186" spans="1:2">
      <c r="A186" s="387" t="str">
        <f t="shared" si="24"/>
        <v>Broward College</v>
      </c>
      <c r="B186" s="1108">
        <v>1431485</v>
      </c>
    </row>
    <row r="187" spans="1:2">
      <c r="A187" s="387" t="str">
        <f t="shared" si="24"/>
        <v>College of Central Florida</v>
      </c>
      <c r="B187" s="1108">
        <v>1049273</v>
      </c>
    </row>
    <row r="188" spans="1:2">
      <c r="A188" s="387" t="str">
        <f t="shared" si="24"/>
        <v>Chipola College</v>
      </c>
      <c r="B188" s="1108">
        <v>432695</v>
      </c>
    </row>
    <row r="189" spans="1:2">
      <c r="A189" s="387" t="str">
        <f t="shared" si="24"/>
        <v>Daytona State College</v>
      </c>
      <c r="B189" s="1108">
        <v>2291042</v>
      </c>
    </row>
    <row r="190" spans="1:2">
      <c r="A190" s="387" t="str">
        <f t="shared" si="24"/>
        <v>Florida SouthWestern State College</v>
      </c>
      <c r="B190" s="1108">
        <v>1383615</v>
      </c>
    </row>
    <row r="191" spans="1:2">
      <c r="A191" s="387" t="str">
        <f t="shared" si="24"/>
        <v>Florida State College at Jacksonville</v>
      </c>
      <c r="B191" s="1108">
        <v>2284275</v>
      </c>
    </row>
    <row r="192" spans="1:2">
      <c r="A192" s="387" t="str">
        <f t="shared" si="24"/>
        <v>College of the Florida Keys</v>
      </c>
      <c r="B192" s="1108">
        <v>338573</v>
      </c>
    </row>
    <row r="193" spans="1:2">
      <c r="A193" s="387" t="str">
        <f t="shared" si="24"/>
        <v>Gulf Coast State College</v>
      </c>
      <c r="B193" s="1108">
        <v>1680100</v>
      </c>
    </row>
    <row r="194" spans="1:2">
      <c r="A194" s="387" t="str">
        <f t="shared" si="24"/>
        <v>Hillsborough Community College</v>
      </c>
      <c r="B194" s="1108">
        <v>653062</v>
      </c>
    </row>
    <row r="195" spans="1:2">
      <c r="A195" s="387" t="str">
        <f t="shared" si="24"/>
        <v>Indian River State College</v>
      </c>
      <c r="B195" s="1108">
        <v>1644383</v>
      </c>
    </row>
    <row r="196" spans="1:2">
      <c r="A196" s="387" t="str">
        <f t="shared" si="24"/>
        <v>Florida Gateway College</v>
      </c>
      <c r="B196" s="1108">
        <v>1502315</v>
      </c>
    </row>
    <row r="197" spans="1:2">
      <c r="A197" s="387" t="str">
        <f t="shared" si="24"/>
        <v>Lake-Sumter State College</v>
      </c>
      <c r="B197" s="1108">
        <v>1203371</v>
      </c>
    </row>
    <row r="198" spans="1:2">
      <c r="A198" s="387" t="str">
        <f t="shared" si="24"/>
        <v>State College of Florida, Manatee-Sarasota</v>
      </c>
      <c r="B198" s="1108">
        <v>1708676</v>
      </c>
    </row>
    <row r="199" spans="1:2">
      <c r="A199" s="387" t="str">
        <f t="shared" si="24"/>
        <v>Miami Dade College</v>
      </c>
      <c r="B199" s="1108">
        <v>2347456</v>
      </c>
    </row>
    <row r="200" spans="1:2">
      <c r="A200" s="387" t="str">
        <f t="shared" si="24"/>
        <v>North Florida College</v>
      </c>
      <c r="B200" s="1108">
        <v>909979</v>
      </c>
    </row>
    <row r="201" spans="1:2">
      <c r="A201" s="387" t="str">
        <f t="shared" si="24"/>
        <v>Northwest Florida State College</v>
      </c>
      <c r="B201" s="1108">
        <v>846604</v>
      </c>
    </row>
    <row r="202" spans="1:2">
      <c r="A202" s="387" t="str">
        <f t="shared" si="24"/>
        <v>Palm Beach State College</v>
      </c>
      <c r="B202" s="1108">
        <v>1637660</v>
      </c>
    </row>
    <row r="203" spans="1:2">
      <c r="A203" s="387" t="str">
        <f t="shared" si="24"/>
        <v>Pasco-Hernando State College</v>
      </c>
      <c r="B203" s="1108">
        <v>2453045</v>
      </c>
    </row>
    <row r="204" spans="1:2">
      <c r="A204" s="387" t="str">
        <f t="shared" si="24"/>
        <v>Pensacola State College</v>
      </c>
      <c r="B204" s="1108">
        <v>1084766</v>
      </c>
    </row>
    <row r="205" spans="1:2">
      <c r="A205" s="387" t="str">
        <f t="shared" si="24"/>
        <v>Polk State College</v>
      </c>
      <c r="B205" s="1108">
        <v>1287984</v>
      </c>
    </row>
    <row r="206" spans="1:2">
      <c r="A206" s="387" t="str">
        <f t="shared" si="24"/>
        <v>St. Johns River State College</v>
      </c>
      <c r="B206" s="1108">
        <v>1161973</v>
      </c>
    </row>
    <row r="207" spans="1:2">
      <c r="A207" s="387" t="str">
        <f t="shared" si="24"/>
        <v>St. Petersburg College</v>
      </c>
      <c r="B207" s="1108">
        <v>2139506</v>
      </c>
    </row>
    <row r="208" spans="1:2">
      <c r="A208" s="387" t="str">
        <f t="shared" si="24"/>
        <v>Santa Fe College</v>
      </c>
      <c r="B208" s="1108">
        <v>1764750</v>
      </c>
    </row>
    <row r="209" spans="1:2">
      <c r="A209" s="387" t="str">
        <f t="shared" si="24"/>
        <v>Seminole State College of Florida</v>
      </c>
      <c r="B209" s="1108">
        <v>1473391</v>
      </c>
    </row>
    <row r="210" spans="1:2">
      <c r="A210" s="387" t="str">
        <f t="shared" si="24"/>
        <v>South Florida State College</v>
      </c>
      <c r="B210" s="1108">
        <v>1194691</v>
      </c>
    </row>
    <row r="211" spans="1:2">
      <c r="A211" s="387" t="str">
        <f t="shared" si="24"/>
        <v>Tallahassee State College</v>
      </c>
      <c r="B211" s="1108">
        <v>678930</v>
      </c>
    </row>
    <row r="212" spans="1:2" ht="21.75" thickBot="1">
      <c r="A212" s="388" t="str">
        <f t="shared" si="24"/>
        <v>Valencia College</v>
      </c>
      <c r="B212" s="1109">
        <v>2111359</v>
      </c>
    </row>
    <row r="213" spans="1:2" ht="24" thickBot="1">
      <c r="A213" s="389" t="s">
        <v>49</v>
      </c>
      <c r="B213" s="427">
        <f>SUM(B185:B212)</f>
        <v>40000000</v>
      </c>
    </row>
  </sheetData>
  <sheetProtection algorithmName="SHA-512" hashValue="iAxptVhPMGXIukhgVbtJQQlGrlBAWRKG4KrQRfGRRutNUYxmtys/DCFAE844zzpdm8BcNE/pp5zw8WPYSnT2Pg==" saltValue="bC8XDPknG3BlzGLqY6XH1Q==" spinCount="100000" sheet="1" selectLockedCells="1" selectUnlockedCells="1"/>
  <printOptions horizontalCentered="1"/>
  <pageMargins left="0.95" right="0.7" top="0.75" bottom="0.75" header="0.3" footer="0.3"/>
  <pageSetup scale="21" fitToWidth="0" orientation="landscape" r:id="rId1"/>
  <rowBreaks count="2" manualBreakCount="2">
    <brk id="57" max="32" man="1"/>
    <brk id="96"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I390"/>
  <sheetViews>
    <sheetView showGridLines="0" defaultGridColor="0" colorId="22" zoomScale="70" zoomScaleNormal="70" zoomScaleSheetLayoutView="51" zoomScalePageLayoutView="60" workbookViewId="0">
      <selection activeCell="C68" sqref="C68"/>
    </sheetView>
  </sheetViews>
  <sheetFormatPr defaultColWidth="9.7109375" defaultRowHeight="21"/>
  <cols>
    <col min="1" max="1" width="5.140625" style="17" customWidth="1"/>
    <col min="2" max="2" width="1.7109375" style="17" customWidth="1"/>
    <col min="3" max="3" width="104.85546875" style="17" customWidth="1"/>
    <col min="4" max="4" width="59.85546875" style="17" customWidth="1"/>
    <col min="5" max="5" width="34.28515625" style="17" customWidth="1"/>
    <col min="6" max="6" width="22.42578125" style="17" customWidth="1"/>
    <col min="7" max="7" width="18.7109375" style="17" customWidth="1"/>
    <col min="8" max="8" width="1.7109375" style="17" customWidth="1"/>
    <col min="9" max="9" width="63.42578125" style="17" customWidth="1"/>
    <col min="10" max="11" width="18.140625" style="17" customWidth="1"/>
    <col min="12" max="12" width="22.7109375" style="17" customWidth="1"/>
    <col min="13" max="13" width="3.28515625" style="17" customWidth="1"/>
    <col min="14" max="14" width="32" style="17" customWidth="1"/>
    <col min="15" max="15" width="47" style="17" customWidth="1"/>
    <col min="16" max="16" width="31.42578125" style="17" customWidth="1"/>
    <col min="17" max="17" width="2.85546875" style="17" customWidth="1"/>
    <col min="18" max="18" width="48.140625" style="17" customWidth="1"/>
    <col min="19" max="19" width="28.7109375" style="17" customWidth="1"/>
    <col min="20" max="20" width="5.140625" style="17" customWidth="1"/>
    <col min="21" max="21" width="70" style="17" customWidth="1"/>
    <col min="22" max="22" width="26.140625" style="17" customWidth="1"/>
    <col min="23" max="23" width="22.28515625" style="17" customWidth="1"/>
    <col min="24" max="24" width="24.42578125" style="17" customWidth="1"/>
    <col min="25" max="25" width="21.140625" style="17" customWidth="1"/>
    <col min="26" max="26" width="17.42578125" style="17" customWidth="1"/>
    <col min="27" max="16384" width="9.7109375" style="17"/>
  </cols>
  <sheetData>
    <row r="1" spans="1:9">
      <c r="A1" s="901" t="s">
        <v>11</v>
      </c>
      <c r="B1" s="901"/>
      <c r="C1" s="901"/>
      <c r="D1" s="901"/>
      <c r="E1" s="901"/>
      <c r="F1" s="901"/>
      <c r="G1" s="901"/>
      <c r="H1" s="28"/>
      <c r="I1" s="28"/>
    </row>
    <row r="2" spans="1:9" ht="20.100000000000001" customHeight="1">
      <c r="A2" s="901" t="s">
        <v>724</v>
      </c>
      <c r="B2" s="901"/>
      <c r="C2" s="901"/>
      <c r="D2" s="901"/>
      <c r="E2" s="901"/>
      <c r="F2" s="901"/>
      <c r="G2" s="901"/>
    </row>
    <row r="3" spans="1:9" ht="20.100000000000001" customHeight="1">
      <c r="A3" s="901"/>
      <c r="B3" s="901"/>
      <c r="C3" s="901"/>
      <c r="D3" s="901"/>
      <c r="E3" s="901"/>
      <c r="F3" s="901"/>
      <c r="G3" s="901"/>
      <c r="H3" s="88"/>
    </row>
    <row r="4" spans="1:9" ht="28.35" customHeight="1">
      <c r="A4" s="1126" t="s">
        <v>712</v>
      </c>
      <c r="B4" s="1126"/>
      <c r="C4" s="1126"/>
      <c r="D4" s="1126"/>
      <c r="E4" s="1126"/>
      <c r="F4" s="1126"/>
      <c r="G4" s="1126"/>
      <c r="H4" s="86"/>
      <c r="I4" s="86"/>
    </row>
    <row r="5" spans="1:9" ht="20.100000000000001" customHeight="1">
      <c r="D5" s="89"/>
      <c r="E5" s="89"/>
      <c r="F5" s="89"/>
      <c r="G5" s="90"/>
      <c r="H5" s="88"/>
    </row>
    <row r="6" spans="1:9" ht="20.100000000000001" customHeight="1">
      <c r="G6" s="88"/>
    </row>
    <row r="7" spans="1:9" ht="23.1" customHeight="1" thickBot="1">
      <c r="A7" s="91" t="s">
        <v>93</v>
      </c>
      <c r="C7" s="87" t="s">
        <v>94</v>
      </c>
      <c r="D7" s="822" t="s">
        <v>721</v>
      </c>
      <c r="E7" s="939"/>
      <c r="F7" s="939"/>
      <c r="G7" s="88"/>
      <c r="H7" s="88"/>
    </row>
    <row r="8" spans="1:9" ht="20.100000000000001" customHeight="1">
      <c r="A8" s="88"/>
      <c r="B8" s="88"/>
      <c r="C8" s="88"/>
      <c r="D8" s="88"/>
      <c r="E8" s="88"/>
      <c r="F8" s="88"/>
      <c r="G8" s="88"/>
      <c r="H8" s="88"/>
    </row>
    <row r="9" spans="1:9" ht="20.100000000000001" customHeight="1">
      <c r="A9" s="88"/>
      <c r="B9" s="88"/>
      <c r="C9" s="88"/>
      <c r="D9" s="88"/>
      <c r="E9" s="88"/>
      <c r="F9" s="88"/>
      <c r="G9" s="88"/>
      <c r="H9" s="88"/>
    </row>
    <row r="10" spans="1:9" ht="89.1" customHeight="1">
      <c r="A10" s="433" t="s">
        <v>95</v>
      </c>
      <c r="B10" s="91"/>
      <c r="C10" s="902" t="s">
        <v>739</v>
      </c>
      <c r="D10" s="902"/>
      <c r="E10" s="902"/>
      <c r="F10" s="902"/>
      <c r="G10" s="902"/>
      <c r="H10" s="93"/>
      <c r="I10" s="532"/>
    </row>
    <row r="11" spans="1:9" ht="20.45" customHeight="1">
      <c r="A11" s="91"/>
      <c r="B11" s="91"/>
      <c r="C11" s="430"/>
      <c r="D11" s="430"/>
      <c r="E11" s="430"/>
      <c r="F11" s="88"/>
      <c r="G11" s="88"/>
      <c r="H11" s="93"/>
    </row>
    <row r="12" spans="1:9" ht="20.100000000000001" customHeight="1">
      <c r="C12" s="22" t="s">
        <v>96</v>
      </c>
      <c r="D12" s="22"/>
      <c r="E12" s="22"/>
      <c r="F12" s="94"/>
      <c r="G12" s="94"/>
      <c r="H12" s="94"/>
    </row>
    <row r="13" spans="1:9" ht="20.100000000000001" customHeight="1">
      <c r="C13" s="92"/>
      <c r="H13" s="94"/>
    </row>
    <row r="14" spans="1:9" ht="20.100000000000001" customHeight="1">
      <c r="C14" s="92"/>
    </row>
    <row r="15" spans="1:9" ht="20.100000000000001" customHeight="1">
      <c r="A15" s="91" t="s">
        <v>97</v>
      </c>
      <c r="B15" s="91"/>
      <c r="C15" s="824" t="s">
        <v>98</v>
      </c>
      <c r="D15" s="824"/>
      <c r="E15" s="824"/>
    </row>
    <row r="16" spans="1:9" ht="20.100000000000001" customHeight="1">
      <c r="A16" s="824"/>
      <c r="B16" s="824"/>
      <c r="D16" s="88"/>
      <c r="E16" s="88"/>
      <c r="H16" s="88"/>
    </row>
    <row r="17" spans="1:8" ht="27" customHeight="1">
      <c r="C17" s="831">
        <f>IF(+'EXHIBIT A'!E44&gt;=0.0499,+'EXHIBIT A'!E44,"PERCENTAGE DOES NOT MEET STATUTORY GUIDELINES")</f>
        <v>9.6256243460092511E-2</v>
      </c>
      <c r="D17" s="831"/>
      <c r="E17" s="831"/>
      <c r="F17" s="831"/>
      <c r="G17" s="831"/>
      <c r="H17" s="88"/>
    </row>
    <row r="18" spans="1:8" ht="20.100000000000001" customHeight="1">
      <c r="A18" s="824"/>
      <c r="B18" s="824"/>
      <c r="C18" s="903" t="s">
        <v>99</v>
      </c>
      <c r="D18" s="903"/>
      <c r="E18" s="903"/>
      <c r="F18" s="903"/>
      <c r="G18" s="903"/>
      <c r="H18" s="88"/>
    </row>
    <row r="19" spans="1:8" ht="20.100000000000001" customHeight="1">
      <c r="A19" s="824"/>
      <c r="B19" s="824"/>
      <c r="C19" s="28"/>
      <c r="D19" s="28"/>
      <c r="E19" s="28"/>
      <c r="F19" s="88"/>
      <c r="G19" s="88"/>
      <c r="H19" s="88"/>
    </row>
    <row r="20" spans="1:8" ht="20.100000000000001" customHeight="1"/>
    <row r="21" spans="1:8" ht="20.100000000000001" customHeight="1">
      <c r="A21" s="91" t="s">
        <v>100</v>
      </c>
      <c r="B21" s="91"/>
      <c r="C21" s="824" t="s">
        <v>101</v>
      </c>
      <c r="D21" s="824"/>
      <c r="E21" s="824"/>
      <c r="F21" s="29"/>
      <c r="G21" s="29"/>
      <c r="H21" s="88"/>
    </row>
    <row r="22" spans="1:8" ht="20.100000000000001" customHeight="1">
      <c r="C22" s="29"/>
      <c r="D22" s="29"/>
      <c r="E22" s="29"/>
      <c r="F22" s="29"/>
      <c r="G22" s="29"/>
      <c r="H22" s="88"/>
    </row>
    <row r="23" spans="1:8" ht="20.100000000000001" customHeight="1">
      <c r="C23" s="88" t="s">
        <v>102</v>
      </c>
      <c r="H23" s="88"/>
    </row>
    <row r="24" spans="1:8" ht="20.100000000000001" customHeight="1">
      <c r="A24" s="95"/>
      <c r="B24" s="95"/>
      <c r="C24" s="88" t="s">
        <v>103</v>
      </c>
      <c r="D24" s="88"/>
      <c r="E24" s="88"/>
      <c r="F24" s="88"/>
      <c r="G24" s="88"/>
      <c r="H24" s="88"/>
    </row>
    <row r="25" spans="1:8" ht="20.100000000000001" customHeight="1">
      <c r="A25" s="91"/>
      <c r="B25" s="91"/>
      <c r="C25" s="88" t="s">
        <v>104</v>
      </c>
      <c r="D25" s="88"/>
      <c r="E25" s="96"/>
      <c r="F25" s="88"/>
      <c r="G25" s="88"/>
      <c r="H25" s="88"/>
    </row>
    <row r="26" spans="1:8" ht="20.100000000000001" customHeight="1">
      <c r="A26" s="91"/>
      <c r="B26" s="91"/>
      <c r="C26" s="88" t="s">
        <v>105</v>
      </c>
      <c r="D26" s="88"/>
      <c r="E26" s="96"/>
      <c r="F26" s="88"/>
      <c r="G26" s="88"/>
      <c r="H26" s="88"/>
    </row>
    <row r="27" spans="1:8" ht="20.100000000000001" customHeight="1">
      <c r="A27" s="91"/>
      <c r="B27" s="91"/>
      <c r="C27" s="88" t="s">
        <v>106</v>
      </c>
      <c r="D27" s="88"/>
      <c r="E27" s="88"/>
      <c r="F27" s="88"/>
      <c r="G27" s="88"/>
      <c r="H27" s="88"/>
    </row>
    <row r="28" spans="1:8" ht="20.100000000000001" customHeight="1">
      <c r="A28" s="97"/>
      <c r="B28" s="97"/>
      <c r="C28" s="88" t="s">
        <v>107</v>
      </c>
      <c r="H28" s="88"/>
    </row>
    <row r="29" spans="1:8" ht="20.100000000000001" customHeight="1">
      <c r="A29" s="97"/>
      <c r="B29" s="97"/>
      <c r="C29" s="17" t="s">
        <v>108</v>
      </c>
      <c r="D29" s="88"/>
      <c r="E29" s="88"/>
      <c r="F29" s="88"/>
      <c r="G29" s="88"/>
      <c r="H29" s="88"/>
    </row>
    <row r="30" spans="1:8" ht="20.100000000000001" customHeight="1">
      <c r="A30" s="97"/>
      <c r="B30" s="97"/>
      <c r="D30" s="88"/>
      <c r="E30" s="88"/>
      <c r="F30" s="88"/>
      <c r="G30" s="88"/>
      <c r="H30" s="88"/>
    </row>
    <row r="31" spans="1:8" ht="20.100000000000001" customHeight="1">
      <c r="A31" s="97"/>
      <c r="B31" s="97"/>
      <c r="D31" s="88"/>
      <c r="E31" s="88"/>
      <c r="F31" s="88"/>
      <c r="G31" s="88"/>
      <c r="H31" s="88"/>
    </row>
    <row r="32" spans="1:8" ht="20.100000000000001" customHeight="1">
      <c r="A32" s="97" t="s">
        <v>109</v>
      </c>
      <c r="B32" s="97"/>
      <c r="C32" s="29" t="s">
        <v>110</v>
      </c>
      <c r="D32" s="88"/>
      <c r="E32" s="88"/>
      <c r="F32" s="88"/>
      <c r="G32" s="88"/>
      <c r="H32" s="88"/>
    </row>
    <row r="33" spans="1:8" ht="20.100000000000001" customHeight="1">
      <c r="A33" s="98"/>
      <c r="B33" s="98"/>
      <c r="C33" s="92"/>
      <c r="D33" s="88"/>
      <c r="E33" s="88"/>
      <c r="F33" s="88"/>
      <c r="G33" s="88"/>
      <c r="H33" s="88"/>
    </row>
    <row r="34" spans="1:8" ht="20.100000000000001" customHeight="1">
      <c r="A34" s="98"/>
      <c r="B34" s="98"/>
      <c r="C34" s="1131" t="str">
        <f>IF(+'EXHIBIT C'!H47+'EXHIBIT C(2)'!E31='EXHIBIT D'!G45,"Equal","Not Equal")</f>
        <v>Equal</v>
      </c>
      <c r="D34" s="88"/>
      <c r="E34" s="88"/>
      <c r="F34" s="88"/>
      <c r="G34" s="88"/>
      <c r="H34" s="88"/>
    </row>
    <row r="35" spans="1:8" ht="20.100000000000001" customHeight="1">
      <c r="A35" s="98"/>
      <c r="B35" s="98"/>
      <c r="C35" s="99"/>
      <c r="D35" s="88"/>
      <c r="E35" s="88"/>
      <c r="F35" s="88"/>
      <c r="G35" s="88"/>
      <c r="H35" s="88"/>
    </row>
    <row r="36" spans="1:8" ht="20.100000000000001" customHeight="1">
      <c r="E36" s="88"/>
      <c r="F36" s="88"/>
      <c r="G36" s="88"/>
      <c r="H36" s="88"/>
    </row>
    <row r="37" spans="1:8" ht="20.100000000000001" customHeight="1">
      <c r="A37" s="91" t="s">
        <v>111</v>
      </c>
      <c r="B37" s="91"/>
      <c r="C37" s="29" t="s">
        <v>112</v>
      </c>
      <c r="D37" s="88"/>
      <c r="E37" s="88"/>
      <c r="F37" s="100"/>
      <c r="G37" s="88"/>
      <c r="H37" s="88"/>
    </row>
    <row r="38" spans="1:8" ht="20.100000000000001" customHeight="1">
      <c r="C38" s="29" t="s">
        <v>113</v>
      </c>
      <c r="D38" s="88"/>
      <c r="E38" s="88"/>
      <c r="F38" s="101"/>
      <c r="G38" s="88"/>
      <c r="H38" s="88"/>
    </row>
    <row r="39" spans="1:8" ht="20.100000000000001" customHeight="1" thickBot="1">
      <c r="G39" s="88"/>
      <c r="H39" s="88"/>
    </row>
    <row r="40" spans="1:8" ht="20.100000000000001" customHeight="1">
      <c r="C40" s="102"/>
      <c r="D40" s="103" t="s">
        <v>722</v>
      </c>
      <c r="E40" s="103" t="str">
        <f>D40</f>
        <v>2024-25</v>
      </c>
      <c r="F40" s="104"/>
      <c r="G40" s="105"/>
      <c r="H40" s="88"/>
    </row>
    <row r="41" spans="1:8" ht="20.100000000000001" customHeight="1">
      <c r="C41" s="106"/>
      <c r="D41" s="107" t="s">
        <v>114</v>
      </c>
      <c r="E41" s="108" t="s">
        <v>115</v>
      </c>
      <c r="F41" s="108"/>
      <c r="G41" s="109" t="s">
        <v>116</v>
      </c>
      <c r="H41" s="88"/>
    </row>
    <row r="42" spans="1:8" ht="20.100000000000001" customHeight="1">
      <c r="C42" s="110"/>
      <c r="D42" s="107" t="s">
        <v>117</v>
      </c>
      <c r="E42" s="108" t="s">
        <v>118</v>
      </c>
      <c r="F42" s="108" t="s">
        <v>119</v>
      </c>
      <c r="G42" s="109" t="s">
        <v>120</v>
      </c>
      <c r="H42" s="88"/>
    </row>
    <row r="43" spans="1:8" ht="20.100000000000001" customHeight="1" thickBot="1">
      <c r="C43" s="106" t="s">
        <v>121</v>
      </c>
      <c r="D43" s="107" t="s">
        <v>122</v>
      </c>
      <c r="E43" s="108" t="s">
        <v>123</v>
      </c>
      <c r="F43" s="108" t="s">
        <v>116</v>
      </c>
      <c r="G43" s="111" t="s">
        <v>124</v>
      </c>
      <c r="H43" s="88"/>
    </row>
    <row r="44" spans="1:8" ht="20.100000000000001" customHeight="1">
      <c r="C44" s="112" t="s">
        <v>125</v>
      </c>
      <c r="D44" s="113">
        <f>VLOOKUP($D$7,VLOOKUP!$A$109:$S$137,2)*30+D59</f>
        <v>3000</v>
      </c>
      <c r="E44" s="114">
        <f>+'EXHIBIT C'!F10</f>
        <v>3150</v>
      </c>
      <c r="F44" s="115">
        <f t="shared" ref="F44:F50" si="0">IF(D44=0,"0",(E44/D44-1))</f>
        <v>5.0000000000000044E-2</v>
      </c>
      <c r="G44" s="116" t="str">
        <f t="shared" ref="G44:G50" si="1">IF(OR(F44&gt;3%, F44&lt;-3%),"YES","NO")</f>
        <v>YES</v>
      </c>
      <c r="H44" s="88"/>
    </row>
    <row r="45" spans="1:8" ht="20.100000000000001" customHeight="1">
      <c r="C45" s="117" t="s">
        <v>126</v>
      </c>
      <c r="D45" s="650">
        <f>VLOOKUP($D$7,VLOOKUP!$A$109:$S$137,5)*30+D60</f>
        <v>211882.99067803813</v>
      </c>
      <c r="E45" s="118">
        <f>+'EXHIBIT C'!F11</f>
        <v>222477</v>
      </c>
      <c r="F45" s="651">
        <f t="shared" si="0"/>
        <v>4.999933825768843E-2</v>
      </c>
      <c r="G45" s="652" t="str">
        <f t="shared" si="1"/>
        <v>YES</v>
      </c>
      <c r="H45" s="88"/>
    </row>
    <row r="46" spans="1:8" ht="20.100000000000001" customHeight="1">
      <c r="C46" s="653" t="s">
        <v>127</v>
      </c>
      <c r="D46" s="654">
        <f>VLOOKUP($D$7,VLOOKUP!$A$109:$S$137,8)*30</f>
        <v>47933.321278750183</v>
      </c>
      <c r="E46" s="655">
        <f>+'EXHIBIT C'!F12</f>
        <v>50330</v>
      </c>
      <c r="F46" s="651">
        <f t="shared" si="0"/>
        <v>5.0000264060823918E-2</v>
      </c>
      <c r="G46" s="652" t="str">
        <f t="shared" si="1"/>
        <v>YES</v>
      </c>
      <c r="H46" s="88"/>
    </row>
    <row r="47" spans="1:8" ht="20.100000000000001" customHeight="1">
      <c r="C47" s="653" t="s">
        <v>76</v>
      </c>
      <c r="D47" s="654">
        <f>VLOOKUP($D$7,VLOOKUP!$A$109:$S$137,17)*30</f>
        <v>9272.2972536348952</v>
      </c>
      <c r="E47" s="655">
        <f>+'EXHIBIT C'!F13</f>
        <v>9735</v>
      </c>
      <c r="F47" s="651">
        <f t="shared" si="0"/>
        <v>4.9901629952999738E-2</v>
      </c>
      <c r="G47" s="652" t="str">
        <f t="shared" si="1"/>
        <v>YES</v>
      </c>
      <c r="H47" s="88"/>
    </row>
    <row r="48" spans="1:8" ht="20.100000000000001" customHeight="1">
      <c r="C48" s="653" t="s">
        <v>128</v>
      </c>
      <c r="D48" s="654">
        <f>VLOOKUP($D$7,VLOOKUP!$A$109:$S$137,11)*30</f>
        <v>3298.4834558823532</v>
      </c>
      <c r="E48" s="655">
        <f>+'EXHIBIT C'!F14</f>
        <v>3463</v>
      </c>
      <c r="F48" s="651">
        <f t="shared" si="0"/>
        <v>4.9876419366074565E-2</v>
      </c>
      <c r="G48" s="652" t="str">
        <f t="shared" si="1"/>
        <v>YES</v>
      </c>
      <c r="H48" s="88"/>
    </row>
    <row r="49" spans="3:8" ht="20.100000000000001" customHeight="1" thickBot="1">
      <c r="C49" s="656" t="s">
        <v>129</v>
      </c>
      <c r="D49" s="657">
        <f>VLOOKUP($D$7,VLOOKUP!$A$109:$S$137,14)*30</f>
        <v>0</v>
      </c>
      <c r="E49" s="658">
        <f>+'EXHIBIT C'!F15</f>
        <v>0</v>
      </c>
      <c r="F49" s="659" t="str">
        <f t="shared" si="0"/>
        <v>0</v>
      </c>
      <c r="G49" s="660" t="str">
        <f t="shared" si="1"/>
        <v>NO</v>
      </c>
      <c r="H49" s="88"/>
    </row>
    <row r="50" spans="3:8" ht="20.100000000000001" customHeight="1" thickBot="1">
      <c r="C50" s="119" t="s">
        <v>49</v>
      </c>
      <c r="D50" s="120">
        <f>SUM(D44:D49)</f>
        <v>275387.09266630554</v>
      </c>
      <c r="E50" s="121">
        <f>+'EXHIBIT C'!F17</f>
        <v>289155</v>
      </c>
      <c r="F50" s="122">
        <f t="shared" si="0"/>
        <v>4.9994744489994858E-2</v>
      </c>
      <c r="G50" s="123" t="str">
        <f t="shared" si="1"/>
        <v>YES</v>
      </c>
      <c r="H50" s="88"/>
    </row>
    <row r="51" spans="3:8" ht="46.5" customHeight="1" thickBot="1">
      <c r="C51" s="904" t="s">
        <v>130</v>
      </c>
      <c r="D51" s="905"/>
      <c r="E51" s="905"/>
      <c r="F51" s="905"/>
      <c r="G51" s="906"/>
      <c r="H51" s="88"/>
    </row>
    <row r="52" spans="3:8" ht="24.6" customHeight="1" thickBot="1">
      <c r="C52" s="828" t="s">
        <v>713</v>
      </c>
      <c r="D52" s="829"/>
      <c r="E52" s="829"/>
      <c r="F52" s="829"/>
      <c r="G52" s="830"/>
      <c r="H52" s="124"/>
    </row>
    <row r="53" spans="3:8" ht="205.5" customHeight="1" thickBot="1">
      <c r="C53" s="1086" t="s">
        <v>784</v>
      </c>
      <c r="D53" s="1087"/>
      <c r="E53" s="1087"/>
      <c r="F53" s="1087"/>
      <c r="G53" s="1088"/>
      <c r="H53" s="124"/>
    </row>
    <row r="54" spans="3:8" ht="20.100000000000001" customHeight="1" thickBot="1">
      <c r="C54" s="98"/>
      <c r="D54" s="100"/>
      <c r="E54" s="88"/>
      <c r="F54" s="88"/>
      <c r="G54" s="125"/>
    </row>
    <row r="55" spans="3:8" ht="20.100000000000001" customHeight="1">
      <c r="C55" s="102"/>
      <c r="D55" s="103" t="str">
        <f>D40</f>
        <v>2024-25</v>
      </c>
      <c r="E55" s="103" t="str">
        <f>E40</f>
        <v>2024-25</v>
      </c>
      <c r="F55" s="104"/>
      <c r="G55" s="105"/>
      <c r="H55" s="124"/>
    </row>
    <row r="56" spans="3:8" ht="20.100000000000001" customHeight="1">
      <c r="C56" s="106"/>
      <c r="D56" s="107" t="s">
        <v>131</v>
      </c>
      <c r="E56" s="108" t="s">
        <v>132</v>
      </c>
      <c r="F56" s="108"/>
      <c r="G56" s="111" t="s">
        <v>116</v>
      </c>
      <c r="H56" s="124"/>
    </row>
    <row r="57" spans="3:8" ht="20.100000000000001" customHeight="1">
      <c r="C57" s="110"/>
      <c r="D57" s="107" t="s">
        <v>117</v>
      </c>
      <c r="E57" s="108" t="s">
        <v>118</v>
      </c>
      <c r="F57" s="108" t="s">
        <v>119</v>
      </c>
      <c r="G57" s="111" t="s">
        <v>120</v>
      </c>
      <c r="H57" s="124"/>
    </row>
    <row r="58" spans="3:8" ht="20.100000000000001" customHeight="1" thickBot="1">
      <c r="C58" s="126" t="s">
        <v>133</v>
      </c>
      <c r="D58" s="127" t="s">
        <v>122</v>
      </c>
      <c r="E58" s="128" t="s">
        <v>123</v>
      </c>
      <c r="F58" s="128" t="s">
        <v>116</v>
      </c>
      <c r="G58" s="129" t="s">
        <v>134</v>
      </c>
      <c r="H58" s="124"/>
    </row>
    <row r="59" spans="3:8" ht="20.100000000000001" customHeight="1">
      <c r="C59" s="112" t="s">
        <v>125</v>
      </c>
      <c r="D59" s="661">
        <f>VLOOKUP($D$7,VLOOKUP!$A$109:$S$137,3)*30</f>
        <v>0</v>
      </c>
      <c r="E59" s="130">
        <f>+'EXHIBIT C'!D19</f>
        <v>75</v>
      </c>
      <c r="F59" s="662" t="str">
        <f t="shared" ref="F59:F65" si="2">IF(D59=0,"0",(E59/D59-1))</f>
        <v>0</v>
      </c>
      <c r="G59" s="663" t="str">
        <f>IF(OR(F59&gt;5%, F59&lt;-5%),"YES","NO")</f>
        <v>NO</v>
      </c>
    </row>
    <row r="60" spans="3:8" ht="20.100000000000001" customHeight="1">
      <c r="C60" s="117" t="s">
        <v>126</v>
      </c>
      <c r="D60" s="661">
        <f>VLOOKUP($D$7,VLOOKUP!$A$109:$S$137,6)*30</f>
        <v>7890.5121412178041</v>
      </c>
      <c r="E60" s="131">
        <f>+'EXHIBIT C'!D20</f>
        <v>8280</v>
      </c>
      <c r="F60" s="662">
        <f t="shared" si="2"/>
        <v>4.9361543561617705E-2</v>
      </c>
      <c r="G60" s="663" t="str">
        <f t="shared" ref="G60:G65" si="3">IF(OR(F60&gt;5%, F60&lt;-5%),"YES","NO")</f>
        <v>NO</v>
      </c>
      <c r="H60" s="88"/>
    </row>
    <row r="61" spans="3:8" ht="20.100000000000001" customHeight="1">
      <c r="C61" s="653" t="s">
        <v>127</v>
      </c>
      <c r="D61" s="664">
        <f>VLOOKUP($D$7,VLOOKUP!$A$109:$S$137,9)*30</f>
        <v>1602.0251699696225</v>
      </c>
      <c r="E61" s="665">
        <f>+'EXHIBIT C'!D21</f>
        <v>1682</v>
      </c>
      <c r="F61" s="662">
        <f t="shared" si="2"/>
        <v>4.9921082096290537E-2</v>
      </c>
      <c r="G61" s="663" t="str">
        <f t="shared" si="3"/>
        <v>NO</v>
      </c>
      <c r="H61" s="88"/>
    </row>
    <row r="62" spans="3:8" ht="20.100000000000001" customHeight="1">
      <c r="C62" s="653" t="s">
        <v>76</v>
      </c>
      <c r="D62" s="664">
        <f>VLOOKUP($D$7,VLOOKUP!$A$109:$S$137,18)*30</f>
        <v>87.702746365105014</v>
      </c>
      <c r="E62" s="665">
        <f>+'EXHIBIT C'!D22</f>
        <v>92</v>
      </c>
      <c r="F62" s="662">
        <f t="shared" si="2"/>
        <v>4.8997936928971253E-2</v>
      </c>
      <c r="G62" s="663" t="str">
        <f t="shared" si="3"/>
        <v>NO</v>
      </c>
      <c r="H62" s="88"/>
    </row>
    <row r="63" spans="3:8" ht="20.100000000000001" customHeight="1">
      <c r="C63" s="653" t="s">
        <v>128</v>
      </c>
      <c r="D63" s="664">
        <f>VLOOKUP($D$7,VLOOKUP!$A$109:$S$137,12)*30</f>
        <v>451.51654411764707</v>
      </c>
      <c r="E63" s="665">
        <f>+'EXHIBIT C'!D23</f>
        <v>474</v>
      </c>
      <c r="F63" s="662">
        <f t="shared" si="2"/>
        <v>4.9795419847328271E-2</v>
      </c>
      <c r="G63" s="663" t="str">
        <f t="shared" si="3"/>
        <v>NO</v>
      </c>
      <c r="H63" s="88"/>
    </row>
    <row r="64" spans="3:8" ht="20.100000000000001" customHeight="1" thickBot="1">
      <c r="C64" s="656" t="s">
        <v>129</v>
      </c>
      <c r="D64" s="666">
        <f>VLOOKUP($D$7,VLOOKUP!$A$109:$S$137,15)*30</f>
        <v>0</v>
      </c>
      <c r="E64" s="667">
        <f>+'EXHIBIT C'!D24</f>
        <v>0</v>
      </c>
      <c r="F64" s="668" t="str">
        <f t="shared" si="2"/>
        <v>0</v>
      </c>
      <c r="G64" s="669" t="str">
        <f t="shared" si="3"/>
        <v>NO</v>
      </c>
      <c r="H64" s="88"/>
    </row>
    <row r="65" spans="1:8" ht="20.100000000000001" customHeight="1" thickBot="1">
      <c r="C65" s="119" t="s">
        <v>49</v>
      </c>
      <c r="D65" s="132">
        <f>SUM(D59:D64)</f>
        <v>10031.756601670178</v>
      </c>
      <c r="E65" s="133">
        <f>SUM(E59:E64)</f>
        <v>10603</v>
      </c>
      <c r="F65" s="134">
        <f t="shared" si="2"/>
        <v>5.6943506607279204E-2</v>
      </c>
      <c r="G65" s="135" t="str">
        <f t="shared" si="3"/>
        <v>YES</v>
      </c>
      <c r="H65" s="88"/>
    </row>
    <row r="66" spans="1:8" ht="42" customHeight="1" thickBot="1">
      <c r="C66" s="904" t="s">
        <v>135</v>
      </c>
      <c r="D66" s="905"/>
      <c r="E66" s="905"/>
      <c r="F66" s="905"/>
      <c r="G66" s="906"/>
      <c r="H66" s="88"/>
    </row>
    <row r="67" spans="1:8" ht="24.6" customHeight="1" thickBot="1">
      <c r="A67" s="98"/>
      <c r="B67" s="98"/>
      <c r="C67" s="825" t="s">
        <v>713</v>
      </c>
      <c r="D67" s="826"/>
      <c r="E67" s="826"/>
      <c r="F67" s="826"/>
      <c r="G67" s="827"/>
      <c r="H67" s="88"/>
    </row>
    <row r="68" spans="1:8" ht="227.25" customHeight="1" thickBot="1">
      <c r="A68" s="98"/>
      <c r="B68" s="98"/>
      <c r="C68" s="1089" t="s">
        <v>785</v>
      </c>
      <c r="D68" s="1090"/>
      <c r="E68" s="1090"/>
      <c r="F68" s="1090"/>
      <c r="G68" s="1091"/>
      <c r="H68" s="88"/>
    </row>
    <row r="69" spans="1:8" ht="20.100000000000001" customHeight="1">
      <c r="C69" s="17" t="s">
        <v>10</v>
      </c>
      <c r="H69" s="88"/>
    </row>
    <row r="70" spans="1:8" ht="20.100000000000001" customHeight="1">
      <c r="H70" s="88"/>
    </row>
    <row r="71" spans="1:8" ht="20.100000000000001" customHeight="1">
      <c r="A71" s="97" t="s">
        <v>136</v>
      </c>
      <c r="B71" s="97"/>
      <c r="C71" s="29" t="s">
        <v>137</v>
      </c>
      <c r="D71" s="88"/>
      <c r="E71" s="88"/>
      <c r="F71" s="88"/>
      <c r="G71" s="88"/>
      <c r="H71" s="88"/>
    </row>
    <row r="72" spans="1:8" ht="20.100000000000001" customHeight="1">
      <c r="A72" s="98"/>
      <c r="B72" s="98"/>
      <c r="C72" s="88"/>
      <c r="D72" s="88"/>
      <c r="E72" s="88"/>
      <c r="F72" s="88"/>
      <c r="G72" s="88"/>
      <c r="H72" s="88"/>
    </row>
    <row r="73" spans="1:8" ht="20.100000000000001" customHeight="1">
      <c r="A73" s="98"/>
      <c r="B73" s="98"/>
      <c r="C73" s="136" t="s">
        <v>138</v>
      </c>
      <c r="D73" s="88"/>
      <c r="E73" s="88"/>
      <c r="F73" s="88"/>
      <c r="G73" s="88"/>
      <c r="H73" s="88"/>
    </row>
    <row r="74" spans="1:8" ht="20.100000000000001" customHeight="1">
      <c r="A74" s="98"/>
      <c r="B74" s="98"/>
      <c r="C74" s="673" t="str">
        <f>IF(+'EXHIBIT A'!E19='EXHIBIT C'!B70,"Equal","Not Equal")</f>
        <v>Equal</v>
      </c>
      <c r="D74" s="88" t="s">
        <v>139</v>
      </c>
      <c r="E74" s="88"/>
      <c r="F74" s="88"/>
      <c r="G74" s="88"/>
      <c r="H74" s="88"/>
    </row>
    <row r="75" spans="1:8" ht="20.100000000000001" customHeight="1">
      <c r="A75" s="98"/>
      <c r="B75" s="98"/>
      <c r="C75" s="1132" t="str">
        <f>IF('EXHIBIT C'!B70=SUM('EXHIBIT D'!G133+'EXHIBIT D'!G134),"Equal","Not Equal")</f>
        <v>Equal</v>
      </c>
      <c r="D75" s="88" t="s">
        <v>140</v>
      </c>
      <c r="E75" s="88"/>
      <c r="F75" s="88"/>
      <c r="G75" s="88"/>
    </row>
    <row r="76" spans="1:8" ht="20.100000000000001" customHeight="1">
      <c r="A76" s="98"/>
      <c r="B76" s="98"/>
      <c r="C76" s="137" t="s">
        <v>141</v>
      </c>
      <c r="D76" s="88"/>
      <c r="E76" s="88"/>
      <c r="F76" s="88"/>
      <c r="G76" s="88"/>
    </row>
    <row r="77" spans="1:8" ht="20.100000000000001" customHeight="1">
      <c r="C77" s="673" t="str">
        <f>IF((+'EXHIBIT A'!E26)='EXHIBIT C'!B61,"Equal","Not Equal")</f>
        <v>Equal</v>
      </c>
      <c r="D77" s="88" t="s">
        <v>142</v>
      </c>
      <c r="E77" s="88"/>
      <c r="F77" s="88"/>
      <c r="G77" s="88"/>
      <c r="H77" s="88"/>
    </row>
    <row r="78" spans="1:8" ht="20.100000000000001" customHeight="1">
      <c r="A78" s="98"/>
      <c r="B78" s="98"/>
      <c r="C78" s="1132" t="str">
        <f>IF('EXHIBIT C'!B61=SUM('EXHIBIT D'!G223+'EXHIBIT D'!G224),"Equal","Not Equal")</f>
        <v>Equal</v>
      </c>
      <c r="D78" s="88" t="s">
        <v>143</v>
      </c>
      <c r="E78" s="88"/>
      <c r="F78" s="88"/>
      <c r="G78" s="88"/>
      <c r="H78" s="88"/>
    </row>
    <row r="79" spans="1:8" ht="20.100000000000001" customHeight="1">
      <c r="A79" s="97"/>
      <c r="B79" s="97"/>
      <c r="C79" s="138"/>
      <c r="D79" s="88"/>
      <c r="E79" s="88"/>
      <c r="F79" s="88"/>
      <c r="G79" s="88"/>
      <c r="H79" s="88"/>
    </row>
    <row r="80" spans="1:8" ht="20.100000000000001" customHeight="1">
      <c r="A80" s="97"/>
      <c r="B80" s="97"/>
      <c r="C80" s="138"/>
      <c r="D80" s="88"/>
      <c r="E80" s="88"/>
      <c r="F80" s="88"/>
      <c r="G80" s="88"/>
      <c r="H80" s="88"/>
    </row>
    <row r="81" spans="1:8" ht="21.6" customHeight="1">
      <c r="A81" s="139" t="s">
        <v>144</v>
      </c>
      <c r="B81" s="97"/>
      <c r="C81" s="907" t="s">
        <v>145</v>
      </c>
      <c r="D81" s="907"/>
      <c r="E81" s="907"/>
      <c r="F81" s="907"/>
      <c r="G81" s="907"/>
      <c r="H81" s="823"/>
    </row>
    <row r="82" spans="1:8" ht="20.100000000000001" customHeight="1" thickBot="1">
      <c r="A82" s="98"/>
      <c r="B82" s="98"/>
      <c r="C82" s="88"/>
      <c r="D82" s="88"/>
      <c r="E82" s="140"/>
      <c r="F82" s="88"/>
      <c r="G82" s="88"/>
      <c r="H82" s="88"/>
    </row>
    <row r="83" spans="1:8" ht="38.1" customHeight="1">
      <c r="A83" s="98"/>
      <c r="B83" s="98"/>
      <c r="C83" s="141" t="s">
        <v>146</v>
      </c>
      <c r="D83" s="142" t="s">
        <v>147</v>
      </c>
      <c r="E83" s="141" t="s">
        <v>148</v>
      </c>
      <c r="F83" s="141" t="s">
        <v>116</v>
      </c>
      <c r="G83" s="88"/>
      <c r="H83" s="88"/>
    </row>
    <row r="84" spans="1:8" ht="20.100000000000001" customHeight="1">
      <c r="A84" s="98"/>
      <c r="B84" s="98"/>
      <c r="C84" s="670" t="s">
        <v>149</v>
      </c>
      <c r="D84" s="671">
        <f>VLOOKUP($D$7,VLOOKUP!$A$7:$E$35,2)</f>
        <v>34145110.16823367</v>
      </c>
      <c r="E84" s="1127">
        <f>+'EXHIBIT D'!G76</f>
        <v>34145110.16823367</v>
      </c>
      <c r="F84" s="1127">
        <f>D84-E84</f>
        <v>0</v>
      </c>
      <c r="G84" s="88"/>
      <c r="H84" s="88"/>
    </row>
    <row r="85" spans="1:8" ht="20.100000000000001" customHeight="1">
      <c r="A85" s="98"/>
      <c r="B85" s="98"/>
      <c r="C85" s="672" t="s">
        <v>150</v>
      </c>
      <c r="D85" s="671">
        <f>VLOOKUP($D$7,VLOOKUP!$A$150:$B$178,2)</f>
        <v>1011402</v>
      </c>
      <c r="E85" s="1127">
        <f>'EXHIBIT D'!G78</f>
        <v>1011402</v>
      </c>
      <c r="F85" s="1127">
        <f>D85-E85</f>
        <v>0</v>
      </c>
      <c r="G85" s="88"/>
      <c r="H85" s="88"/>
    </row>
    <row r="86" spans="1:8" ht="20.100000000000001" customHeight="1">
      <c r="A86" s="98"/>
      <c r="B86" s="98"/>
      <c r="C86" s="672" t="s">
        <v>151</v>
      </c>
      <c r="D86" s="671">
        <f>VLOOKUP($D$7,VLOOKUP!$A$7:$E$35,3)</f>
        <v>7234580.8317663297</v>
      </c>
      <c r="E86" s="1127">
        <f>'EXHIBIT D'!G82</f>
        <v>7234580.8317663297</v>
      </c>
      <c r="F86" s="1127">
        <f>D86-E86</f>
        <v>0</v>
      </c>
      <c r="G86" s="88"/>
      <c r="H86" s="88"/>
    </row>
    <row r="87" spans="1:8" ht="20.100000000000001" customHeight="1" thickBot="1">
      <c r="A87" s="97"/>
      <c r="B87" s="97"/>
      <c r="C87" s="143" t="s">
        <v>696</v>
      </c>
      <c r="D87" s="671">
        <f>VLOOKUP($D$7,VLOOKUP!$A$185:$B$213,2)</f>
        <v>678930</v>
      </c>
      <c r="E87" s="1128">
        <f>'EXHIBIT D'!G77</f>
        <v>678930</v>
      </c>
      <c r="F87" s="1127">
        <f>D87-E87</f>
        <v>0</v>
      </c>
      <c r="G87" s="88"/>
      <c r="H87" s="88"/>
    </row>
    <row r="88" spans="1:8" ht="20.100000000000001" customHeight="1" thickBot="1">
      <c r="A88" s="97"/>
      <c r="B88" s="97"/>
      <c r="C88" s="144" t="s">
        <v>152</v>
      </c>
      <c r="D88" s="145">
        <f>SUM(D84:D87)</f>
        <v>43070023</v>
      </c>
      <c r="E88" s="145">
        <f>SUM(E84:E87)</f>
        <v>43070023</v>
      </c>
      <c r="F88" s="145">
        <f>SUM(F84:F87)</f>
        <v>0</v>
      </c>
      <c r="G88" s="88"/>
      <c r="H88" s="88"/>
    </row>
    <row r="89" spans="1:8">
      <c r="A89" s="97"/>
      <c r="B89" s="97"/>
      <c r="C89" s="146"/>
      <c r="D89" s="146"/>
      <c r="E89" s="146"/>
      <c r="F89" s="88"/>
      <c r="G89" s="88"/>
      <c r="H89" s="88"/>
    </row>
    <row r="90" spans="1:8" ht="20.100000000000001" customHeight="1">
      <c r="A90" s="97"/>
      <c r="B90" s="97"/>
      <c r="C90" s="146"/>
      <c r="D90" s="146"/>
      <c r="E90" s="146"/>
      <c r="F90" s="88"/>
      <c r="G90" s="88"/>
      <c r="H90" s="88"/>
    </row>
    <row r="91" spans="1:8" ht="20.100000000000001" customHeight="1">
      <c r="A91" s="97" t="s">
        <v>153</v>
      </c>
      <c r="B91" s="97"/>
      <c r="C91" s="97" t="s">
        <v>154</v>
      </c>
      <c r="D91" s="88"/>
      <c r="E91" s="88"/>
      <c r="F91" s="88"/>
      <c r="G91" s="88"/>
      <c r="H91" s="88"/>
    </row>
    <row r="92" spans="1:8" ht="20.100000000000001" customHeight="1">
      <c r="A92" s="98"/>
      <c r="B92" s="98"/>
      <c r="C92" s="97"/>
      <c r="D92" s="88"/>
      <c r="E92" s="88"/>
      <c r="F92" s="88"/>
      <c r="G92" s="88"/>
      <c r="H92" s="88"/>
    </row>
    <row r="93" spans="1:8" ht="20.100000000000001" customHeight="1">
      <c r="A93" s="98"/>
      <c r="B93" s="98"/>
      <c r="C93" s="673" t="str">
        <f>IF(+'EXHIBIT E'!B21=+'EXHIBIT D'!G195,"Equal","Not Equal")</f>
        <v>Equal</v>
      </c>
      <c r="D93" s="88" t="s">
        <v>155</v>
      </c>
      <c r="E93" s="88"/>
      <c r="F93" s="88"/>
      <c r="G93" s="93"/>
      <c r="H93" s="88"/>
    </row>
    <row r="94" spans="1:8" ht="20.100000000000001" customHeight="1">
      <c r="A94" s="98"/>
      <c r="B94" s="98"/>
      <c r="C94" s="673" t="str">
        <f>IF(+'EXHIBIT E'!C21=+'EXHIBIT D'!G229,"Equal","Not Equal")</f>
        <v>Equal</v>
      </c>
      <c r="D94" s="88" t="s">
        <v>156</v>
      </c>
      <c r="E94" s="147"/>
      <c r="F94" s="88"/>
      <c r="G94" s="93"/>
      <c r="H94" s="88"/>
    </row>
    <row r="95" spans="1:8" ht="20.100000000000001" customHeight="1">
      <c r="C95" s="673" t="str">
        <f>IF(+'EXHIBIT E'!D21=+'EXHIBIT D'!G247,"Equal","Not Equal")</f>
        <v>Equal</v>
      </c>
      <c r="D95" s="88" t="s">
        <v>157</v>
      </c>
      <c r="E95" s="147"/>
      <c r="F95" s="88"/>
      <c r="G95" s="88"/>
      <c r="H95" s="88"/>
    </row>
    <row r="96" spans="1:8" ht="20.100000000000001" customHeight="1">
      <c r="A96" s="97"/>
      <c r="B96" s="97"/>
      <c r="C96" s="673" t="str">
        <f>IF(+'EXHIBIT E'!E21=+'EXHIBIT D'!G249,"Equal","Not Equal")</f>
        <v>Equal</v>
      </c>
      <c r="D96" s="148" t="s">
        <v>49</v>
      </c>
      <c r="E96" s="147"/>
      <c r="F96" s="88"/>
      <c r="G96" s="93"/>
      <c r="H96" s="88"/>
    </row>
    <row r="97" spans="1:8" ht="20.100000000000001" customHeight="1">
      <c r="A97" s="98"/>
      <c r="B97" s="98"/>
      <c r="E97" s="88"/>
      <c r="F97" s="88"/>
      <c r="G97" s="124"/>
      <c r="H97" s="88"/>
    </row>
    <row r="98" spans="1:8" ht="20.100000000000001" customHeight="1">
      <c r="A98" s="98"/>
      <c r="B98" s="98"/>
      <c r="E98" s="88"/>
      <c r="F98" s="88"/>
      <c r="G98" s="88"/>
      <c r="H98" s="88"/>
    </row>
    <row r="99" spans="1:8" ht="42" customHeight="1">
      <c r="A99" s="149" t="s">
        <v>158</v>
      </c>
      <c r="B99" s="150"/>
      <c r="C99" s="908" t="s">
        <v>740</v>
      </c>
      <c r="D99" s="908"/>
      <c r="E99" s="908"/>
      <c r="F99" s="908"/>
      <c r="G99" s="832"/>
      <c r="H99" s="832"/>
    </row>
    <row r="100" spans="1:8" ht="20.100000000000001" customHeight="1">
      <c r="A100" s="149"/>
      <c r="B100" s="150"/>
      <c r="C100" s="832"/>
      <c r="D100" s="832"/>
      <c r="E100" s="832"/>
      <c r="F100" s="832"/>
      <c r="G100" s="88"/>
      <c r="H100" s="88"/>
    </row>
    <row r="101" spans="1:8" ht="20.100000000000001" customHeight="1">
      <c r="C101" s="674">
        <f>+'EXHIBIT A'!E40</f>
        <v>8245737</v>
      </c>
      <c r="D101" s="819" t="s">
        <v>741</v>
      </c>
      <c r="E101" s="819"/>
      <c r="F101" s="819"/>
      <c r="G101" s="88"/>
      <c r="H101" s="88"/>
    </row>
    <row r="102" spans="1:8" ht="20.100000000000001" customHeight="1">
      <c r="A102" s="95"/>
      <c r="B102" s="95"/>
      <c r="C102" s="674">
        <f>'EXHIBIT D'!G267-'EXHIBIT D'!G253-'EXHIBIT D'!G265</f>
        <v>8245737</v>
      </c>
      <c r="D102" s="821" t="s">
        <v>742</v>
      </c>
      <c r="E102" s="821"/>
      <c r="F102" s="821"/>
      <c r="G102" s="88"/>
      <c r="H102" s="88"/>
    </row>
    <row r="103" spans="1:8" ht="66.599999999999994" customHeight="1">
      <c r="A103" s="151"/>
      <c r="B103" s="151"/>
      <c r="C103" s="675">
        <f>C101-C102</f>
        <v>0</v>
      </c>
      <c r="D103" s="909" t="s">
        <v>705</v>
      </c>
      <c r="E103" s="909"/>
      <c r="F103" s="909"/>
      <c r="G103" s="909"/>
      <c r="H103" s="88"/>
    </row>
    <row r="104" spans="1:8" ht="20.100000000000001" customHeight="1">
      <c r="C104" s="152"/>
      <c r="E104" s="88"/>
      <c r="F104" s="88"/>
      <c r="G104" s="88"/>
      <c r="H104" s="88"/>
    </row>
    <row r="105" spans="1:8" ht="20.100000000000001" customHeight="1">
      <c r="C105" s="152"/>
      <c r="D105" s="88"/>
      <c r="E105" s="88"/>
      <c r="F105" s="88"/>
      <c r="G105" s="88"/>
      <c r="H105" s="88"/>
    </row>
    <row r="106" spans="1:8" ht="63" customHeight="1">
      <c r="A106" s="153" t="s">
        <v>159</v>
      </c>
      <c r="B106" s="95"/>
      <c r="C106" s="902" t="s">
        <v>710</v>
      </c>
      <c r="D106" s="902"/>
      <c r="E106" s="902"/>
      <c r="F106" s="902"/>
      <c r="G106" s="902"/>
      <c r="H106" s="820"/>
    </row>
    <row r="107" spans="1:8" ht="20.100000000000001" customHeight="1">
      <c r="A107" s="151"/>
      <c r="B107" s="151"/>
    </row>
    <row r="108" spans="1:8" ht="24.75" customHeight="1">
      <c r="A108" s="151"/>
      <c r="B108" s="151"/>
      <c r="C108" s="154">
        <f>'EXHIBIT A'!E14</f>
        <v>0</v>
      </c>
      <c r="D108" s="17" t="s">
        <v>743</v>
      </c>
    </row>
    <row r="109" spans="1:8" ht="26.25" customHeight="1">
      <c r="A109" s="151"/>
      <c r="B109" s="151"/>
      <c r="C109" s="676">
        <f>'EXHIBIT A'!E36</f>
        <v>0</v>
      </c>
      <c r="D109" s="17" t="s">
        <v>744</v>
      </c>
    </row>
    <row r="110" spans="1:8" ht="26.1" customHeight="1">
      <c r="A110" s="151"/>
      <c r="B110" s="151"/>
      <c r="C110" s="677">
        <f>C108-C109</f>
        <v>0</v>
      </c>
      <c r="D110" s="89" t="s">
        <v>160</v>
      </c>
      <c r="E110" s="89"/>
      <c r="F110" s="89"/>
      <c r="G110" s="89"/>
    </row>
    <row r="111" spans="1:8" ht="20.100000000000001" customHeight="1">
      <c r="A111" s="151"/>
      <c r="B111" s="151"/>
      <c r="C111" s="154"/>
    </row>
    <row r="112" spans="1:8" ht="26.1" customHeight="1">
      <c r="A112" s="151"/>
      <c r="B112" s="151"/>
      <c r="C112" s="675">
        <f>'EXHIBIT D'!G187</f>
        <v>0</v>
      </c>
      <c r="D112" s="148" t="s">
        <v>161</v>
      </c>
      <c r="E112" s="92"/>
      <c r="F112" s="92"/>
    </row>
    <row r="113" spans="1:8" ht="20.100000000000001" customHeight="1"/>
    <row r="114" spans="1:8" ht="38.450000000000003" customHeight="1">
      <c r="C114" s="1130">
        <f>C110+C112</f>
        <v>0</v>
      </c>
      <c r="D114" s="909" t="s">
        <v>706</v>
      </c>
      <c r="E114" s="909"/>
      <c r="F114" s="909"/>
      <c r="G114" s="909"/>
    </row>
    <row r="115" spans="1:8" ht="20.100000000000001" customHeight="1">
      <c r="C115" s="154"/>
      <c r="D115" s="16"/>
    </row>
    <row r="116" spans="1:8" ht="20.100000000000001" customHeight="1">
      <c r="A116" s="28"/>
      <c r="B116" s="28"/>
      <c r="C116" s="28"/>
    </row>
    <row r="117" spans="1:8" ht="39" customHeight="1">
      <c r="A117" s="155" t="s">
        <v>162</v>
      </c>
      <c r="B117" s="28"/>
      <c r="C117" s="902" t="s">
        <v>163</v>
      </c>
      <c r="D117" s="902"/>
      <c r="E117" s="902"/>
      <c r="F117" s="902"/>
      <c r="G117" s="902"/>
      <c r="H117" s="820"/>
    </row>
    <row r="118" spans="1:8" ht="20.100000000000001" customHeight="1"/>
    <row r="119" spans="1:8" ht="20.100000000000001" customHeight="1">
      <c r="C119" s="156">
        <f>IF('EXHIBIT G'!D118=0,"No Credit Hours or Not Applicable",('EXHIBIT G'!D118/'EXHIBIT C'!F10))</f>
        <v>91.790158730158737</v>
      </c>
      <c r="D119" s="17" t="s">
        <v>81</v>
      </c>
    </row>
    <row r="120" spans="1:8" ht="20.100000000000001" customHeight="1">
      <c r="C120" s="157"/>
    </row>
    <row r="121" spans="1:8" ht="20.100000000000001" customHeight="1">
      <c r="C121" s="158">
        <f>IF('EXHIBIT G'!D119=0,"No Credit Hours or Not Applicable",('EXHIBIT G'!D119/'EXHIBIT C'!D19))</f>
        <v>275.37333333333333</v>
      </c>
      <c r="D121" s="17" t="s">
        <v>164</v>
      </c>
      <c r="F121" s="28"/>
      <c r="G121" s="28"/>
      <c r="H121" s="28"/>
    </row>
    <row r="122" spans="1:8" ht="20.100000000000001" customHeight="1">
      <c r="C122" s="159"/>
      <c r="F122" s="28"/>
      <c r="G122" s="28"/>
      <c r="H122" s="28"/>
    </row>
    <row r="123" spans="1:8" ht="20.100000000000001" customHeight="1">
      <c r="C123" s="834"/>
      <c r="D123" s="835"/>
      <c r="E123" s="835"/>
    </row>
    <row r="124" spans="1:8" ht="20.100000000000001" customHeight="1">
      <c r="A124" s="28" t="s">
        <v>165</v>
      </c>
      <c r="B124" s="28"/>
      <c r="C124" s="28" t="s">
        <v>166</v>
      </c>
    </row>
    <row r="125" spans="1:8" ht="20.100000000000001" customHeight="1"/>
    <row r="126" spans="1:8" ht="42.6" customHeight="1">
      <c r="C126" s="1129" t="str">
        <f>IF(+'EXHIBIT G'!D118='EXHIBIT C'!H10,"Equal","Not Equal")</f>
        <v>Equal</v>
      </c>
      <c r="D126" s="910" t="s">
        <v>707</v>
      </c>
      <c r="E126" s="910"/>
      <c r="F126" s="910"/>
      <c r="G126" s="910"/>
    </row>
    <row r="127" spans="1:8" ht="20.100000000000001" customHeight="1">
      <c r="C127" s="157"/>
      <c r="D127" s="90"/>
      <c r="E127" s="90"/>
      <c r="F127" s="90"/>
      <c r="G127" s="90"/>
    </row>
    <row r="128" spans="1:8" ht="20.100000000000001" customHeight="1"/>
    <row r="129" spans="1:8" ht="58.35" customHeight="1">
      <c r="C129" s="1129" t="str">
        <f>IF(+'EXHIBIT G'!D119='EXHIBIT C'!F19,"Equal","Not Equal")</f>
        <v>Equal</v>
      </c>
      <c r="D129" s="910" t="s">
        <v>708</v>
      </c>
      <c r="E129" s="910"/>
      <c r="F129" s="910"/>
      <c r="G129" s="910"/>
    </row>
    <row r="130" spans="1:8" ht="20.100000000000001" customHeight="1">
      <c r="C130" s="157"/>
      <c r="D130" s="90"/>
      <c r="E130" s="90"/>
      <c r="F130" s="90"/>
      <c r="G130" s="90"/>
    </row>
    <row r="131" spans="1:8" ht="20.100000000000001" customHeight="1">
      <c r="C131" s="157"/>
      <c r="D131" s="833"/>
      <c r="E131" s="833"/>
      <c r="F131" s="833"/>
      <c r="G131" s="833"/>
    </row>
    <row r="132" spans="1:8" ht="20.100000000000001" customHeight="1">
      <c r="C132" s="16"/>
      <c r="D132" s="833"/>
      <c r="E132" s="833"/>
      <c r="F132" s="833"/>
      <c r="G132" s="833"/>
    </row>
    <row r="133" spans="1:8" ht="62.1" customHeight="1">
      <c r="A133" s="155" t="s">
        <v>167</v>
      </c>
      <c r="B133" s="28"/>
      <c r="C133" s="902" t="s">
        <v>709</v>
      </c>
      <c r="D133" s="902"/>
      <c r="E133" s="902"/>
      <c r="F133" s="902"/>
      <c r="G133" s="902"/>
      <c r="H133" s="820"/>
    </row>
    <row r="134" spans="1:8" ht="20.100000000000001" customHeight="1"/>
    <row r="135" spans="1:8" ht="20.100000000000001" customHeight="1">
      <c r="C135" s="1129" t="str">
        <f>IF(+'EXHIBIT G'!F113='EXHIBIT G'!F129,"Equal","Not Equal")</f>
        <v>Equal</v>
      </c>
      <c r="D135" s="819" t="s">
        <v>168</v>
      </c>
      <c r="E135" s="819"/>
      <c r="F135" s="819"/>
    </row>
    <row r="136" spans="1:8" ht="20.100000000000001" customHeight="1" thickBot="1">
      <c r="C136" s="16"/>
    </row>
    <row r="137" spans="1:8" ht="24.6" customHeight="1" thickBot="1">
      <c r="C137" s="828" t="s">
        <v>714</v>
      </c>
      <c r="D137" s="829"/>
      <c r="E137" s="829"/>
      <c r="F137" s="829"/>
      <c r="G137" s="830"/>
      <c r="H137" s="28"/>
    </row>
    <row r="138" spans="1:8" ht="199.5" customHeight="1" thickBot="1">
      <c r="C138" s="1092"/>
      <c r="D138" s="1093"/>
      <c r="E138" s="1093"/>
      <c r="F138" s="1093"/>
      <c r="G138" s="1094"/>
      <c r="H138" s="160"/>
    </row>
    <row r="139" spans="1:8" ht="20.100000000000001" customHeight="1"/>
    <row r="140" spans="1:8" ht="20.100000000000001" customHeight="1"/>
    <row r="141" spans="1:8" ht="20.100000000000001" customHeight="1"/>
    <row r="142" spans="1:8" ht="20.100000000000001" customHeight="1"/>
    <row r="143" spans="1:8" ht="20.100000000000001" customHeight="1"/>
    <row r="144" spans="1:8"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sheetData>
  <sheetProtection algorithmName="SHA-512" hashValue="hxNWTesl6RPzDA73PcBEDLZOtCRXwqtA9nHSKY9hCN2tTBnJcZkqp75qi9axx6hfUt/3uUSwocVoNK/KRwR26w==" saltValue="G6aR+QzCn6IljNDhE/Kjuw=="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34">
    <cfRule type="containsText" dxfId="8" priority="2" operator="containsText" text="Not">
      <formula>NOT(ISERROR(SEARCH("Not",C34)))</formula>
    </cfRule>
  </conditionalFormatting>
  <conditionalFormatting sqref="C74:C75 C77:C78">
    <cfRule type="containsText" dxfId="7" priority="1" operator="containsText" text="Not">
      <formula>NOT(ISERROR(SEARCH("Not",C74)))</formula>
    </cfRule>
  </conditionalFormatting>
  <conditionalFormatting sqref="C93:C96">
    <cfRule type="containsText" dxfId="6" priority="3" operator="containsText" text="Not">
      <formula>NOT(ISERROR(SEARCH("Not",C93)))</formula>
    </cfRule>
  </conditionalFormatting>
  <conditionalFormatting sqref="C114:C115">
    <cfRule type="cellIs" dxfId="5" priority="15" operator="lessThan">
      <formula>0</formula>
    </cfRule>
    <cfRule type="cellIs" dxfId="4" priority="16" operator="greaterThan">
      <formula>0</formula>
    </cfRule>
  </conditionalFormatting>
  <conditionalFormatting sqref="C126">
    <cfRule type="containsText" dxfId="3" priority="4" operator="containsText" text="Not">
      <formula>NOT(ISERROR(SEARCH("Not",C126)))</formula>
    </cfRule>
  </conditionalFormatting>
  <conditionalFormatting sqref="C135">
    <cfRule type="containsText" dxfId="2" priority="5" operator="containsText" text="Not Equal">
      <formula>NOT(ISERROR(SEARCH("Not Equal",C135)))</formula>
    </cfRule>
  </conditionalFormatting>
  <dataValidations count="1">
    <dataValidation allowBlank="1" showInputMessage="1" showErrorMessage="1" promptTitle="Select" sqref="E7:F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54" max="8" man="1"/>
    <brk id="90" max="8" man="1"/>
  </rowBreaks>
  <colBreaks count="1" manualBreakCount="1">
    <brk id="16" min="1" max="39" man="1"/>
  </colBreaks>
  <ignoredErrors>
    <ignoredError sqref="A71 A105:A106 A20:A21 A133:A134 A117:A121 A128:A129 A123:A126 A101:A103 A12:A18 A7:A8 A81:A99 A32:A37 A10" numberStoredAsText="1"/>
    <ignoredError sqref="E84 C17 F59:F65 G59:G65 D59:D64 F44:F50 G44:G50 D44:D50 D84 F84:F86 D65 E86 D8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sheetPr>
  <dimension ref="B1:J91"/>
  <sheetViews>
    <sheetView showGridLines="0" tabSelected="1" zoomScale="70" zoomScaleNormal="70" zoomScaleSheetLayoutView="90" zoomScalePageLayoutView="70" workbookViewId="0"/>
  </sheetViews>
  <sheetFormatPr defaultColWidth="9.140625" defaultRowHeight="21"/>
  <cols>
    <col min="1" max="1" width="9.140625" style="17"/>
    <col min="2" max="2" width="21.28515625" style="17" customWidth="1"/>
    <col min="3" max="3" width="75.140625" style="17" customWidth="1"/>
    <col min="4" max="4" width="40.28515625" style="17" customWidth="1"/>
    <col min="5" max="5" width="24" style="17" customWidth="1"/>
    <col min="6" max="6" width="3" style="17" customWidth="1"/>
    <col min="7" max="9" width="9.140625" style="17"/>
    <col min="10" max="10" width="16.7109375" style="17" customWidth="1"/>
    <col min="11" max="16384" width="9.140625" style="17"/>
  </cols>
  <sheetData>
    <row r="1" spans="2:7" ht="26.25">
      <c r="B1" s="911" t="s">
        <v>169</v>
      </c>
      <c r="C1" s="911"/>
      <c r="D1" s="911"/>
      <c r="E1" s="911"/>
      <c r="F1" s="284"/>
      <c r="G1" s="284"/>
    </row>
    <row r="2" spans="2:7" ht="26.25">
      <c r="B2" s="911" t="s">
        <v>11</v>
      </c>
      <c r="C2" s="911"/>
      <c r="D2" s="911"/>
      <c r="E2" s="911"/>
      <c r="F2" s="490"/>
      <c r="G2" s="490"/>
    </row>
    <row r="3" spans="2:7" ht="26.25">
      <c r="B3" s="911" t="s">
        <v>170</v>
      </c>
      <c r="C3" s="911"/>
      <c r="D3" s="911"/>
      <c r="E3" s="911"/>
      <c r="F3" s="490"/>
      <c r="G3" s="490"/>
    </row>
    <row r="4" spans="2:7" ht="26.25">
      <c r="B4" s="911" t="s">
        <v>171</v>
      </c>
      <c r="C4" s="911"/>
      <c r="D4" s="911"/>
      <c r="E4" s="911"/>
      <c r="F4" s="490"/>
      <c r="G4" s="490"/>
    </row>
    <row r="5" spans="2:7" ht="26.25">
      <c r="B5" s="911" t="s">
        <v>725</v>
      </c>
      <c r="C5" s="911"/>
      <c r="D5" s="911"/>
      <c r="E5" s="911"/>
      <c r="F5" s="490"/>
      <c r="G5" s="490"/>
    </row>
    <row r="6" spans="2:7" ht="25.35" customHeight="1">
      <c r="B6" s="490"/>
      <c r="C6" s="490"/>
      <c r="D6" s="490"/>
      <c r="E6" s="490"/>
      <c r="F6" s="490"/>
      <c r="G6" s="490"/>
    </row>
    <row r="7" spans="2:7" ht="25.35" customHeight="1">
      <c r="B7" s="284"/>
      <c r="C7" s="490"/>
      <c r="D7" s="284"/>
      <c r="E7" s="284"/>
      <c r="F7" s="284"/>
      <c r="G7" s="284"/>
    </row>
    <row r="8" spans="2:7" ht="25.35" customHeight="1">
      <c r="B8" s="336" t="s">
        <v>172</v>
      </c>
      <c r="C8" s="836" t="str">
        <f>'CHECK SHEET'!D7</f>
        <v>Tallahassee State College</v>
      </c>
      <c r="D8" s="836"/>
      <c r="E8" s="836"/>
      <c r="F8" s="283"/>
      <c r="G8" s="283"/>
    </row>
    <row r="9" spans="2:7" ht="25.35" customHeight="1"/>
    <row r="10" spans="2:7" ht="41.45" customHeight="1">
      <c r="E10" s="577" t="s">
        <v>173</v>
      </c>
    </row>
    <row r="11" spans="2:7" ht="25.35" customHeight="1">
      <c r="B11" s="28" t="s">
        <v>730</v>
      </c>
      <c r="D11" s="28"/>
      <c r="E11" s="161"/>
    </row>
    <row r="12" spans="2:7" ht="25.35" customHeight="1">
      <c r="B12" s="28"/>
      <c r="C12" s="28"/>
      <c r="D12" s="28"/>
    </row>
    <row r="13" spans="2:7" ht="25.35" customHeight="1">
      <c r="B13" s="17" t="s">
        <v>731</v>
      </c>
      <c r="C13" s="28"/>
      <c r="D13" s="28"/>
      <c r="E13" s="1135">
        <v>8245737</v>
      </c>
    </row>
    <row r="14" spans="2:7" ht="25.35" customHeight="1">
      <c r="B14" s="17" t="s">
        <v>174</v>
      </c>
      <c r="D14" s="28"/>
      <c r="E14" s="1136">
        <v>0</v>
      </c>
    </row>
    <row r="15" spans="2:7" ht="25.35" customHeight="1">
      <c r="B15" s="28"/>
      <c r="D15" s="28"/>
      <c r="E15" s="162"/>
    </row>
    <row r="16" spans="2:7" ht="25.35" customHeight="1">
      <c r="B16" s="17" t="s">
        <v>732</v>
      </c>
      <c r="C16" s="28"/>
      <c r="D16" s="28"/>
      <c r="E16" s="578">
        <f>+E14+E13</f>
        <v>8245737</v>
      </c>
    </row>
    <row r="17" spans="2:7" ht="25.35" customHeight="1">
      <c r="B17" s="28"/>
      <c r="C17" s="28"/>
      <c r="D17" s="28"/>
      <c r="E17" s="163"/>
    </row>
    <row r="18" spans="2:7" ht="25.35" customHeight="1">
      <c r="B18" s="17" t="s">
        <v>175</v>
      </c>
      <c r="C18" s="28"/>
      <c r="D18" s="28"/>
      <c r="E18" s="173">
        <f>+'EXHIBIT D'!G143-SUM(+'EXHIBIT D'!G133+'EXHIBIT D'!G134)</f>
        <v>77418701</v>
      </c>
      <c r="G18" s="138"/>
    </row>
    <row r="19" spans="2:7" ht="25.35" customHeight="1">
      <c r="B19" s="17" t="s">
        <v>176</v>
      </c>
      <c r="D19" s="28"/>
      <c r="E19" s="578">
        <f>+'EXHIBIT D'!G133+'EXHIBIT D'!G134</f>
        <v>0</v>
      </c>
    </row>
    <row r="20" spans="2:7" ht="25.35" customHeight="1">
      <c r="B20" s="28"/>
      <c r="D20" s="28"/>
      <c r="E20" s="168"/>
    </row>
    <row r="21" spans="2:7" ht="25.35" customHeight="1">
      <c r="B21" s="17" t="s">
        <v>177</v>
      </c>
      <c r="C21" s="28"/>
      <c r="D21" s="28"/>
      <c r="E21" s="579">
        <f>+E19+E18</f>
        <v>77418701</v>
      </c>
    </row>
    <row r="22" spans="2:7" ht="25.35" customHeight="1">
      <c r="B22" s="28"/>
      <c r="C22" s="28"/>
      <c r="D22" s="28"/>
      <c r="E22" s="168"/>
    </row>
    <row r="23" spans="2:7" ht="25.35" customHeight="1">
      <c r="B23" s="28" t="s">
        <v>178</v>
      </c>
      <c r="C23" s="28"/>
      <c r="D23" s="28"/>
      <c r="E23" s="579">
        <f>+E21+E16</f>
        <v>85664438</v>
      </c>
    </row>
    <row r="24" spans="2:7" ht="25.35" customHeight="1">
      <c r="B24" s="28"/>
      <c r="C24" s="28"/>
      <c r="D24" s="28"/>
      <c r="E24" s="168"/>
    </row>
    <row r="25" spans="2:7" ht="25.35" customHeight="1">
      <c r="B25" s="17" t="s">
        <v>179</v>
      </c>
      <c r="C25" s="28"/>
      <c r="D25" s="28"/>
      <c r="E25" s="174">
        <f>'EXHIBIT D'!G249-SUM(+'EXHIBIT D'!G223+'EXHIBIT D'!G224)</f>
        <v>77418701</v>
      </c>
    </row>
    <row r="26" spans="2:7" ht="25.35" customHeight="1">
      <c r="B26" s="17" t="s">
        <v>180</v>
      </c>
      <c r="D26" s="28"/>
      <c r="E26" s="578">
        <f>'EXHIBIT D'!G223+'EXHIBIT D'!G224</f>
        <v>0</v>
      </c>
    </row>
    <row r="27" spans="2:7" ht="25.35" customHeight="1">
      <c r="B27" s="28"/>
      <c r="D27" s="28"/>
      <c r="E27" s="168"/>
    </row>
    <row r="28" spans="2:7" ht="25.35" customHeight="1">
      <c r="B28" s="28" t="s">
        <v>181</v>
      </c>
      <c r="C28" s="28"/>
      <c r="D28" s="28"/>
      <c r="E28" s="580">
        <f>+E26+E25</f>
        <v>77418701</v>
      </c>
    </row>
    <row r="29" spans="2:7" ht="25.35" customHeight="1">
      <c r="B29" s="28"/>
      <c r="C29" s="28"/>
      <c r="D29" s="28"/>
      <c r="E29" s="164"/>
    </row>
    <row r="30" spans="2:7" ht="25.35" customHeight="1">
      <c r="B30" s="28" t="s">
        <v>733</v>
      </c>
      <c r="C30" s="28"/>
      <c r="D30" s="28"/>
      <c r="E30" s="164"/>
    </row>
    <row r="31" spans="2:7" ht="25.35" customHeight="1">
      <c r="B31" s="28"/>
      <c r="C31" s="28"/>
      <c r="D31" s="28"/>
      <c r="E31" s="164"/>
    </row>
    <row r="32" spans="2:7" ht="25.35" customHeight="1">
      <c r="B32" s="17" t="s">
        <v>182</v>
      </c>
      <c r="C32" s="28"/>
      <c r="D32" s="165">
        <f>+E23-E28</f>
        <v>8245737</v>
      </c>
      <c r="E32" s="164"/>
    </row>
    <row r="33" spans="2:10" ht="25.35" customHeight="1">
      <c r="B33" s="17" t="s">
        <v>183</v>
      </c>
      <c r="C33" s="28"/>
      <c r="D33" s="581">
        <f>+'EXHIBIT D'!G187</f>
        <v>0</v>
      </c>
      <c r="E33" s="164"/>
    </row>
    <row r="34" spans="2:10" ht="25.35" customHeight="1">
      <c r="B34" s="28"/>
      <c r="D34" s="28"/>
      <c r="E34" s="164"/>
      <c r="J34" s="166"/>
    </row>
    <row r="35" spans="2:10" ht="25.35" customHeight="1">
      <c r="B35" s="17" t="s">
        <v>734</v>
      </c>
      <c r="C35" s="28"/>
      <c r="D35" s="28"/>
      <c r="E35" s="167">
        <f>+D32+D33</f>
        <v>8245737</v>
      </c>
    </row>
    <row r="36" spans="2:10" ht="25.35" customHeight="1">
      <c r="B36" s="17" t="s">
        <v>735</v>
      </c>
      <c r="C36" s="28"/>
      <c r="D36" s="28"/>
      <c r="E36" s="579">
        <f>-'EXHIBIT D'!G265</f>
        <v>0</v>
      </c>
      <c r="J36" s="48"/>
    </row>
    <row r="37" spans="2:10" ht="25.35" customHeight="1">
      <c r="D37" s="28"/>
      <c r="E37" s="167"/>
    </row>
    <row r="38" spans="2:10" ht="25.35" customHeight="1">
      <c r="B38" s="28" t="s">
        <v>736</v>
      </c>
      <c r="D38" s="28"/>
      <c r="E38" s="578">
        <f>+E35-E36</f>
        <v>8245737</v>
      </c>
    </row>
    <row r="39" spans="2:10" ht="25.35" customHeight="1">
      <c r="B39" s="28"/>
      <c r="C39" s="28"/>
      <c r="D39" s="28"/>
      <c r="E39" s="168"/>
    </row>
    <row r="40" spans="2:10" ht="25.35" customHeight="1">
      <c r="B40" s="17" t="s">
        <v>737</v>
      </c>
      <c r="C40" s="28"/>
      <c r="D40" s="28"/>
      <c r="E40" s="580">
        <f>'EXHIBIT D'!G254+'EXHIBIT D'!G255+'EXHIBIT D'!G256+'EXHIBIT D'!G257+'EXHIBIT D'!G258+'EXHIBIT D'!G259+'EXHIBIT D'!G260+'EXHIBIT D'!G261</f>
        <v>8245737</v>
      </c>
    </row>
    <row r="41" spans="2:10" ht="25.35" customHeight="1">
      <c r="B41" s="17" t="s">
        <v>184</v>
      </c>
      <c r="D41" s="28"/>
      <c r="E41" s="169"/>
    </row>
    <row r="42" spans="2:10" ht="25.35" customHeight="1">
      <c r="D42" s="28"/>
      <c r="E42" s="170"/>
    </row>
    <row r="43" spans="2:10" ht="25.35" customHeight="1">
      <c r="B43" s="28" t="s">
        <v>185</v>
      </c>
      <c r="D43" s="28"/>
      <c r="E43" s="170"/>
    </row>
    <row r="44" spans="2:10" ht="25.35" customHeight="1">
      <c r="B44" s="28" t="s">
        <v>738</v>
      </c>
      <c r="C44" s="28"/>
      <c r="D44" s="28"/>
      <c r="E44" s="582">
        <f>+E40/E23</f>
        <v>9.6256243460092511E-2</v>
      </c>
    </row>
    <row r="45" spans="2:10" ht="25.35" customHeight="1">
      <c r="B45" s="28"/>
      <c r="C45" s="28"/>
      <c r="D45" s="28"/>
      <c r="E45" s="170"/>
    </row>
    <row r="46" spans="2:10" ht="25.35" customHeight="1">
      <c r="B46" s="28" t="s">
        <v>186</v>
      </c>
      <c r="C46" s="28"/>
      <c r="D46" s="28"/>
      <c r="E46" s="170"/>
    </row>
    <row r="47" spans="2:10" ht="25.35" customHeight="1">
      <c r="B47" s="28"/>
      <c r="C47" s="28"/>
      <c r="D47" s="28"/>
      <c r="E47" s="170"/>
    </row>
    <row r="48" spans="2:10" ht="25.35" customHeight="1">
      <c r="B48" s="28"/>
      <c r="C48" s="28"/>
      <c r="D48" s="28"/>
      <c r="E48" s="170"/>
    </row>
    <row r="49" spans="2:5" ht="25.35" customHeight="1">
      <c r="B49" s="28"/>
      <c r="C49" s="28"/>
      <c r="D49" s="28"/>
      <c r="E49" s="170"/>
    </row>
    <row r="50" spans="2:5" ht="25.35" customHeight="1">
      <c r="B50" s="583"/>
      <c r="C50" s="583"/>
      <c r="D50" s="28"/>
      <c r="E50" s="584"/>
    </row>
    <row r="51" spans="2:5" ht="25.35" customHeight="1">
      <c r="B51" s="28" t="s">
        <v>187</v>
      </c>
      <c r="E51" s="171" t="s">
        <v>188</v>
      </c>
    </row>
    <row r="52" spans="2:5" ht="15.75" customHeight="1">
      <c r="C52" s="28"/>
      <c r="E52" s="172"/>
    </row>
    <row r="53" spans="2:5" ht="15.75" customHeight="1">
      <c r="E53" s="172"/>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FsuV3dYtIcdpwrZk71D8kmZ9ThCtxMCqiwPfJx/vV90cumjW6Mgw4wQHQnKcZJaajd1bLuL8kUFjsRnaZVJyyQ==" saltValue="ljnYh2HZH4Mg+fSsLQlHJQ=="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D32 E20:E21 E18"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8"/>
  <sheetViews>
    <sheetView showGridLines="0" zoomScale="50" zoomScaleNormal="50" zoomScalePageLayoutView="50" workbookViewId="0"/>
  </sheetViews>
  <sheetFormatPr defaultColWidth="9.140625" defaultRowHeight="12.75"/>
  <cols>
    <col min="1" max="1" width="98.28515625" style="178" customWidth="1"/>
    <col min="2" max="2" width="18" style="178" customWidth="1"/>
    <col min="3" max="3" width="16.42578125" style="178" customWidth="1"/>
    <col min="4" max="4" width="15.28515625" style="178" customWidth="1"/>
    <col min="5" max="5" width="22.42578125" style="178" customWidth="1"/>
    <col min="6" max="6" width="20.7109375" style="178" customWidth="1"/>
    <col min="7" max="7" width="18.7109375" style="178" customWidth="1"/>
    <col min="8" max="8" width="20.28515625" style="178" bestFit="1" customWidth="1"/>
    <col min="9" max="9" width="20.28515625" style="178" customWidth="1"/>
    <col min="10" max="10" width="2" style="178" customWidth="1"/>
    <col min="11" max="11" width="21" style="178" bestFit="1" customWidth="1"/>
    <col min="12" max="12" width="19.140625" style="178" customWidth="1"/>
    <col min="13" max="13" width="5.7109375" style="178" customWidth="1"/>
    <col min="14" max="16384" width="9.140625" style="178"/>
  </cols>
  <sheetData>
    <row r="1" spans="1:18" s="284" customFormat="1" ht="23.1" customHeight="1">
      <c r="I1" s="334" t="s">
        <v>189</v>
      </c>
      <c r="L1" s="334"/>
      <c r="M1" s="334"/>
      <c r="N1" s="334"/>
      <c r="O1" s="334"/>
      <c r="P1" s="334"/>
      <c r="Q1" s="334"/>
      <c r="R1" s="334"/>
    </row>
    <row r="2" spans="1:18" s="284" customFormat="1" ht="20.100000000000001" customHeight="1"/>
    <row r="3" spans="1:18" s="284" customFormat="1" ht="20.100000000000001" customHeight="1">
      <c r="A3" s="911" t="s">
        <v>11</v>
      </c>
      <c r="B3" s="911"/>
      <c r="C3" s="911"/>
      <c r="D3" s="911"/>
      <c r="E3" s="911"/>
      <c r="F3" s="911"/>
      <c r="G3" s="911"/>
      <c r="H3" s="911"/>
      <c r="I3" s="490"/>
      <c r="J3" s="283"/>
      <c r="K3" s="283"/>
    </row>
    <row r="4" spans="1:18" s="284" customFormat="1" ht="20.100000000000001" customHeight="1">
      <c r="A4" s="911" t="s">
        <v>170</v>
      </c>
      <c r="B4" s="911"/>
      <c r="C4" s="911"/>
      <c r="D4" s="911"/>
      <c r="E4" s="911"/>
      <c r="F4" s="911"/>
      <c r="G4" s="911"/>
      <c r="H4" s="911"/>
      <c r="I4" s="490"/>
    </row>
    <row r="5" spans="1:18" s="284" customFormat="1" ht="24" customHeight="1">
      <c r="A5" s="911" t="s">
        <v>726</v>
      </c>
      <c r="B5" s="911"/>
      <c r="C5" s="911"/>
      <c r="D5" s="911"/>
      <c r="E5" s="911"/>
      <c r="F5" s="911"/>
      <c r="G5" s="911"/>
      <c r="H5" s="911"/>
      <c r="I5" s="490"/>
    </row>
    <row r="6" spans="1:18" s="284" customFormat="1" ht="24" customHeight="1">
      <c r="A6" s="911" t="s">
        <v>190</v>
      </c>
      <c r="B6" s="911"/>
      <c r="C6" s="911"/>
      <c r="D6" s="911"/>
      <c r="E6" s="911"/>
      <c r="F6" s="911"/>
      <c r="G6" s="911"/>
      <c r="H6" s="911"/>
      <c r="I6" s="490"/>
    </row>
    <row r="7" spans="1:18" s="284" customFormat="1" ht="20.100000000000001" customHeight="1">
      <c r="A7" s="911"/>
      <c r="B7" s="911"/>
      <c r="C7" s="911"/>
      <c r="D7" s="911"/>
      <c r="E7" s="911"/>
      <c r="F7" s="911"/>
      <c r="G7" s="911"/>
      <c r="H7" s="911"/>
      <c r="I7" s="490"/>
    </row>
    <row r="8" spans="1:18" s="284" customFormat="1" ht="25.35" customHeight="1" thickBot="1">
      <c r="A8" s="911"/>
      <c r="B8" s="913"/>
      <c r="C8" s="911" t="s">
        <v>172</v>
      </c>
      <c r="D8" s="914" t="str">
        <f>'CHECK SHEET'!D7</f>
        <v>Tallahassee State College</v>
      </c>
      <c r="E8" s="914"/>
      <c r="F8" s="914"/>
      <c r="G8" s="914"/>
      <c r="H8" s="914"/>
    </row>
    <row r="9" spans="1:18" s="17" customFormat="1" ht="20.100000000000001" customHeight="1"/>
    <row r="10" spans="1:18" s="17" customFormat="1" ht="20.100000000000001" customHeight="1">
      <c r="B10" s="28"/>
      <c r="C10" s="28"/>
      <c r="D10" s="28"/>
      <c r="E10" s="912"/>
      <c r="F10" s="31"/>
      <c r="G10" s="31"/>
    </row>
    <row r="11" spans="1:18" s="17" customFormat="1" ht="20.100000000000001" customHeight="1">
      <c r="B11" s="837" t="s">
        <v>191</v>
      </c>
      <c r="C11" s="837"/>
      <c r="D11" s="28"/>
      <c r="E11" s="28"/>
    </row>
    <row r="12" spans="1:18" s="17" customFormat="1" ht="20.100000000000001" customHeight="1" thickBot="1">
      <c r="B12" s="838" t="s">
        <v>192</v>
      </c>
      <c r="C12" s="838"/>
      <c r="D12" s="838"/>
      <c r="E12" s="838"/>
      <c r="J12" s="28"/>
    </row>
    <row r="13" spans="1:18" s="17" customFormat="1" ht="105.75" customHeight="1" thickBot="1">
      <c r="A13" s="337" t="s">
        <v>193</v>
      </c>
      <c r="B13" s="305" t="s">
        <v>194</v>
      </c>
      <c r="C13" s="842" t="s">
        <v>195</v>
      </c>
      <c r="D13" s="305" t="s">
        <v>196</v>
      </c>
      <c r="E13" s="305" t="s">
        <v>197</v>
      </c>
      <c r="F13" s="841" t="s">
        <v>198</v>
      </c>
      <c r="G13" s="305" t="s">
        <v>49</v>
      </c>
      <c r="H13" s="842" t="s">
        <v>199</v>
      </c>
      <c r="J13" s="28"/>
    </row>
    <row r="14" spans="1:18" s="17" customFormat="1" ht="20.100000000000001" customHeight="1">
      <c r="A14" s="28" t="s">
        <v>200</v>
      </c>
      <c r="B14" s="962">
        <v>91.79</v>
      </c>
      <c r="C14" s="962">
        <v>4.59</v>
      </c>
      <c r="D14" s="962">
        <v>9.18</v>
      </c>
      <c r="E14" s="962">
        <v>18.36</v>
      </c>
      <c r="F14" s="962">
        <v>4.59</v>
      </c>
      <c r="G14" s="679">
        <f>SUM(B14:F14)</f>
        <v>128.51</v>
      </c>
      <c r="H14" s="365">
        <f>G14*30</f>
        <v>3855.2999999999997</v>
      </c>
    </row>
    <row r="15" spans="1:18" s="17" customFormat="1" ht="20.100000000000001" customHeight="1">
      <c r="A15" s="28" t="s">
        <v>201</v>
      </c>
      <c r="B15" s="963">
        <v>76.8</v>
      </c>
      <c r="C15" s="963">
        <v>3.84</v>
      </c>
      <c r="D15" s="963">
        <v>5.35</v>
      </c>
      <c r="E15" s="963">
        <v>11</v>
      </c>
      <c r="F15" s="963">
        <v>3.84</v>
      </c>
      <c r="G15" s="679">
        <f>SUM(B15:F15)</f>
        <v>100.83</v>
      </c>
      <c r="H15" s="338">
        <f>G15*30</f>
        <v>3024.9</v>
      </c>
    </row>
    <row r="16" spans="1:18" s="17" customFormat="1" ht="20.100000000000001" customHeight="1" thickBot="1">
      <c r="A16" s="28" t="s">
        <v>76</v>
      </c>
      <c r="B16" s="964">
        <v>69.900000000000006</v>
      </c>
      <c r="C16" s="964">
        <v>3.39</v>
      </c>
      <c r="D16" s="965"/>
      <c r="E16" s="964">
        <v>3.39</v>
      </c>
      <c r="F16" s="964">
        <v>3.39</v>
      </c>
      <c r="G16" s="339">
        <f>SUM(B16:F16)</f>
        <v>80.070000000000007</v>
      </c>
      <c r="H16" s="680">
        <f>G16*30</f>
        <v>2402.1000000000004</v>
      </c>
    </row>
    <row r="17" spans="1:11" s="17" customFormat="1" ht="20.100000000000001" customHeight="1" thickBot="1">
      <c r="A17" s="293"/>
      <c r="B17" s="358"/>
      <c r="C17" s="534"/>
      <c r="D17" s="534"/>
      <c r="E17" s="534"/>
      <c r="F17" s="534"/>
      <c r="G17" s="364"/>
      <c r="H17" s="340"/>
    </row>
    <row r="18" spans="1:11" s="17" customFormat="1" ht="65.099999999999994" customHeight="1" thickBot="1">
      <c r="A18" s="348" t="s">
        <v>193</v>
      </c>
      <c r="B18" s="305" t="s">
        <v>202</v>
      </c>
      <c r="C18" s="367"/>
      <c r="D18" s="367"/>
      <c r="E18" s="367"/>
      <c r="F18" s="367"/>
      <c r="G18" s="363" t="s">
        <v>49</v>
      </c>
      <c r="H18" s="842" t="s">
        <v>203</v>
      </c>
    </row>
    <row r="19" spans="1:11" s="17" customFormat="1" ht="20.100000000000001" customHeight="1">
      <c r="A19" s="28" t="s">
        <v>204</v>
      </c>
      <c r="B19" s="678">
        <v>30</v>
      </c>
      <c r="C19" s="366"/>
      <c r="D19" s="366"/>
      <c r="E19" s="366"/>
      <c r="F19" s="366"/>
      <c r="G19" s="679">
        <f>B19</f>
        <v>30</v>
      </c>
      <c r="H19" s="607">
        <f>G19*3</f>
        <v>90</v>
      </c>
    </row>
    <row r="20" spans="1:11" s="17" customFormat="1" ht="20.100000000000001" customHeight="1" thickBot="1">
      <c r="A20" s="28" t="s">
        <v>205</v>
      </c>
      <c r="B20" s="596">
        <v>30</v>
      </c>
      <c r="C20" s="320"/>
      <c r="D20" s="320"/>
      <c r="E20" s="320"/>
      <c r="F20" s="320"/>
      <c r="G20" s="341">
        <f>B20</f>
        <v>30</v>
      </c>
      <c r="H20" s="566">
        <f>G20*3</f>
        <v>90</v>
      </c>
    </row>
    <row r="21" spans="1:11" s="17" customFormat="1" ht="20.100000000000001" customHeight="1" thickBot="1">
      <c r="A21" s="342"/>
      <c r="B21" s="358"/>
      <c r="C21" s="293"/>
      <c r="D21" s="293"/>
      <c r="E21" s="293"/>
      <c r="F21" s="293"/>
      <c r="G21" s="364"/>
      <c r="H21" s="340"/>
    </row>
    <row r="22" spans="1:11" s="17" customFormat="1" ht="20.100000000000001" customHeight="1">
      <c r="A22" s="28" t="s">
        <v>206</v>
      </c>
      <c r="B22" s="435">
        <v>0</v>
      </c>
      <c r="C22" s="535"/>
      <c r="D22" s="535"/>
      <c r="E22" s="535"/>
      <c r="F22" s="535"/>
      <c r="G22" s="343">
        <f>B22</f>
        <v>0</v>
      </c>
      <c r="H22" s="362">
        <f>G22*2</f>
        <v>0</v>
      </c>
    </row>
    <row r="23" spans="1:11" s="17" customFormat="1" ht="20.100000000000001" customHeight="1" thickBot="1">
      <c r="A23" s="28" t="s">
        <v>207</v>
      </c>
      <c r="B23" s="681">
        <v>0</v>
      </c>
      <c r="C23" s="320"/>
      <c r="D23" s="320"/>
      <c r="E23" s="320"/>
      <c r="F23" s="320"/>
      <c r="G23" s="682">
        <f>B23</f>
        <v>0</v>
      </c>
      <c r="H23" s="680">
        <f>G23*2</f>
        <v>0</v>
      </c>
      <c r="J23" s="344"/>
      <c r="K23" s="344"/>
    </row>
    <row r="24" spans="1:11" s="17" customFormat="1" ht="25.35" customHeight="1">
      <c r="B24" s="344"/>
      <c r="C24" s="28"/>
      <c r="D24" s="28"/>
      <c r="E24" s="28"/>
      <c r="F24" s="28"/>
      <c r="G24" s="344"/>
      <c r="H24" s="344"/>
      <c r="I24" s="344"/>
      <c r="J24" s="344"/>
      <c r="K24" s="344"/>
    </row>
    <row r="25" spans="1:11" s="17" customFormat="1" ht="13.5" customHeight="1">
      <c r="A25" s="28"/>
      <c r="B25" s="344"/>
      <c r="C25" s="344"/>
      <c r="D25" s="344"/>
      <c r="E25" s="344"/>
      <c r="F25" s="344"/>
      <c r="G25" s="344"/>
      <c r="H25" s="344"/>
      <c r="I25" s="344"/>
      <c r="J25" s="344"/>
      <c r="K25" s="344"/>
    </row>
    <row r="26" spans="1:11" s="17" customFormat="1" ht="20.100000000000001" customHeight="1">
      <c r="B26" s="28" t="s">
        <v>208</v>
      </c>
      <c r="C26" s="28"/>
      <c r="D26" s="28"/>
      <c r="E26" s="28"/>
      <c r="F26" s="344"/>
      <c r="G26" s="344"/>
      <c r="H26" s="344"/>
      <c r="I26" s="344"/>
      <c r="J26" s="344"/>
      <c r="K26" s="344"/>
    </row>
    <row r="27" spans="1:11" s="17" customFormat="1" ht="20.100000000000001" customHeight="1" thickBot="1">
      <c r="A27" s="28"/>
      <c r="B27" s="28" t="s">
        <v>192</v>
      </c>
      <c r="C27" s="28"/>
      <c r="D27" s="28"/>
      <c r="E27" s="28"/>
      <c r="F27" s="344"/>
      <c r="G27" s="344"/>
      <c r="H27" s="344"/>
      <c r="I27" s="344"/>
    </row>
    <row r="28" spans="1:11" s="17" customFormat="1" ht="108" customHeight="1" thickBot="1">
      <c r="A28" s="337" t="s">
        <v>193</v>
      </c>
      <c r="B28" s="286" t="s">
        <v>194</v>
      </c>
      <c r="C28" s="305" t="s">
        <v>209</v>
      </c>
      <c r="D28" s="305" t="s">
        <v>195</v>
      </c>
      <c r="E28" s="305" t="s">
        <v>196</v>
      </c>
      <c r="F28" s="305" t="s">
        <v>197</v>
      </c>
      <c r="G28" s="841" t="s">
        <v>198</v>
      </c>
      <c r="H28" s="305" t="s">
        <v>49</v>
      </c>
      <c r="I28" s="842" t="s">
        <v>199</v>
      </c>
      <c r="J28" s="28"/>
      <c r="K28" s="28"/>
    </row>
    <row r="29" spans="1:11" s="17" customFormat="1" ht="20.100000000000001" customHeight="1">
      <c r="A29" s="28" t="str">
        <f t="shared" ref="A29:B31" si="0">A14</f>
        <v>UPPER LEVEL - BACCALAUREATE</v>
      </c>
      <c r="B29" s="345">
        <f t="shared" si="0"/>
        <v>91.79</v>
      </c>
      <c r="C29" s="962">
        <v>275.37</v>
      </c>
      <c r="D29" s="962">
        <v>18.36</v>
      </c>
      <c r="E29" s="536">
        <f>D14</f>
        <v>9.18</v>
      </c>
      <c r="F29" s="962">
        <v>73.430000000000007</v>
      </c>
      <c r="G29" s="962">
        <v>18.36</v>
      </c>
      <c r="H29" s="346">
        <f>SUM(B29:G29)</f>
        <v>486.49000000000007</v>
      </c>
      <c r="I29" s="359">
        <f>H29*30</f>
        <v>14594.700000000003</v>
      </c>
    </row>
    <row r="30" spans="1:11" s="17" customFormat="1" ht="20.100000000000001" customHeight="1">
      <c r="A30" s="28" t="str">
        <f t="shared" si="0"/>
        <v>LOWER LEVEL - CREDIT (A &amp; P, PSV, DEVELOPMENTAL EDUCATION AND EPI)</v>
      </c>
      <c r="B30" s="683">
        <f t="shared" si="0"/>
        <v>76.8</v>
      </c>
      <c r="C30" s="966">
        <v>230.4</v>
      </c>
      <c r="D30" s="966">
        <v>15.36</v>
      </c>
      <c r="E30" s="684">
        <f>D15</f>
        <v>5.35</v>
      </c>
      <c r="F30" s="966">
        <v>44</v>
      </c>
      <c r="G30" s="966">
        <v>15.36</v>
      </c>
      <c r="H30" s="679">
        <f>SUM(B30:G30)</f>
        <v>387.27000000000004</v>
      </c>
      <c r="I30" s="338">
        <f>H30*30</f>
        <v>11618.1</v>
      </c>
    </row>
    <row r="31" spans="1:11" s="17" customFormat="1" ht="20.100000000000001" customHeight="1">
      <c r="A31" s="28" t="str">
        <f t="shared" si="0"/>
        <v>CAREER CERTIFICATE AND APPLIED TECHNOLOGY DIPLOMA</v>
      </c>
      <c r="B31" s="1148">
        <f t="shared" si="0"/>
        <v>69.900000000000006</v>
      </c>
      <c r="C31" s="963">
        <v>209.7</v>
      </c>
      <c r="D31" s="963">
        <v>13.56</v>
      </c>
      <c r="E31" s="1149"/>
      <c r="F31" s="963">
        <v>13.56</v>
      </c>
      <c r="G31" s="963">
        <v>13.56</v>
      </c>
      <c r="H31" s="1150">
        <f>SUM(B31:G31)</f>
        <v>320.28000000000003</v>
      </c>
      <c r="I31" s="1150">
        <f>H31*30</f>
        <v>9608.4000000000015</v>
      </c>
    </row>
    <row r="32" spans="1:11" s="17" customFormat="1" ht="20.100000000000001" customHeight="1" thickBot="1">
      <c r="A32" s="28" t="s">
        <v>778</v>
      </c>
      <c r="B32" s="1166">
        <v>76.8</v>
      </c>
      <c r="C32" s="1163">
        <v>138.47999999999999</v>
      </c>
      <c r="D32" s="1163">
        <v>15.36</v>
      </c>
      <c r="E32" s="1164"/>
      <c r="F32" s="1163">
        <v>44</v>
      </c>
      <c r="G32" s="1163">
        <v>15.36</v>
      </c>
      <c r="H32" s="1150">
        <f>SUM(B32:G32)</f>
        <v>290</v>
      </c>
      <c r="I32" s="1150">
        <f>H32*30</f>
        <v>8700</v>
      </c>
    </row>
    <row r="33" spans="1:11" s="17" customFormat="1" ht="20.100000000000001" customHeight="1" thickBot="1">
      <c r="A33" s="342"/>
      <c r="B33" s="293"/>
      <c r="C33" s="293"/>
      <c r="D33" s="293"/>
      <c r="E33" s="293"/>
      <c r="F33" s="293"/>
      <c r="G33" s="293"/>
      <c r="H33" s="293"/>
      <c r="I33" s="347"/>
    </row>
    <row r="34" spans="1:11" s="17" customFormat="1" ht="65.099999999999994" customHeight="1" thickBot="1">
      <c r="A34" s="348" t="s">
        <v>193</v>
      </c>
      <c r="B34" s="305" t="s">
        <v>202</v>
      </c>
      <c r="C34" s="293"/>
      <c r="D34" s="293"/>
      <c r="E34" s="293"/>
      <c r="F34" s="293"/>
      <c r="G34" s="293"/>
      <c r="H34" s="305" t="s">
        <v>49</v>
      </c>
      <c r="I34" s="842" t="s">
        <v>203</v>
      </c>
    </row>
    <row r="35" spans="1:11" s="17" customFormat="1" ht="20.100000000000001" customHeight="1">
      <c r="A35" s="28" t="str">
        <f>A19</f>
        <v>VOCATIONAL PREPARATORY (PER TERM)</v>
      </c>
      <c r="B35" s="349">
        <f>B19</f>
        <v>30</v>
      </c>
      <c r="C35" s="366"/>
      <c r="D35" s="366"/>
      <c r="E35" s="366"/>
      <c r="F35" s="366"/>
      <c r="G35" s="366"/>
      <c r="H35" s="685">
        <f>B35</f>
        <v>30</v>
      </c>
      <c r="I35" s="360">
        <f>H35*3</f>
        <v>90</v>
      </c>
      <c r="J35" s="344"/>
      <c r="K35" s="344"/>
    </row>
    <row r="36" spans="1:11" s="17" customFormat="1" ht="20.100000000000001" customHeight="1" thickBot="1">
      <c r="A36" s="28" t="str">
        <f>A20</f>
        <v>ADULT GENERAL EDUCATION AND SECONDARY (PER TERM)</v>
      </c>
      <c r="B36" s="686">
        <f>B20</f>
        <v>30</v>
      </c>
      <c r="C36" s="320"/>
      <c r="D36" s="320"/>
      <c r="E36" s="320"/>
      <c r="F36" s="320"/>
      <c r="G36" s="320"/>
      <c r="H36" s="350">
        <f>B36</f>
        <v>30</v>
      </c>
      <c r="I36" s="687">
        <f>H36*3</f>
        <v>90</v>
      </c>
    </row>
    <row r="37" spans="1:11" s="17" customFormat="1" ht="20.100000000000001" customHeight="1" thickBot="1">
      <c r="A37" s="342"/>
      <c r="B37" s="436"/>
      <c r="C37" s="293"/>
      <c r="D37" s="293"/>
      <c r="E37" s="293"/>
      <c r="F37" s="293"/>
      <c r="G37" s="293"/>
      <c r="H37" s="436"/>
      <c r="I37" s="437"/>
    </row>
    <row r="38" spans="1:11" s="17" customFormat="1" ht="20.100000000000001" customHeight="1">
      <c r="A38" s="28" t="str">
        <f>A22</f>
        <v>VOCATIONAL PREPARATORY (PER HALF YEAR)</v>
      </c>
      <c r="B38" s="349">
        <f>B22</f>
        <v>0</v>
      </c>
      <c r="C38" s="535"/>
      <c r="D38" s="535"/>
      <c r="E38" s="535"/>
      <c r="F38" s="535"/>
      <c r="G38" s="535"/>
      <c r="H38" s="346">
        <f>B38</f>
        <v>0</v>
      </c>
      <c r="I38" s="359">
        <f>H38*2</f>
        <v>0</v>
      </c>
    </row>
    <row r="39" spans="1:11" s="17" customFormat="1" ht="20.100000000000001" customHeight="1" thickBot="1">
      <c r="A39" s="28" t="str">
        <f>A23</f>
        <v>ADULT GENERAL EDUCATION AND SECONDARY (PER HALF YEAR)</v>
      </c>
      <c r="B39" s="686">
        <f>B23</f>
        <v>0</v>
      </c>
      <c r="C39" s="320"/>
      <c r="D39" s="320"/>
      <c r="E39" s="320"/>
      <c r="F39" s="320"/>
      <c r="G39" s="320"/>
      <c r="H39" s="688">
        <f>B39</f>
        <v>0</v>
      </c>
      <c r="I39" s="361">
        <f>H39*2</f>
        <v>0</v>
      </c>
    </row>
    <row r="40" spans="1:11" s="17" customFormat="1" ht="20.100000000000001" customHeight="1">
      <c r="A40" s="28"/>
      <c r="B40" s="351"/>
    </row>
    <row r="41" spans="1:11" ht="26.25" customHeight="1">
      <c r="A41" s="179" t="s">
        <v>777</v>
      </c>
      <c r="B41" s="915"/>
      <c r="C41" s="915"/>
      <c r="D41" s="915"/>
      <c r="E41" s="915"/>
      <c r="F41" s="915"/>
      <c r="G41" s="915"/>
      <c r="H41" s="915"/>
      <c r="I41" s="915"/>
      <c r="J41" s="175"/>
    </row>
    <row r="42" spans="1:11" ht="20.25" customHeight="1">
      <c r="A42" s="17" t="s">
        <v>779</v>
      </c>
      <c r="B42" s="177"/>
      <c r="C42" s="177"/>
      <c r="D42" s="177"/>
      <c r="E42" s="177"/>
      <c r="F42" s="177"/>
      <c r="G42" s="177"/>
      <c r="H42" s="177"/>
      <c r="I42" s="177"/>
    </row>
    <row r="43" spans="1:11" ht="20.25" customHeight="1">
      <c r="A43" s="17" t="s">
        <v>780</v>
      </c>
      <c r="B43" s="177"/>
      <c r="C43" s="177"/>
      <c r="D43" s="177"/>
      <c r="E43" s="177"/>
      <c r="F43" s="177"/>
      <c r="G43" s="177"/>
      <c r="H43" s="177"/>
      <c r="I43" s="177"/>
    </row>
    <row r="44" spans="1:11" ht="20.25" customHeight="1">
      <c r="A44" s="17" t="s">
        <v>781</v>
      </c>
      <c r="B44" s="177"/>
      <c r="C44" s="177"/>
      <c r="D44" s="177"/>
      <c r="E44" s="177"/>
      <c r="F44" s="177"/>
      <c r="G44" s="177"/>
      <c r="H44" s="177"/>
      <c r="I44" s="177"/>
    </row>
    <row r="45" spans="1:11" ht="20.25" customHeight="1">
      <c r="A45" s="17" t="s">
        <v>782</v>
      </c>
      <c r="B45" s="177"/>
      <c r="C45" s="177"/>
      <c r="D45" s="177"/>
      <c r="E45" s="177"/>
      <c r="F45" s="177"/>
      <c r="G45" s="177"/>
      <c r="H45" s="177"/>
      <c r="I45" s="177"/>
    </row>
    <row r="46" spans="1:11" ht="20.25" customHeight="1">
      <c r="A46" s="177"/>
      <c r="B46" s="177"/>
      <c r="C46" s="177"/>
      <c r="D46" s="177"/>
      <c r="E46" s="177"/>
      <c r="F46" s="177"/>
      <c r="G46" s="177"/>
      <c r="H46" s="177"/>
      <c r="I46" s="177"/>
    </row>
    <row r="47" spans="1:11" ht="20.25" customHeight="1">
      <c r="A47" s="177"/>
      <c r="B47" s="177"/>
      <c r="C47" s="177"/>
      <c r="D47" s="177"/>
      <c r="E47" s="177"/>
      <c r="F47" s="177"/>
      <c r="G47" s="177"/>
      <c r="H47" s="177"/>
      <c r="I47" s="177"/>
    </row>
    <row r="48" spans="1:11" ht="20.25" customHeight="1">
      <c r="A48" s="177"/>
      <c r="B48" s="177"/>
      <c r="C48" s="177"/>
      <c r="D48" s="177"/>
      <c r="E48" s="177"/>
      <c r="F48" s="177"/>
      <c r="G48" s="177"/>
      <c r="H48" s="177"/>
      <c r="I48" s="177"/>
    </row>
    <row r="49" spans="1:9" ht="20.25" customHeight="1">
      <c r="A49" s="177"/>
      <c r="B49" s="177"/>
      <c r="C49" s="177"/>
      <c r="D49" s="177"/>
      <c r="E49" s="177"/>
      <c r="F49" s="177"/>
      <c r="G49" s="177"/>
      <c r="H49" s="177"/>
      <c r="I49" s="177"/>
    </row>
    <row r="50" spans="1:9" ht="20.25" customHeight="1">
      <c r="A50" s="177"/>
      <c r="B50" s="177"/>
      <c r="C50" s="177"/>
      <c r="D50" s="177"/>
      <c r="E50" s="177"/>
      <c r="F50" s="177"/>
      <c r="G50" s="177"/>
      <c r="H50" s="177"/>
      <c r="I50" s="177"/>
    </row>
    <row r="51" spans="1:9" ht="20.25" customHeight="1">
      <c r="A51" s="177"/>
      <c r="B51" s="177"/>
      <c r="C51" s="177"/>
      <c r="D51" s="177"/>
      <c r="E51" s="177"/>
      <c r="F51" s="177"/>
      <c r="G51" s="177"/>
      <c r="H51" s="177"/>
      <c r="I51" s="177"/>
    </row>
    <row r="52" spans="1:9" ht="20.25" customHeight="1">
      <c r="A52" s="177"/>
      <c r="B52" s="177"/>
      <c r="C52" s="177"/>
      <c r="D52" s="177"/>
      <c r="E52" s="177"/>
      <c r="F52" s="177"/>
      <c r="G52" s="177"/>
      <c r="H52" s="177"/>
      <c r="I52" s="177"/>
    </row>
    <row r="53" spans="1:9" ht="20.25" customHeight="1">
      <c r="A53" s="177"/>
      <c r="B53" s="177"/>
      <c r="C53" s="177"/>
      <c r="D53" s="177"/>
      <c r="E53" s="177"/>
      <c r="F53" s="177"/>
      <c r="G53" s="177"/>
      <c r="H53" s="177"/>
      <c r="I53" s="177"/>
    </row>
    <row r="54" spans="1:9" ht="20.25" customHeight="1">
      <c r="A54" s="177"/>
      <c r="B54" s="177"/>
      <c r="C54" s="177"/>
      <c r="D54" s="177"/>
      <c r="E54" s="177"/>
      <c r="F54" s="177"/>
      <c r="G54" s="177"/>
      <c r="H54" s="177"/>
      <c r="I54" s="177"/>
    </row>
    <row r="55" spans="1:9" ht="20.25" customHeight="1">
      <c r="B55" s="177"/>
      <c r="C55" s="177"/>
      <c r="D55" s="177"/>
      <c r="E55" s="177"/>
      <c r="F55" s="177"/>
      <c r="G55" s="177"/>
      <c r="H55" s="177"/>
      <c r="I55" s="177"/>
    </row>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row r="87" ht="20.25" customHeight="1"/>
    <row r="88" ht="20.25" customHeight="1"/>
  </sheetData>
  <sheetProtection algorithmName="SHA-512" hashValue="d656u0IaJAhgY3XYT0vwg0nJdW23T3q6lX8IGqfe7WcaqJMrg1AzTqr+zb1bovSS5kacxPVoUjhzQWpYZFv36g==" saltValue="WX6aMWKxdbI6RX5gCCXGvQ=="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conditionalFormatting sqref="H32">
    <cfRule type="cellIs" dxfId="1" priority="1" operator="greaterThan">
      <formula>290</formula>
    </cfRule>
  </conditionalFormatting>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J148"/>
  <sheetViews>
    <sheetView showGridLines="0" zoomScale="70" zoomScaleNormal="70" zoomScaleSheetLayoutView="50" zoomScalePageLayoutView="50" workbookViewId="0"/>
  </sheetViews>
  <sheetFormatPr defaultColWidth="9.140625" defaultRowHeight="21"/>
  <cols>
    <col min="1" max="1" width="43.7109375" style="17" customWidth="1"/>
    <col min="2" max="2" width="81.140625" style="17" customWidth="1"/>
    <col min="3" max="3" width="18.7109375" style="17" customWidth="1"/>
    <col min="4" max="4" width="23.28515625" style="17" customWidth="1"/>
    <col min="5" max="5" width="29" style="17" customWidth="1"/>
    <col min="6" max="6" width="19.7109375" style="17" customWidth="1"/>
    <col min="7" max="8" width="20.42578125" style="17" customWidth="1"/>
    <col min="9" max="9" width="5.140625" style="17" customWidth="1"/>
    <col min="10" max="16384" width="9.140625" style="17"/>
  </cols>
  <sheetData>
    <row r="1" spans="1:9" ht="23.1" customHeight="1">
      <c r="H1" s="176" t="s">
        <v>210</v>
      </c>
    </row>
    <row r="2" spans="1:9" ht="20.100000000000001" customHeight="1">
      <c r="A2" s="917" t="s">
        <v>11</v>
      </c>
      <c r="B2" s="917"/>
      <c r="C2" s="917"/>
      <c r="D2" s="917"/>
      <c r="E2" s="917"/>
      <c r="F2" s="917"/>
      <c r="G2" s="917"/>
      <c r="H2" s="840"/>
      <c r="I2" s="28"/>
    </row>
    <row r="3" spans="1:9" ht="20.100000000000001" customHeight="1">
      <c r="A3" s="917" t="s">
        <v>727</v>
      </c>
      <c r="B3" s="917"/>
      <c r="C3" s="917"/>
      <c r="D3" s="917"/>
      <c r="E3" s="917"/>
      <c r="F3" s="917"/>
      <c r="G3" s="917"/>
      <c r="H3" s="840"/>
    </row>
    <row r="4" spans="1:9" ht="20.100000000000001" customHeight="1">
      <c r="A4" s="330"/>
      <c r="B4" s="330"/>
      <c r="C4" s="330"/>
      <c r="D4" s="330"/>
      <c r="E4" s="330"/>
      <c r="F4" s="330"/>
      <c r="G4" s="330"/>
      <c r="H4" s="285"/>
    </row>
    <row r="5" spans="1:9" ht="27.6" customHeight="1" thickBot="1">
      <c r="A5" s="917" t="s">
        <v>211</v>
      </c>
      <c r="B5" s="918" t="str">
        <f>'CHECK SHEET'!D7</f>
        <v>Tallahassee State College</v>
      </c>
      <c r="C5" s="918"/>
      <c r="D5" s="918"/>
      <c r="E5" s="918"/>
      <c r="F5" s="918"/>
      <c r="G5" s="330"/>
      <c r="H5" s="916"/>
    </row>
    <row r="6" spans="1:9" ht="20.100000000000001" customHeight="1">
      <c r="A6" s="330"/>
      <c r="B6" s="330"/>
      <c r="C6" s="330"/>
      <c r="D6" s="330"/>
      <c r="E6" s="330"/>
      <c r="F6" s="330"/>
      <c r="G6" s="330"/>
      <c r="H6" s="916"/>
    </row>
    <row r="7" spans="1:9" ht="20.100000000000001" customHeight="1">
      <c r="A7" s="837" t="s">
        <v>212</v>
      </c>
      <c r="B7" s="837"/>
      <c r="C7" s="837"/>
      <c r="D7" s="837"/>
      <c r="E7" s="837"/>
      <c r="F7" s="837"/>
      <c r="G7" s="837"/>
      <c r="H7" s="837"/>
    </row>
    <row r="8" spans="1:9" ht="20.100000000000001" customHeight="1" thickBot="1">
      <c r="C8" s="28"/>
    </row>
    <row r="9" spans="1:9" ht="85.5" customHeight="1" thickBot="1">
      <c r="A9" s="286" t="s">
        <v>213</v>
      </c>
      <c r="B9" s="286" t="s">
        <v>214</v>
      </c>
      <c r="C9" s="294" t="s">
        <v>215</v>
      </c>
      <c r="D9" s="294" t="s">
        <v>216</v>
      </c>
      <c r="E9" s="294" t="s">
        <v>217</v>
      </c>
      <c r="F9" s="294" t="s">
        <v>66</v>
      </c>
      <c r="G9" s="294" t="s">
        <v>218</v>
      </c>
      <c r="H9" s="295" t="s">
        <v>219</v>
      </c>
      <c r="I9" s="19"/>
    </row>
    <row r="10" spans="1:9" ht="20.100000000000001" customHeight="1">
      <c r="A10" s="537" t="s">
        <v>194</v>
      </c>
      <c r="B10" s="537" t="s">
        <v>220</v>
      </c>
      <c r="C10" s="538">
        <v>40101</v>
      </c>
      <c r="D10" s="689">
        <v>3150</v>
      </c>
      <c r="E10" s="539">
        <v>0</v>
      </c>
      <c r="F10" s="540">
        <f t="shared" ref="F10:F15" si="0">+D10-E10</f>
        <v>3150</v>
      </c>
      <c r="G10" s="540">
        <f>'EXHIBIT B'!B14</f>
        <v>91.79</v>
      </c>
      <c r="H10" s="541">
        <f>ROUND(+F10*G10,0)</f>
        <v>289139</v>
      </c>
    </row>
    <row r="11" spans="1:9" ht="20.100000000000001" customHeight="1">
      <c r="A11" s="690" t="s">
        <v>194</v>
      </c>
      <c r="B11" s="690" t="s">
        <v>126</v>
      </c>
      <c r="C11" s="691" t="s">
        <v>221</v>
      </c>
      <c r="D11" s="689">
        <v>222477</v>
      </c>
      <c r="E11" s="689">
        <v>0</v>
      </c>
      <c r="F11" s="692">
        <f t="shared" si="0"/>
        <v>222477</v>
      </c>
      <c r="G11" s="692">
        <f>+'EXHIBIT B'!B15</f>
        <v>76.8</v>
      </c>
      <c r="H11" s="693">
        <f t="shared" ref="H11:H15" si="1">ROUND(+F11*G11,0)</f>
        <v>17086234</v>
      </c>
    </row>
    <row r="12" spans="1:9" ht="20.100000000000001" customHeight="1">
      <c r="A12" s="690" t="s">
        <v>194</v>
      </c>
      <c r="B12" s="690" t="s">
        <v>127</v>
      </c>
      <c r="C12" s="691" t="s">
        <v>222</v>
      </c>
      <c r="D12" s="689">
        <v>50330</v>
      </c>
      <c r="E12" s="689">
        <v>0</v>
      </c>
      <c r="F12" s="692">
        <f t="shared" si="0"/>
        <v>50330</v>
      </c>
      <c r="G12" s="692">
        <f>+'EXHIBIT B'!B15</f>
        <v>76.8</v>
      </c>
      <c r="H12" s="693">
        <f t="shared" si="1"/>
        <v>3865344</v>
      </c>
    </row>
    <row r="13" spans="1:9" ht="20.100000000000001" customHeight="1">
      <c r="A13" s="690" t="s">
        <v>194</v>
      </c>
      <c r="B13" s="690" t="s">
        <v>76</v>
      </c>
      <c r="C13" s="691" t="s">
        <v>223</v>
      </c>
      <c r="D13" s="694">
        <v>9735</v>
      </c>
      <c r="E13" s="694">
        <v>0</v>
      </c>
      <c r="F13" s="692">
        <f t="shared" si="0"/>
        <v>9735</v>
      </c>
      <c r="G13" s="692">
        <f>+'EXHIBIT B'!B16</f>
        <v>69.900000000000006</v>
      </c>
      <c r="H13" s="693">
        <f t="shared" si="1"/>
        <v>680477</v>
      </c>
    </row>
    <row r="14" spans="1:9" ht="20.100000000000001" customHeight="1">
      <c r="A14" s="690" t="s">
        <v>194</v>
      </c>
      <c r="B14" s="690" t="s">
        <v>128</v>
      </c>
      <c r="C14" s="691" t="s">
        <v>224</v>
      </c>
      <c r="D14" s="689">
        <v>3463</v>
      </c>
      <c r="E14" s="689">
        <v>0</v>
      </c>
      <c r="F14" s="692">
        <f t="shared" si="0"/>
        <v>3463</v>
      </c>
      <c r="G14" s="692">
        <f>+'EXHIBIT B'!B15</f>
        <v>76.8</v>
      </c>
      <c r="H14" s="693">
        <f t="shared" si="1"/>
        <v>265958</v>
      </c>
    </row>
    <row r="15" spans="1:9" ht="20.100000000000001" customHeight="1" thickBot="1">
      <c r="A15" s="695" t="s">
        <v>194</v>
      </c>
      <c r="B15" s="695" t="s">
        <v>129</v>
      </c>
      <c r="C15" s="696">
        <v>40160</v>
      </c>
      <c r="D15" s="697">
        <v>0</v>
      </c>
      <c r="E15" s="697">
        <v>0</v>
      </c>
      <c r="F15" s="698">
        <f t="shared" si="0"/>
        <v>0</v>
      </c>
      <c r="G15" s="698">
        <f>+'EXHIBIT B'!B15</f>
        <v>76.8</v>
      </c>
      <c r="H15" s="699">
        <f t="shared" si="1"/>
        <v>0</v>
      </c>
    </row>
    <row r="16" spans="1:9" ht="24.95" customHeight="1" thickBot="1">
      <c r="A16" s="296"/>
      <c r="B16" s="296"/>
      <c r="C16" s="296"/>
      <c r="D16" s="297"/>
      <c r="E16" s="297"/>
      <c r="F16" s="298"/>
      <c r="G16" s="298"/>
      <c r="H16" s="299"/>
    </row>
    <row r="17" spans="1:9" ht="24.95" customHeight="1" thickBot="1">
      <c r="A17" s="300"/>
      <c r="B17" s="301" t="s">
        <v>225</v>
      </c>
      <c r="C17" s="301"/>
      <c r="D17" s="302">
        <f>SUM(D10:D15)</f>
        <v>289155</v>
      </c>
      <c r="E17" s="302">
        <f>SUM(E10:E15)</f>
        <v>0</v>
      </c>
      <c r="F17" s="303">
        <f>SUM(F10:F15)</f>
        <v>289155</v>
      </c>
      <c r="G17" s="303"/>
      <c r="H17" s="304">
        <f>SUM(H10:H15)</f>
        <v>22187152</v>
      </c>
    </row>
    <row r="18" spans="1:9" ht="88.35" customHeight="1" thickBot="1">
      <c r="A18" s="305" t="s">
        <v>226</v>
      </c>
      <c r="B18" s="286" t="s">
        <v>214</v>
      </c>
      <c r="C18" s="294" t="s">
        <v>215</v>
      </c>
      <c r="D18" s="305" t="s">
        <v>227</v>
      </c>
      <c r="E18" s="294" t="s">
        <v>218</v>
      </c>
      <c r="F18" s="295" t="s">
        <v>219</v>
      </c>
    </row>
    <row r="19" spans="1:9" ht="24.95" customHeight="1">
      <c r="A19" s="635" t="s">
        <v>209</v>
      </c>
      <c r="B19" s="635" t="s">
        <v>220</v>
      </c>
      <c r="C19" s="700">
        <v>40301</v>
      </c>
      <c r="D19" s="967">
        <v>75</v>
      </c>
      <c r="E19" s="701">
        <f>'EXHIBIT B'!C29</f>
        <v>275.37</v>
      </c>
      <c r="F19" s="702">
        <f t="shared" ref="F19:F25" si="2">ROUND(+D19*E19,0)</f>
        <v>20653</v>
      </c>
      <c r="G19" s="306"/>
      <c r="H19" s="306"/>
    </row>
    <row r="20" spans="1:9" ht="20.100000000000001" customHeight="1">
      <c r="A20" s="641" t="s">
        <v>209</v>
      </c>
      <c r="B20" s="641" t="s">
        <v>126</v>
      </c>
      <c r="C20" s="703" t="s">
        <v>228</v>
      </c>
      <c r="D20" s="710">
        <v>8280</v>
      </c>
      <c r="E20" s="704">
        <f>+'EXHIBIT B'!C30</f>
        <v>230.4</v>
      </c>
      <c r="F20" s="705">
        <f t="shared" si="2"/>
        <v>1907712</v>
      </c>
      <c r="G20" s="48"/>
      <c r="H20" s="48"/>
    </row>
    <row r="21" spans="1:9" ht="20.100000000000001" customHeight="1">
      <c r="A21" s="641" t="s">
        <v>209</v>
      </c>
      <c r="B21" s="641" t="s">
        <v>127</v>
      </c>
      <c r="C21" s="703" t="s">
        <v>229</v>
      </c>
      <c r="D21" s="710">
        <v>1682</v>
      </c>
      <c r="E21" s="704">
        <f>+'EXHIBIT B'!C30</f>
        <v>230.4</v>
      </c>
      <c r="F21" s="705">
        <f t="shared" si="2"/>
        <v>387533</v>
      </c>
      <c r="G21" s="48"/>
      <c r="H21" s="48"/>
    </row>
    <row r="22" spans="1:9" ht="20.100000000000001" customHeight="1">
      <c r="A22" s="641" t="s">
        <v>209</v>
      </c>
      <c r="B22" s="641" t="s">
        <v>76</v>
      </c>
      <c r="C22" s="703" t="s">
        <v>230</v>
      </c>
      <c r="D22" s="710">
        <v>92</v>
      </c>
      <c r="E22" s="704">
        <f>+'EXHIBIT B'!C31</f>
        <v>209.7</v>
      </c>
      <c r="F22" s="705">
        <f t="shared" si="2"/>
        <v>19292</v>
      </c>
      <c r="G22" s="48"/>
      <c r="H22" s="48"/>
    </row>
    <row r="23" spans="1:9" ht="20.100000000000001" customHeight="1">
      <c r="A23" s="641" t="s">
        <v>209</v>
      </c>
      <c r="B23" s="641" t="s">
        <v>128</v>
      </c>
      <c r="C23" s="703" t="s">
        <v>231</v>
      </c>
      <c r="D23" s="710">
        <v>474</v>
      </c>
      <c r="E23" s="704">
        <f>+'EXHIBIT B'!C30</f>
        <v>230.4</v>
      </c>
      <c r="F23" s="705">
        <f t="shared" si="2"/>
        <v>109210</v>
      </c>
      <c r="G23" s="48"/>
      <c r="H23" s="48"/>
    </row>
    <row r="24" spans="1:9" ht="20.100000000000001" customHeight="1">
      <c r="A24" s="1057" t="s">
        <v>209</v>
      </c>
      <c r="B24" s="1057" t="s">
        <v>129</v>
      </c>
      <c r="C24" s="1153">
        <v>40360</v>
      </c>
      <c r="D24" s="1154">
        <v>0</v>
      </c>
      <c r="E24" s="1155">
        <f>+'EXHIBIT B'!C30</f>
        <v>230.4</v>
      </c>
      <c r="F24" s="1156">
        <f t="shared" si="2"/>
        <v>0</v>
      </c>
      <c r="G24" s="48"/>
      <c r="H24" s="48"/>
    </row>
    <row r="25" spans="1:9" ht="20.100000000000001" customHeight="1" thickBot="1">
      <c r="A25" s="383" t="s">
        <v>209</v>
      </c>
      <c r="B25" s="383" t="s">
        <v>775</v>
      </c>
      <c r="C25" s="1151" t="s">
        <v>776</v>
      </c>
      <c r="D25" s="1152">
        <v>50</v>
      </c>
      <c r="E25" s="1155">
        <f>+'EXHIBIT B'!H32</f>
        <v>290</v>
      </c>
      <c r="F25" s="1156">
        <f t="shared" si="2"/>
        <v>14500</v>
      </c>
      <c r="G25" s="48"/>
      <c r="H25" s="48"/>
    </row>
    <row r="26" spans="1:9" ht="20.100000000000001" customHeight="1" thickBot="1">
      <c r="A26" s="307"/>
      <c r="B26" s="307"/>
      <c r="C26" s="307"/>
      <c r="D26" s="307"/>
      <c r="E26" s="308"/>
      <c r="F26" s="309"/>
      <c r="G26" s="48"/>
      <c r="H26" s="48"/>
    </row>
    <row r="27" spans="1:9" ht="20.100000000000001" customHeight="1" thickBot="1">
      <c r="A27" s="706"/>
      <c r="B27" s="706" t="s">
        <v>225</v>
      </c>
      <c r="C27" s="706"/>
      <c r="D27" s="707">
        <f>SUM(D19:D25)</f>
        <v>10653</v>
      </c>
      <c r="E27" s="708"/>
      <c r="F27" s="709">
        <f>SUM(F19:F25)</f>
        <v>2458900</v>
      </c>
      <c r="G27" s="310"/>
      <c r="H27" s="310"/>
    </row>
    <row r="28" spans="1:9" ht="20.100000000000001" customHeight="1" thickBot="1">
      <c r="A28" s="311" t="s">
        <v>232</v>
      </c>
      <c r="B28" s="311"/>
      <c r="C28" s="311"/>
      <c r="D28" s="311"/>
      <c r="E28" s="311"/>
      <c r="F28" s="312"/>
      <c r="G28" s="542"/>
      <c r="H28" s="313">
        <f>H17+F27</f>
        <v>24646052</v>
      </c>
    </row>
    <row r="29" spans="1:9" ht="24.95" customHeight="1">
      <c r="I29" s="170"/>
    </row>
    <row r="30" spans="1:9" ht="24.95" customHeight="1">
      <c r="A30" s="837" t="s">
        <v>233</v>
      </c>
      <c r="B30" s="837"/>
      <c r="C30" s="837"/>
      <c r="D30" s="837"/>
      <c r="E30" s="837"/>
      <c r="F30" s="837"/>
      <c r="G30" s="837"/>
      <c r="H30" s="837"/>
      <c r="I30" s="170"/>
    </row>
    <row r="31" spans="1:9" ht="24.95" customHeight="1" thickBot="1">
      <c r="I31" s="170"/>
    </row>
    <row r="32" spans="1:9" ht="88.35" customHeight="1" thickBot="1">
      <c r="A32" s="305" t="s">
        <v>234</v>
      </c>
      <c r="B32" s="314" t="s">
        <v>214</v>
      </c>
      <c r="C32" s="305" t="s">
        <v>215</v>
      </c>
      <c r="D32" s="305" t="s">
        <v>235</v>
      </c>
      <c r="E32" s="305" t="s">
        <v>236</v>
      </c>
      <c r="F32" s="305" t="s">
        <v>66</v>
      </c>
      <c r="G32" s="305" t="s">
        <v>237</v>
      </c>
      <c r="H32" s="842" t="s">
        <v>219</v>
      </c>
      <c r="I32" s="170"/>
    </row>
    <row r="33" spans="1:8" ht="20.100000000000001" customHeight="1">
      <c r="A33" s="543" t="s">
        <v>238</v>
      </c>
      <c r="B33" s="543" t="s">
        <v>239</v>
      </c>
      <c r="C33" s="544" t="s">
        <v>240</v>
      </c>
      <c r="D33" s="545">
        <v>0</v>
      </c>
      <c r="E33" s="545">
        <v>0</v>
      </c>
      <c r="F33" s="546">
        <f>D33-E33</f>
        <v>0</v>
      </c>
      <c r="G33" s="546">
        <f>'EXHIBIT B'!B19</f>
        <v>30</v>
      </c>
      <c r="H33" s="547">
        <f>ROUND(+F33*G33,0)</f>
        <v>0</v>
      </c>
    </row>
    <row r="34" spans="1:8" ht="20.100000000000001" customHeight="1">
      <c r="A34" s="641" t="s">
        <v>238</v>
      </c>
      <c r="B34" s="641" t="s">
        <v>241</v>
      </c>
      <c r="C34" s="703" t="s">
        <v>242</v>
      </c>
      <c r="D34" s="710">
        <v>0</v>
      </c>
      <c r="E34" s="710">
        <v>0</v>
      </c>
      <c r="F34" s="704">
        <f>D34-E34</f>
        <v>0</v>
      </c>
      <c r="G34" s="704">
        <f>'EXHIBIT B'!B20</f>
        <v>30</v>
      </c>
      <c r="H34" s="705">
        <f>ROUND(+F34*G34,0)</f>
        <v>0</v>
      </c>
    </row>
    <row r="35" spans="1:8" ht="20.100000000000001" customHeight="1">
      <c r="A35" s="641" t="s">
        <v>243</v>
      </c>
      <c r="B35" s="641" t="s">
        <v>239</v>
      </c>
      <c r="C35" s="703">
        <v>40180</v>
      </c>
      <c r="D35" s="710">
        <v>0</v>
      </c>
      <c r="E35" s="710">
        <v>0</v>
      </c>
      <c r="F35" s="704">
        <f>D35-E35</f>
        <v>0</v>
      </c>
      <c r="G35" s="704">
        <f>'EXHIBIT B'!B22</f>
        <v>0</v>
      </c>
      <c r="H35" s="705">
        <f>ROUND(+F35*G35,0)</f>
        <v>0</v>
      </c>
    </row>
    <row r="36" spans="1:8" ht="20.100000000000001" customHeight="1" thickBot="1">
      <c r="A36" s="642" t="s">
        <v>243</v>
      </c>
      <c r="B36" s="642" t="s">
        <v>241</v>
      </c>
      <c r="C36" s="711">
        <v>40190</v>
      </c>
      <c r="D36" s="712">
        <v>0</v>
      </c>
      <c r="E36" s="712">
        <v>0</v>
      </c>
      <c r="F36" s="713">
        <f>D36-E36</f>
        <v>0</v>
      </c>
      <c r="G36" s="713">
        <f>'EXHIBIT B'!B23</f>
        <v>0</v>
      </c>
      <c r="H36" s="714">
        <f>ROUND(+F36*G36,0)</f>
        <v>0</v>
      </c>
    </row>
    <row r="37" spans="1:8" ht="20.100000000000001" customHeight="1" thickBot="1">
      <c r="A37" s="315"/>
      <c r="B37" s="290" t="s">
        <v>244</v>
      </c>
      <c r="C37" s="290"/>
      <c r="D37" s="316">
        <f>SUM(D33:D36)</f>
        <v>0</v>
      </c>
      <c r="E37" s="316">
        <f>SUM(E33:E36)</f>
        <v>0</v>
      </c>
      <c r="F37" s="317">
        <f>D37-E37</f>
        <v>0</v>
      </c>
      <c r="G37" s="317"/>
      <c r="H37" s="318">
        <f>SUM(H33:H36)</f>
        <v>0</v>
      </c>
    </row>
    <row r="38" spans="1:8" ht="24.95" customHeight="1" thickBot="1">
      <c r="A38" s="319"/>
      <c r="B38" s="320"/>
      <c r="C38" s="320"/>
      <c r="D38" s="320"/>
      <c r="E38" s="320"/>
      <c r="F38" s="320"/>
    </row>
    <row r="39" spans="1:8" ht="88.35" customHeight="1" thickBot="1">
      <c r="A39" s="321" t="s">
        <v>245</v>
      </c>
      <c r="B39" s="322" t="s">
        <v>214</v>
      </c>
      <c r="C39" s="305" t="s">
        <v>215</v>
      </c>
      <c r="D39" s="323" t="s">
        <v>235</v>
      </c>
      <c r="E39" s="323" t="s">
        <v>237</v>
      </c>
      <c r="F39" s="305" t="s">
        <v>219</v>
      </c>
      <c r="G39" s="19"/>
      <c r="H39" s="19"/>
    </row>
    <row r="40" spans="1:8" ht="20.100000000000001" customHeight="1">
      <c r="A40" s="543" t="s">
        <v>238</v>
      </c>
      <c r="B40" s="543" t="s">
        <v>239</v>
      </c>
      <c r="C40" s="544">
        <v>40380</v>
      </c>
      <c r="D40" s="545">
        <v>0</v>
      </c>
      <c r="E40" s="546">
        <f>'EXHIBIT B'!B35</f>
        <v>30</v>
      </c>
      <c r="F40" s="547">
        <f>D40*E40</f>
        <v>0</v>
      </c>
    </row>
    <row r="41" spans="1:8" ht="20.100000000000001" customHeight="1">
      <c r="A41" s="641" t="s">
        <v>238</v>
      </c>
      <c r="B41" s="641" t="s">
        <v>241</v>
      </c>
      <c r="C41" s="703">
        <v>40390</v>
      </c>
      <c r="D41" s="710">
        <v>0</v>
      </c>
      <c r="E41" s="704">
        <f>'EXHIBIT B'!B36</f>
        <v>30</v>
      </c>
      <c r="F41" s="705">
        <f>D41*E41</f>
        <v>0</v>
      </c>
    </row>
    <row r="42" spans="1:8" ht="20.100000000000001" customHeight="1">
      <c r="A42" s="641" t="s">
        <v>243</v>
      </c>
      <c r="B42" s="641" t="s">
        <v>239</v>
      </c>
      <c r="C42" s="703" t="s">
        <v>246</v>
      </c>
      <c r="D42" s="710">
        <v>0</v>
      </c>
      <c r="E42" s="704">
        <f>'EXHIBIT B'!B38</f>
        <v>0</v>
      </c>
      <c r="F42" s="705">
        <f>D42*E42</f>
        <v>0</v>
      </c>
    </row>
    <row r="43" spans="1:8" ht="20.100000000000001" customHeight="1" thickBot="1">
      <c r="A43" s="642" t="s">
        <v>243</v>
      </c>
      <c r="B43" s="642" t="s">
        <v>241</v>
      </c>
      <c r="C43" s="711" t="s">
        <v>247</v>
      </c>
      <c r="D43" s="712">
        <v>0</v>
      </c>
      <c r="E43" s="713">
        <f>'EXHIBIT B'!B39</f>
        <v>0</v>
      </c>
      <c r="F43" s="714">
        <f>D43*E43</f>
        <v>0</v>
      </c>
    </row>
    <row r="44" spans="1:8" ht="20.100000000000001" customHeight="1" thickBot="1">
      <c r="A44" s="324"/>
      <c r="B44" s="311" t="s">
        <v>225</v>
      </c>
      <c r="C44" s="311"/>
      <c r="D44" s="312">
        <f>SUM(D40:D43)</f>
        <v>0</v>
      </c>
      <c r="E44" s="325"/>
      <c r="F44" s="326">
        <f>SUM(F40:F43)</f>
        <v>0</v>
      </c>
    </row>
    <row r="45" spans="1:8" ht="20.100000000000001" customHeight="1" thickBot="1">
      <c r="A45" s="327" t="s">
        <v>248</v>
      </c>
      <c r="B45" s="311"/>
      <c r="C45" s="311"/>
      <c r="D45" s="311"/>
      <c r="E45" s="311"/>
      <c r="F45" s="311"/>
      <c r="G45" s="290"/>
      <c r="H45" s="548">
        <f>H37+F44</f>
        <v>0</v>
      </c>
    </row>
    <row r="46" spans="1:8" ht="20.100000000000001" customHeight="1" thickBot="1">
      <c r="A46" s="307"/>
      <c r="B46" s="307"/>
      <c r="C46" s="307"/>
      <c r="D46" s="307"/>
      <c r="E46" s="307"/>
      <c r="F46" s="307"/>
      <c r="G46" s="307"/>
      <c r="H46" s="308"/>
    </row>
    <row r="47" spans="1:8" ht="20.100000000000001" customHeight="1" thickBot="1">
      <c r="A47" s="311" t="s">
        <v>249</v>
      </c>
      <c r="B47" s="311"/>
      <c r="C47" s="311"/>
      <c r="D47" s="311"/>
      <c r="E47" s="311"/>
      <c r="F47" s="311"/>
      <c r="G47" s="328"/>
      <c r="H47" s="313">
        <f>H28+H45</f>
        <v>24646052</v>
      </c>
    </row>
    <row r="48" spans="1:8" ht="24.75" customHeight="1">
      <c r="A48" s="843"/>
      <c r="B48" s="843"/>
      <c r="C48" s="843"/>
      <c r="D48" s="843"/>
      <c r="E48" s="843"/>
      <c r="F48" s="843"/>
      <c r="G48" s="329"/>
      <c r="H48" s="329"/>
    </row>
    <row r="49" spans="1:10" ht="24.95" customHeight="1">
      <c r="A49" s="28" t="s">
        <v>250</v>
      </c>
      <c r="H49" s="19"/>
    </row>
    <row r="50" spans="1:10" ht="24.95" customHeight="1">
      <c r="A50" s="28"/>
    </row>
    <row r="51" spans="1:10" ht="43.35" customHeight="1" thickBot="1">
      <c r="A51" s="1104" t="s">
        <v>716</v>
      </c>
      <c r="B51" s="1104"/>
      <c r="C51" s="1105"/>
      <c r="D51" s="1105"/>
      <c r="E51" s="1105"/>
      <c r="F51" s="1105"/>
    </row>
    <row r="52" spans="1:10" ht="44.45" customHeight="1" thickBot="1">
      <c r="A52" s="286" t="s">
        <v>251</v>
      </c>
      <c r="B52" s="286" t="s">
        <v>252</v>
      </c>
      <c r="C52" s="919" t="s">
        <v>253</v>
      </c>
      <c r="D52" s="920"/>
      <c r="E52" s="919" t="s">
        <v>254</v>
      </c>
      <c r="F52" s="920"/>
    </row>
    <row r="53" spans="1:10" ht="24.95" customHeight="1" thickBot="1">
      <c r="A53" s="287"/>
      <c r="B53" s="288"/>
      <c r="C53" s="549"/>
      <c r="D53" s="550"/>
      <c r="E53" s="549"/>
      <c r="F53" s="550"/>
    </row>
    <row r="54" spans="1:10" ht="24.95" customHeight="1" thickBot="1">
      <c r="A54" s="293" t="s">
        <v>141</v>
      </c>
      <c r="B54" s="289"/>
      <c r="C54" s="551"/>
      <c r="D54" s="552"/>
      <c r="E54" s="551"/>
      <c r="F54" s="552"/>
    </row>
    <row r="55" spans="1:10" ht="24.95" customHeight="1">
      <c r="A55" s="715" t="s">
        <v>684</v>
      </c>
      <c r="B55" s="968">
        <v>0</v>
      </c>
      <c r="C55" s="1133"/>
      <c r="D55" s="1134"/>
      <c r="E55" s="970"/>
      <c r="F55" s="971"/>
    </row>
    <row r="56" spans="1:10" ht="24.95" customHeight="1">
      <c r="A56" s="716"/>
      <c r="B56" s="710">
        <v>0</v>
      </c>
      <c r="C56" s="972"/>
      <c r="D56" s="973"/>
      <c r="E56" s="972"/>
      <c r="F56" s="973"/>
      <c r="J56" s="92"/>
    </row>
    <row r="57" spans="1:10" ht="24.95" customHeight="1">
      <c r="A57" s="716"/>
      <c r="B57" s="710">
        <v>0</v>
      </c>
      <c r="C57" s="972"/>
      <c r="D57" s="973"/>
      <c r="E57" s="972"/>
      <c r="F57" s="973"/>
    </row>
    <row r="58" spans="1:10" ht="24.95" customHeight="1">
      <c r="A58" s="716"/>
      <c r="B58" s="710">
        <v>0</v>
      </c>
      <c r="C58" s="972"/>
      <c r="D58" s="973"/>
      <c r="E58" s="972"/>
      <c r="F58" s="973"/>
    </row>
    <row r="59" spans="1:10" ht="24.95" customHeight="1">
      <c r="A59" s="716"/>
      <c r="B59" s="710">
        <v>0</v>
      </c>
      <c r="C59" s="972"/>
      <c r="D59" s="973"/>
      <c r="E59" s="972"/>
      <c r="F59" s="973"/>
    </row>
    <row r="60" spans="1:10" ht="24.95" customHeight="1" thickBot="1">
      <c r="A60" s="597"/>
      <c r="B60" s="598">
        <v>0</v>
      </c>
      <c r="C60" s="974"/>
      <c r="D60" s="975"/>
      <c r="E60" s="976"/>
      <c r="F60" s="977"/>
    </row>
    <row r="61" spans="1:10" ht="24.95" customHeight="1" thickBot="1">
      <c r="A61" s="290" t="s">
        <v>255</v>
      </c>
      <c r="B61" s="291">
        <f>SUM(B55:B60)</f>
        <v>0</v>
      </c>
      <c r="C61" s="978"/>
      <c r="D61" s="979"/>
      <c r="E61" s="978"/>
      <c r="F61" s="979"/>
    </row>
    <row r="62" spans="1:10" ht="24.95" customHeight="1" thickBot="1">
      <c r="A62" s="292"/>
      <c r="B62" s="292"/>
      <c r="C62" s="553"/>
      <c r="D62" s="554"/>
      <c r="E62" s="553"/>
      <c r="F62" s="554"/>
    </row>
    <row r="63" spans="1:10" ht="24.95" customHeight="1" thickBot="1">
      <c r="A63" s="293" t="s">
        <v>138</v>
      </c>
      <c r="B63" s="289"/>
      <c r="C63" s="551"/>
      <c r="D63" s="552"/>
      <c r="E63" s="551"/>
      <c r="F63" s="552"/>
    </row>
    <row r="64" spans="1:10" ht="24.95" customHeight="1">
      <c r="A64" s="715" t="s">
        <v>685</v>
      </c>
      <c r="B64" s="969">
        <v>0</v>
      </c>
      <c r="C64" s="970"/>
      <c r="D64" s="971"/>
      <c r="E64" s="970"/>
      <c r="F64" s="971"/>
    </row>
    <row r="65" spans="1:6" ht="24.95" customHeight="1">
      <c r="A65" s="716"/>
      <c r="B65" s="710">
        <v>0</v>
      </c>
      <c r="C65" s="972"/>
      <c r="D65" s="973"/>
      <c r="E65" s="972"/>
      <c r="F65" s="973"/>
    </row>
    <row r="66" spans="1:6" ht="24.95" customHeight="1">
      <c r="A66" s="716"/>
      <c r="B66" s="710">
        <v>0</v>
      </c>
      <c r="C66" s="972"/>
      <c r="D66" s="973"/>
      <c r="E66" s="972"/>
      <c r="F66" s="973"/>
    </row>
    <row r="67" spans="1:6" ht="24.95" customHeight="1">
      <c r="A67" s="716"/>
      <c r="B67" s="710">
        <v>0</v>
      </c>
      <c r="C67" s="972"/>
      <c r="D67" s="973"/>
      <c r="E67" s="972"/>
      <c r="F67" s="973"/>
    </row>
    <row r="68" spans="1:6" ht="24.95" customHeight="1">
      <c r="A68" s="716"/>
      <c r="B68" s="710">
        <v>0</v>
      </c>
      <c r="C68" s="972"/>
      <c r="D68" s="973"/>
      <c r="E68" s="972"/>
      <c r="F68" s="973"/>
    </row>
    <row r="69" spans="1:6" ht="24.95" customHeight="1" thickBot="1">
      <c r="A69" s="597"/>
      <c r="B69" s="598">
        <v>0</v>
      </c>
      <c r="C69" s="976"/>
      <c r="D69" s="977"/>
      <c r="E69" s="976"/>
      <c r="F69" s="977"/>
    </row>
    <row r="70" spans="1:6" ht="24.95" customHeight="1" thickBot="1">
      <c r="A70" s="290" t="s">
        <v>256</v>
      </c>
      <c r="B70" s="291">
        <f>SUM(B64:B69)</f>
        <v>0</v>
      </c>
      <c r="C70" s="980"/>
      <c r="D70" s="981"/>
      <c r="E70" s="980"/>
      <c r="F70" s="981"/>
    </row>
    <row r="71" spans="1:6" ht="24.95" customHeight="1" thickBot="1">
      <c r="A71" s="290" t="s">
        <v>257</v>
      </c>
      <c r="B71" s="291">
        <f>+B70+B61</f>
        <v>0</v>
      </c>
      <c r="C71" s="980"/>
      <c r="D71" s="981"/>
      <c r="E71" s="982"/>
      <c r="F71" s="983"/>
    </row>
    <row r="72" spans="1:6" ht="24.95" customHeight="1"/>
    <row r="73" spans="1:6" ht="20.100000000000001" customHeight="1"/>
    <row r="74" spans="1:6" ht="20.100000000000001" customHeight="1"/>
    <row r="75" spans="1:6" ht="20.100000000000001" customHeight="1"/>
    <row r="76" spans="1:6" ht="20.100000000000001" customHeight="1"/>
    <row r="77" spans="1:6" ht="20.100000000000001" customHeight="1"/>
    <row r="78" spans="1:6" ht="20.100000000000001" customHeight="1"/>
    <row r="79" spans="1:6" ht="20.100000000000001" customHeight="1"/>
    <row r="80" spans="1:6" ht="20.100000000000001" customHeight="1"/>
    <row r="81" ht="20.100000000000001" customHeight="1"/>
    <row r="82" ht="20.100000000000001" customHeight="1"/>
    <row r="83" ht="20.100000000000001" customHeight="1"/>
    <row r="84" ht="20.100000000000001" customHeight="1"/>
    <row r="85" ht="20.25" customHeight="1"/>
    <row r="86" ht="20.25" customHeight="1"/>
    <row r="87" ht="20.25" customHeight="1"/>
    <row r="88" ht="20.25" customHeight="1"/>
    <row r="89" ht="20.25" customHeight="1"/>
    <row r="90" ht="20.25"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sheetData>
  <sheetProtection algorithmName="SHA-512" hashValue="T+jJvEkR6AV3i+npmAPl5zqpnbPdGj3ej4hjsIuPi4mbVGrDsiBRz+KiFUMhqE5T06sHmDAFZ1JsKprV7MoGDg==" saltValue="lWWc9Ok/Z+LI8q25mmwAOw==" spinCount="100000" sheet="1" objects="1" scenarios="1"/>
  <protectedRanges>
    <protectedRange sqref="G37 E34:E36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conditionalFormatting sqref="E25">
    <cfRule type="cellIs" dxfId="0" priority="1" operator="greaterThan">
      <formula>290</formula>
    </cfRule>
  </conditionalFormatting>
  <pageMargins left="0.75" right="0.75" top="1" bottom="1" header="0.5" footer="0.5"/>
  <pageSetup scale="45" orientation="landscape" r:id="rId1"/>
  <headerFooter alignWithMargins="0">
    <oddFooter>&amp;L&amp;Z&amp;F&amp;R&amp;D</oddFooter>
  </headerFooter>
  <rowBreaks count="1" manualBreakCount="1">
    <brk id="38" max="7" man="1"/>
  </rowBreaks>
  <colBreaks count="2" manualBreakCount="2">
    <brk id="27" max="72" man="1"/>
    <brk id="40" max="72" man="1"/>
  </colBreaks>
  <ignoredErrors>
    <ignoredError sqref="C11:C14 C34 E20:E21 C20:C24 E23:E24 C33 C42:C43 C37"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4"/>
  <sheetViews>
    <sheetView showGridLines="0" zoomScale="60" zoomScaleNormal="60" zoomScaleSheetLayoutView="70" zoomScalePageLayoutView="60" workbookViewId="0"/>
  </sheetViews>
  <sheetFormatPr defaultColWidth="9.140625" defaultRowHeight="12.75"/>
  <cols>
    <col min="1" max="1" width="31.28515625" style="178" customWidth="1"/>
    <col min="2" max="2" width="100.42578125" style="178" customWidth="1"/>
    <col min="3" max="3" width="18.7109375" style="178" customWidth="1"/>
    <col min="4" max="4" width="25.7109375" style="178" customWidth="1"/>
    <col min="5" max="5" width="21.42578125" style="178" customWidth="1"/>
    <col min="6" max="6" width="6.85546875" style="178" customWidth="1"/>
    <col min="7" max="7" width="9.140625" style="178"/>
    <col min="8" max="8" width="59" style="178" customWidth="1"/>
    <col min="9" max="9" width="13.7109375" style="178" customWidth="1"/>
    <col min="10" max="10" width="12.7109375" style="178" bestFit="1" customWidth="1"/>
    <col min="11" max="11" width="14" style="178" customWidth="1"/>
    <col min="12" max="28" width="12.7109375" style="178" customWidth="1"/>
    <col min="29" max="29" width="11" style="178" customWidth="1"/>
    <col min="30" max="30" width="12.7109375" style="178" customWidth="1"/>
    <col min="31" max="31" width="12.42578125" style="178" customWidth="1"/>
    <col min="32" max="32" width="11.42578125" style="178" customWidth="1"/>
    <col min="33" max="33" width="2.28515625" style="178" customWidth="1"/>
    <col min="34" max="34" width="20.140625" style="178" customWidth="1"/>
    <col min="35" max="35" width="6" style="178" customWidth="1"/>
    <col min="36" max="36" width="14.42578125" style="178" customWidth="1"/>
    <col min="37" max="37" width="13.7109375" style="178" customWidth="1"/>
    <col min="38" max="38" width="2.140625" style="178" customWidth="1"/>
    <col min="39" max="40" width="9.140625" style="178"/>
    <col min="41" max="41" width="11.28515625" style="178" customWidth="1"/>
    <col min="42" max="42" width="11.42578125" style="178" customWidth="1"/>
    <col min="43" max="43" width="11" style="178" customWidth="1"/>
    <col min="44" max="44" width="11.140625" style="178" customWidth="1"/>
    <col min="45" max="16384" width="9.140625" style="178"/>
  </cols>
  <sheetData>
    <row r="1" spans="1:47" s="17" customFormat="1" ht="24" customHeight="1">
      <c r="A1" s="284"/>
      <c r="B1" s="284"/>
      <c r="C1" s="284"/>
      <c r="D1" s="284"/>
      <c r="E1" s="334" t="s">
        <v>258</v>
      </c>
      <c r="F1" s="284"/>
    </row>
    <row r="2" spans="1:47" s="17" customFormat="1" ht="24" customHeight="1">
      <c r="A2" s="284"/>
      <c r="B2" s="284"/>
      <c r="C2" s="284"/>
      <c r="D2" s="284"/>
      <c r="E2" s="284"/>
      <c r="F2" s="284"/>
    </row>
    <row r="3" spans="1:47" s="17" customFormat="1" ht="24" customHeight="1">
      <c r="A3" s="911" t="s">
        <v>11</v>
      </c>
      <c r="B3" s="911"/>
      <c r="C3" s="911"/>
      <c r="D3" s="911"/>
      <c r="E3" s="911"/>
      <c r="F3" s="284"/>
    </row>
    <row r="4" spans="1:47" s="17" customFormat="1" ht="23.45" customHeight="1">
      <c r="A4" s="911" t="s">
        <v>259</v>
      </c>
      <c r="B4" s="911"/>
      <c r="C4" s="911"/>
      <c r="D4" s="911"/>
      <c r="E4" s="911"/>
      <c r="F4" s="284"/>
    </row>
    <row r="5" spans="1:47" s="17" customFormat="1" ht="23.1" customHeight="1">
      <c r="A5" s="911"/>
      <c r="B5" s="911"/>
      <c r="C5" s="911"/>
      <c r="D5" s="911"/>
      <c r="E5" s="911"/>
      <c r="F5" s="284"/>
    </row>
    <row r="6" spans="1:47" s="17" customFormat="1" ht="24.95" customHeight="1">
      <c r="A6" s="913"/>
      <c r="B6" s="913"/>
      <c r="C6" s="913"/>
      <c r="D6" s="913"/>
      <c r="E6" s="913"/>
      <c r="F6" s="284"/>
    </row>
    <row r="7" spans="1:47" s="17" customFormat="1" ht="24.95" customHeight="1" thickBot="1">
      <c r="A7" s="911" t="s">
        <v>211</v>
      </c>
      <c r="B7" s="914" t="str">
        <f>'CHECK SHEET'!D7</f>
        <v>Tallahassee State College</v>
      </c>
      <c r="C7" s="914"/>
      <c r="D7" s="914"/>
      <c r="E7" s="914"/>
      <c r="F7" s="839"/>
    </row>
    <row r="8" spans="1:47" s="17" customFormat="1" ht="24.95" customHeight="1">
      <c r="A8" s="921"/>
      <c r="B8" s="921"/>
      <c r="C8" s="921"/>
      <c r="D8" s="921"/>
      <c r="E8" s="921"/>
    </row>
    <row r="9" spans="1:47" s="17" customFormat="1" ht="24.95" customHeight="1">
      <c r="A9" s="922"/>
      <c r="B9" s="922"/>
      <c r="C9" s="922"/>
      <c r="D9" s="922"/>
      <c r="E9" s="922"/>
    </row>
    <row r="10" spans="1:47" s="17" customFormat="1" ht="42.6" customHeight="1">
      <c r="A10" s="923" t="s">
        <v>260</v>
      </c>
      <c r="B10" s="923"/>
      <c r="C10" s="923"/>
      <c r="D10" s="923"/>
      <c r="E10" s="923"/>
    </row>
    <row r="11" spans="1:47" ht="24.95" customHeight="1" thickBot="1">
      <c r="A11" s="177"/>
      <c r="B11" s="177"/>
      <c r="C11" s="177"/>
      <c r="D11" s="177"/>
      <c r="E11" s="177"/>
      <c r="AT11" s="177"/>
      <c r="AU11" s="177"/>
    </row>
    <row r="12" spans="1:47" ht="78" customHeight="1" thickBot="1">
      <c r="A12" s="415" t="s">
        <v>261</v>
      </c>
      <c r="B12" s="415" t="s">
        <v>214</v>
      </c>
      <c r="C12" s="416" t="s">
        <v>262</v>
      </c>
      <c r="D12" s="416" t="s">
        <v>263</v>
      </c>
      <c r="E12" s="416" t="s">
        <v>264</v>
      </c>
    </row>
    <row r="13" spans="1:47" ht="24" customHeight="1">
      <c r="A13" s="417" t="s">
        <v>194</v>
      </c>
      <c r="B13" s="417" t="s">
        <v>220</v>
      </c>
      <c r="C13" s="418">
        <v>40101</v>
      </c>
      <c r="D13" s="555">
        <v>0</v>
      </c>
      <c r="E13" s="555">
        <v>0</v>
      </c>
    </row>
    <row r="14" spans="1:47" ht="24.95" customHeight="1">
      <c r="A14" s="717" t="s">
        <v>194</v>
      </c>
      <c r="B14" s="717" t="s">
        <v>126</v>
      </c>
      <c r="C14" s="718" t="s">
        <v>221</v>
      </c>
      <c r="D14" s="438">
        <v>0</v>
      </c>
      <c r="E14" s="438">
        <v>0</v>
      </c>
    </row>
    <row r="15" spans="1:47" ht="24.95" customHeight="1">
      <c r="A15" s="717" t="s">
        <v>194</v>
      </c>
      <c r="B15" s="717" t="s">
        <v>127</v>
      </c>
      <c r="C15" s="718" t="s">
        <v>222</v>
      </c>
      <c r="D15" s="438">
        <v>0</v>
      </c>
      <c r="E15" s="438">
        <v>0</v>
      </c>
    </row>
    <row r="16" spans="1:47" ht="24.95" customHeight="1">
      <c r="A16" s="717" t="s">
        <v>194</v>
      </c>
      <c r="B16" s="717" t="s">
        <v>76</v>
      </c>
      <c r="C16" s="718" t="s">
        <v>223</v>
      </c>
      <c r="D16" s="438">
        <v>0</v>
      </c>
      <c r="E16" s="438">
        <v>0</v>
      </c>
    </row>
    <row r="17" spans="1:5" ht="24.95" customHeight="1">
      <c r="A17" s="717" t="s">
        <v>194</v>
      </c>
      <c r="B17" s="717" t="s">
        <v>128</v>
      </c>
      <c r="C17" s="718" t="s">
        <v>224</v>
      </c>
      <c r="D17" s="439">
        <v>0</v>
      </c>
      <c r="E17" s="439">
        <v>0</v>
      </c>
    </row>
    <row r="18" spans="1:5" ht="24.95" customHeight="1" thickBot="1">
      <c r="A18" s="717" t="s">
        <v>194</v>
      </c>
      <c r="B18" s="717" t="s">
        <v>129</v>
      </c>
      <c r="C18" s="718">
        <v>40160</v>
      </c>
      <c r="D18" s="440">
        <v>0</v>
      </c>
      <c r="E18" s="440">
        <v>0</v>
      </c>
    </row>
    <row r="19" spans="1:5" ht="24.95" customHeight="1" thickBot="1">
      <c r="A19" s="419"/>
      <c r="B19" s="481"/>
      <c r="C19" s="482"/>
      <c r="D19" s="984"/>
      <c r="E19" s="985"/>
    </row>
    <row r="20" spans="1:5" ht="24.95" customHeight="1" thickBot="1">
      <c r="A20" s="719"/>
      <c r="B20" s="719" t="s">
        <v>225</v>
      </c>
      <c r="C20" s="719"/>
      <c r="D20" s="719"/>
      <c r="E20" s="720">
        <f>SUM(E13:E18)</f>
        <v>0</v>
      </c>
    </row>
    <row r="21" spans="1:5" ht="78" customHeight="1" thickBot="1">
      <c r="A21" s="415" t="s">
        <v>261</v>
      </c>
      <c r="B21" s="415" t="s">
        <v>214</v>
      </c>
      <c r="C21" s="416" t="s">
        <v>262</v>
      </c>
      <c r="D21" s="416" t="s">
        <v>265</v>
      </c>
      <c r="E21" s="416" t="s">
        <v>264</v>
      </c>
    </row>
    <row r="22" spans="1:5" s="175" customFormat="1" ht="24.95" customHeight="1">
      <c r="A22" s="556" t="s">
        <v>209</v>
      </c>
      <c r="B22" s="175" t="s">
        <v>220</v>
      </c>
      <c r="C22" s="483">
        <v>40301</v>
      </c>
      <c r="D22" s="555">
        <v>0</v>
      </c>
      <c r="E22" s="555">
        <v>0</v>
      </c>
    </row>
    <row r="23" spans="1:5" s="175" customFormat="1" ht="24.95" customHeight="1">
      <c r="A23" s="717" t="s">
        <v>209</v>
      </c>
      <c r="B23" s="599" t="s">
        <v>126</v>
      </c>
      <c r="C23" s="620" t="s">
        <v>228</v>
      </c>
      <c r="D23" s="721">
        <v>0</v>
      </c>
      <c r="E23" s="721">
        <v>0</v>
      </c>
    </row>
    <row r="24" spans="1:5" s="175" customFormat="1" ht="24.95" customHeight="1">
      <c r="A24" s="717" t="s">
        <v>209</v>
      </c>
      <c r="B24" s="599" t="s">
        <v>127</v>
      </c>
      <c r="C24" s="620" t="s">
        <v>229</v>
      </c>
      <c r="D24" s="721">
        <v>0</v>
      </c>
      <c r="E24" s="721">
        <v>0</v>
      </c>
    </row>
    <row r="25" spans="1:5" s="175" customFormat="1" ht="24.95" customHeight="1">
      <c r="A25" s="717" t="s">
        <v>209</v>
      </c>
      <c r="B25" s="599" t="s">
        <v>76</v>
      </c>
      <c r="C25" s="620" t="s">
        <v>230</v>
      </c>
      <c r="D25" s="721">
        <v>0</v>
      </c>
      <c r="E25" s="721">
        <v>0</v>
      </c>
    </row>
    <row r="26" spans="1:5" s="175" customFormat="1" ht="24.95" customHeight="1">
      <c r="A26" s="717" t="s">
        <v>209</v>
      </c>
      <c r="B26" s="599" t="s">
        <v>128</v>
      </c>
      <c r="C26" s="620" t="s">
        <v>231</v>
      </c>
      <c r="D26" s="721">
        <v>0</v>
      </c>
      <c r="E26" s="721">
        <v>0</v>
      </c>
    </row>
    <row r="27" spans="1:5" s="175" customFormat="1" ht="24.95" customHeight="1">
      <c r="A27" s="1159" t="s">
        <v>209</v>
      </c>
      <c r="B27" s="599" t="s">
        <v>129</v>
      </c>
      <c r="C27" s="1160">
        <v>40360</v>
      </c>
      <c r="D27" s="1161">
        <v>0</v>
      </c>
      <c r="E27" s="1161">
        <v>0</v>
      </c>
    </row>
    <row r="28" spans="1:5" s="175" customFormat="1" ht="24.95" customHeight="1" thickBot="1">
      <c r="A28" s="1157" t="s">
        <v>209</v>
      </c>
      <c r="B28" s="1162" t="s">
        <v>775</v>
      </c>
      <c r="C28" s="420" t="s">
        <v>776</v>
      </c>
      <c r="D28" s="440">
        <v>0</v>
      </c>
      <c r="E28" s="1158">
        <v>0</v>
      </c>
    </row>
    <row r="29" spans="1:5" ht="24.95" customHeight="1" thickBot="1">
      <c r="A29" s="484"/>
      <c r="B29" s="485"/>
      <c r="C29" s="484"/>
      <c r="D29" s="421"/>
      <c r="E29" s="486"/>
    </row>
    <row r="30" spans="1:5" ht="24.95" customHeight="1" thickBot="1">
      <c r="A30" s="557"/>
      <c r="B30" s="487" t="s">
        <v>225</v>
      </c>
      <c r="C30" s="422"/>
      <c r="D30" s="422"/>
      <c r="E30" s="488">
        <f>SUM(E22:E28)</f>
        <v>0</v>
      </c>
    </row>
    <row r="31" spans="1:5" ht="24.95" customHeight="1" thickBot="1">
      <c r="A31" s="422" t="s">
        <v>266</v>
      </c>
      <c r="B31" s="423"/>
      <c r="C31" s="424"/>
      <c r="D31" s="424"/>
      <c r="E31" s="425">
        <f>E20+E30</f>
        <v>0</v>
      </c>
    </row>
    <row r="32" spans="1:5" ht="24.95" customHeight="1">
      <c r="A32" s="177"/>
      <c r="B32" s="177"/>
      <c r="C32" s="177"/>
      <c r="D32" s="177"/>
      <c r="E32" s="177"/>
    </row>
    <row r="33" spans="1:5" ht="24.95" customHeight="1" thickBot="1">
      <c r="A33" s="16" t="s">
        <v>267</v>
      </c>
      <c r="B33" s="177"/>
      <c r="C33" s="177"/>
      <c r="D33" s="177"/>
      <c r="E33" s="177"/>
    </row>
    <row r="34" spans="1:5" ht="24.95" customHeight="1">
      <c r="A34" s="844"/>
      <c r="B34" s="845"/>
      <c r="C34" s="845"/>
      <c r="D34" s="845"/>
      <c r="E34" s="846"/>
    </row>
    <row r="35" spans="1:5" ht="24.95" customHeight="1">
      <c r="A35" s="847"/>
      <c r="B35" s="848"/>
      <c r="C35" s="848"/>
      <c r="D35" s="848"/>
      <c r="E35" s="849"/>
    </row>
    <row r="36" spans="1:5" ht="24.95" customHeight="1">
      <c r="A36" s="847"/>
      <c r="B36" s="848"/>
      <c r="C36" s="848"/>
      <c r="D36" s="848"/>
      <c r="E36" s="849"/>
    </row>
    <row r="37" spans="1:5" ht="24.95" customHeight="1">
      <c r="A37" s="847"/>
      <c r="B37" s="848"/>
      <c r="C37" s="848"/>
      <c r="D37" s="848"/>
      <c r="E37" s="849"/>
    </row>
    <row r="38" spans="1:5" ht="24.95" customHeight="1" thickBot="1">
      <c r="A38" s="850"/>
      <c r="B38" s="851"/>
      <c r="C38" s="851"/>
      <c r="D38" s="851"/>
      <c r="E38" s="852"/>
    </row>
    <row r="39" spans="1:5" ht="20.25" customHeight="1">
      <c r="A39" s="177"/>
      <c r="B39" s="177"/>
      <c r="C39" s="177"/>
      <c r="D39" s="177"/>
      <c r="E39" s="177"/>
    </row>
    <row r="40" spans="1:5" ht="20.25" customHeight="1"/>
    <row r="41" spans="1:5" ht="20.25" customHeight="1"/>
    <row r="42" spans="1:5" ht="20.25" customHeight="1"/>
    <row r="43" spans="1:5" ht="20.25" customHeight="1"/>
    <row r="44" spans="1:5" ht="20.25" customHeight="1"/>
    <row r="45" spans="1:5" ht="20.25" customHeight="1"/>
    <row r="46" spans="1:5" ht="20.25" customHeight="1"/>
    <row r="47" spans="1:5" ht="20.25" customHeight="1"/>
    <row r="48" spans="1:5"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row r="60" spans="34:35" ht="20.25" customHeight="1">
      <c r="AH60" s="426"/>
      <c r="AI60" s="426"/>
    </row>
    <row r="61" spans="34:35" ht="20.25" customHeight="1">
      <c r="AH61" s="426"/>
      <c r="AI61" s="426"/>
    </row>
    <row r="62" spans="34:35" ht="20.25" customHeight="1">
      <c r="AH62" s="426"/>
    </row>
    <row r="63" spans="34:35" ht="20.25" customHeight="1"/>
    <row r="64" spans="34:35" ht="20.25" customHeight="1">
      <c r="AH64" s="426"/>
      <c r="AI64" s="426"/>
    </row>
    <row r="65" spans="1:35" ht="20.25" customHeight="1">
      <c r="AH65" s="426"/>
      <c r="AI65" s="426"/>
    </row>
    <row r="66" spans="1:35" ht="20.25" customHeight="1">
      <c r="A66" s="177"/>
      <c r="B66" s="177"/>
      <c r="C66" s="177"/>
      <c r="D66" s="177"/>
      <c r="E66" s="177"/>
      <c r="AH66" s="426"/>
      <c r="AI66" s="426"/>
    </row>
    <row r="67" spans="1:35" ht="20.25" customHeight="1">
      <c r="A67" s="177"/>
      <c r="B67" s="177"/>
      <c r="C67" s="177"/>
      <c r="D67" s="177"/>
      <c r="E67" s="177"/>
    </row>
    <row r="68" spans="1:35" ht="20.25" customHeight="1">
      <c r="A68" s="177"/>
      <c r="B68" s="177"/>
      <c r="C68" s="177"/>
      <c r="D68" s="177"/>
      <c r="E68" s="177"/>
      <c r="AH68" s="426"/>
    </row>
    <row r="69" spans="1:35" ht="20.25" customHeight="1">
      <c r="A69" s="177"/>
      <c r="B69" s="177"/>
      <c r="C69" s="177"/>
      <c r="D69" s="177"/>
      <c r="E69" s="177"/>
      <c r="AH69" s="426"/>
      <c r="AI69" s="426"/>
    </row>
    <row r="70" spans="1:35" ht="20.25" customHeight="1">
      <c r="AH70" s="426"/>
      <c r="AI70" s="426"/>
    </row>
    <row r="71" spans="1:35" ht="20.25" customHeight="1">
      <c r="AH71" s="426"/>
    </row>
    <row r="72" spans="1:35" ht="20.25" customHeight="1">
      <c r="AH72" s="426"/>
    </row>
    <row r="73" spans="1:35" ht="20.25" customHeight="1">
      <c r="AH73" s="426"/>
    </row>
    <row r="74" spans="1:35" ht="20.25" customHeight="1">
      <c r="AH74" s="426"/>
      <c r="AI74" s="426"/>
    </row>
    <row r="75" spans="1:35" ht="20.25" customHeight="1"/>
    <row r="76" spans="1:35" ht="20.25" customHeight="1">
      <c r="AH76" s="426"/>
    </row>
    <row r="77" spans="1:35" ht="20.25" customHeight="1">
      <c r="AH77" s="426"/>
      <c r="AI77" s="426"/>
    </row>
    <row r="78" spans="1:35" ht="20.25" customHeight="1">
      <c r="AH78" s="426"/>
      <c r="AI78" s="426"/>
    </row>
    <row r="79" spans="1:35" ht="20.25" customHeight="1">
      <c r="AH79" s="426"/>
      <c r="AI79" s="426"/>
    </row>
    <row r="80" spans="1:35" ht="20.25" customHeight="1">
      <c r="AH80" s="426"/>
      <c r="AI80" s="426"/>
    </row>
    <row r="81" spans="3:35" ht="20.25" customHeight="1">
      <c r="AH81" s="426"/>
    </row>
    <row r="82" spans="3:35" ht="20.25" customHeight="1">
      <c r="AH82" s="426"/>
      <c r="AI82" s="426"/>
    </row>
    <row r="83" spans="3:35" ht="20.25" customHeight="1">
      <c r="AH83" s="426"/>
      <c r="AI83" s="426"/>
    </row>
    <row r="84" spans="3:35" ht="20.25" customHeight="1">
      <c r="AH84" s="426"/>
      <c r="AI84" s="426"/>
    </row>
    <row r="85" spans="3:35" ht="20.25" customHeight="1"/>
    <row r="86" spans="3:35" ht="20.25" customHeight="1">
      <c r="AH86" s="426"/>
      <c r="AI86" s="426"/>
    </row>
    <row r="87" spans="3:35" ht="18" customHeight="1">
      <c r="AH87" s="426"/>
      <c r="AI87" s="426"/>
    </row>
    <row r="88" spans="3:35" ht="18" customHeight="1"/>
    <row r="89" spans="3:35" ht="18" customHeight="1"/>
    <row r="90" spans="3:35" ht="18" customHeight="1"/>
    <row r="91" spans="3:35" ht="18" customHeight="1"/>
    <row r="92" spans="3:35" ht="18" customHeight="1"/>
    <row r="93" spans="3:35" ht="18" customHeight="1"/>
    <row r="94" spans="3:35" ht="18" customHeight="1"/>
    <row r="95" spans="3:35" ht="18" customHeight="1">
      <c r="C95" s="178">
        <f>SUM(C90:C94)</f>
        <v>0</v>
      </c>
    </row>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sheetData>
  <sheetProtection algorithmName="SHA-512" hashValue="YK2tJhkYtvC0bucqbXXv41mCyw2vMBOeEjgV8VeP4KCIhr5NasP1NXDnFEnee6k7IMxzLa/bJIzWTzTziCCP/w==" saltValue="FpHYQRicZv8VlC06RwBv5g==" spinCount="100000" sheet="1" objects="1" scenarios="1"/>
  <phoneticPr fontId="0" type="noConversion"/>
  <printOptions horizontalCentered="1"/>
  <pageMargins left="0.5" right="0.5" top="0.5" bottom="0.5" header="0.5" footer="0.25"/>
  <pageSetup scale="55"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sheetPr>
  <dimension ref="A1:L270"/>
  <sheetViews>
    <sheetView showGridLines="0" zoomScale="70" zoomScaleNormal="70" zoomScaleSheetLayoutView="70" zoomScalePageLayoutView="70" workbookViewId="0"/>
  </sheetViews>
  <sheetFormatPr defaultColWidth="9.140625" defaultRowHeight="18.75"/>
  <cols>
    <col min="1" max="1" width="57" style="175" customWidth="1"/>
    <col min="2" max="2" width="1.42578125" style="175" customWidth="1"/>
    <col min="3" max="3" width="21.28515625" style="175" customWidth="1"/>
    <col min="4" max="4" width="9.140625" style="175"/>
    <col min="5" max="5" width="49.42578125" style="175" customWidth="1"/>
    <col min="6" max="6" width="17" style="175" customWidth="1"/>
    <col min="7" max="7" width="25.42578125" style="175" customWidth="1"/>
    <col min="8" max="8" width="1.85546875" style="175" customWidth="1"/>
    <col min="9" max="9" width="11.7109375" style="175" bestFit="1" customWidth="1"/>
    <col min="10" max="10" width="15.42578125" style="175" bestFit="1" customWidth="1"/>
    <col min="11" max="16384" width="9.140625" style="175"/>
  </cols>
  <sheetData>
    <row r="1" spans="1:8" ht="26.25">
      <c r="A1" s="924"/>
      <c r="B1" s="924"/>
      <c r="C1" s="924"/>
      <c r="D1" s="924"/>
      <c r="E1" s="924"/>
      <c r="F1" s="924"/>
      <c r="G1" s="925"/>
    </row>
    <row r="2" spans="1:8" ht="30" customHeight="1" thickBot="1">
      <c r="A2" s="925" t="s">
        <v>172</v>
      </c>
      <c r="B2" s="914" t="str">
        <f>'CHECK SHEET'!D7</f>
        <v>Tallahassee State College</v>
      </c>
      <c r="C2" s="914"/>
      <c r="D2" s="914"/>
      <c r="E2" s="914"/>
      <c r="F2" s="914"/>
      <c r="G2" s="926"/>
    </row>
    <row r="3" spans="1:8" ht="23.1" customHeight="1">
      <c r="A3" s="911" t="s">
        <v>268</v>
      </c>
      <c r="B3" s="911"/>
      <c r="C3" s="911"/>
      <c r="D3" s="911"/>
      <c r="E3" s="911"/>
      <c r="F3" s="911"/>
      <c r="G3" s="911"/>
    </row>
    <row r="4" spans="1:8" ht="23.45" customHeight="1">
      <c r="A4" s="911" t="s">
        <v>269</v>
      </c>
      <c r="B4" s="911"/>
      <c r="C4" s="911"/>
      <c r="D4" s="911"/>
      <c r="E4" s="911"/>
      <c r="F4" s="911"/>
      <c r="G4" s="911"/>
    </row>
    <row r="5" spans="1:8" ht="23.45" customHeight="1">
      <c r="A5" s="911" t="s">
        <v>728</v>
      </c>
      <c r="B5" s="911"/>
      <c r="C5" s="911"/>
      <c r="D5" s="911"/>
      <c r="E5" s="911"/>
      <c r="F5" s="911"/>
      <c r="G5" s="911"/>
    </row>
    <row r="6" spans="1:8" ht="20.100000000000001" customHeight="1">
      <c r="A6" s="927"/>
      <c r="B6" s="927"/>
      <c r="C6" s="927"/>
      <c r="D6" s="927"/>
      <c r="E6" s="927"/>
      <c r="F6" s="927"/>
      <c r="G6" s="927"/>
    </row>
    <row r="7" spans="1:8" ht="38.450000000000003" customHeight="1">
      <c r="A7" s="928" t="s">
        <v>270</v>
      </c>
      <c r="B7" s="928"/>
      <c r="C7" s="928"/>
      <c r="D7" s="928"/>
      <c r="E7" s="928"/>
      <c r="F7" s="928"/>
      <c r="G7" s="928"/>
      <c r="H7" s="181"/>
    </row>
    <row r="8" spans="1:8" ht="20.100000000000001" customHeight="1">
      <c r="A8" s="180"/>
      <c r="B8" s="180"/>
      <c r="C8" s="180"/>
      <c r="D8" s="180"/>
      <c r="E8" s="180"/>
      <c r="F8" s="180"/>
      <c r="G8" s="180"/>
      <c r="H8" s="181"/>
    </row>
    <row r="9" spans="1:8" ht="76.349999999999994" customHeight="1">
      <c r="A9" s="509" t="s">
        <v>271</v>
      </c>
      <c r="B9" s="510" t="s">
        <v>272</v>
      </c>
      <c r="C9" s="510"/>
      <c r="D9" s="510"/>
      <c r="E9" s="510"/>
      <c r="F9" s="511" t="s">
        <v>262</v>
      </c>
      <c r="G9" s="512" t="s">
        <v>273</v>
      </c>
    </row>
    <row r="10" spans="1:8" ht="20.100000000000001" customHeight="1">
      <c r="A10" s="528" t="s">
        <v>213</v>
      </c>
      <c r="B10" s="529"/>
      <c r="C10" s="529"/>
      <c r="D10" s="529"/>
      <c r="E10" s="529"/>
      <c r="F10" s="530"/>
      <c r="G10" s="531"/>
    </row>
    <row r="11" spans="1:8" ht="20.100000000000001" customHeight="1">
      <c r="A11" s="492"/>
      <c r="B11" s="182"/>
      <c r="C11" s="182"/>
      <c r="D11" s="182"/>
      <c r="E11" s="182"/>
      <c r="F11" s="183"/>
      <c r="G11" s="184"/>
    </row>
    <row r="12" spans="1:8" ht="20.100000000000001" customHeight="1">
      <c r="A12" s="492" t="s">
        <v>194</v>
      </c>
      <c r="B12" s="182"/>
      <c r="C12" s="182" t="s">
        <v>220</v>
      </c>
      <c r="D12" s="182"/>
      <c r="E12" s="182"/>
      <c r="F12" s="185">
        <v>40101</v>
      </c>
      <c r="G12" s="186">
        <f>+'EXHIBIT C'!H10+'EXHIBIT C(2)'!E13</f>
        <v>289139</v>
      </c>
    </row>
    <row r="13" spans="1:8" ht="20.100000000000001" customHeight="1">
      <c r="A13" s="492" t="s">
        <v>194</v>
      </c>
      <c r="B13" s="182"/>
      <c r="C13" s="175" t="s">
        <v>126</v>
      </c>
      <c r="D13" s="182"/>
      <c r="E13" s="182"/>
      <c r="F13" s="187" t="s">
        <v>221</v>
      </c>
      <c r="G13" s="186">
        <f>+'EXHIBIT C'!H11+'EXHIBIT C(2)'!E14</f>
        <v>17086234</v>
      </c>
    </row>
    <row r="14" spans="1:8" ht="20.100000000000001" customHeight="1">
      <c r="A14" s="492" t="s">
        <v>194</v>
      </c>
      <c r="B14" s="182"/>
      <c r="C14" s="182" t="s">
        <v>127</v>
      </c>
      <c r="D14" s="182"/>
      <c r="E14" s="182"/>
      <c r="F14" s="187" t="s">
        <v>222</v>
      </c>
      <c r="G14" s="513">
        <f>+'EXHIBIT C'!H12+'EXHIBIT C(2)'!E15</f>
        <v>3865344</v>
      </c>
    </row>
    <row r="15" spans="1:8" ht="20.100000000000001" customHeight="1">
      <c r="A15" s="492" t="s">
        <v>194</v>
      </c>
      <c r="B15" s="182"/>
      <c r="C15" s="188" t="s">
        <v>274</v>
      </c>
      <c r="D15" s="182"/>
      <c r="E15" s="182"/>
      <c r="F15" s="187" t="s">
        <v>223</v>
      </c>
      <c r="G15" s="513">
        <f>+'EXHIBIT C'!H13+'EXHIBIT C(2)'!E16</f>
        <v>680477</v>
      </c>
    </row>
    <row r="16" spans="1:8" ht="20.100000000000001" customHeight="1">
      <c r="A16" s="492" t="s">
        <v>194</v>
      </c>
      <c r="B16" s="182"/>
      <c r="C16" s="188" t="s">
        <v>275</v>
      </c>
      <c r="D16" s="182"/>
      <c r="E16" s="182"/>
      <c r="F16" s="187" t="s">
        <v>224</v>
      </c>
      <c r="G16" s="514">
        <f>+'EXHIBIT C'!H14+'EXHIBIT C(2)'!E17</f>
        <v>265958</v>
      </c>
    </row>
    <row r="17" spans="1:7" ht="20.100000000000001" customHeight="1">
      <c r="A17" s="492" t="s">
        <v>194</v>
      </c>
      <c r="B17" s="182"/>
      <c r="C17" s="175" t="s">
        <v>129</v>
      </c>
      <c r="D17" s="182"/>
      <c r="E17" s="182"/>
      <c r="F17" s="185">
        <v>40160</v>
      </c>
      <c r="G17" s="514">
        <f>+'EXHIBIT C'!H15+'EXHIBIT C(2)'!E18</f>
        <v>0</v>
      </c>
    </row>
    <row r="18" spans="1:7" ht="20.100000000000001" customHeight="1">
      <c r="A18" s="492"/>
      <c r="B18" s="182"/>
      <c r="C18" s="182"/>
      <c r="D18" s="182"/>
      <c r="E18" s="182"/>
      <c r="F18" s="187"/>
      <c r="G18" s="189"/>
    </row>
    <row r="19" spans="1:7" ht="20.100000000000001" customHeight="1">
      <c r="A19" s="493" t="s">
        <v>276</v>
      </c>
      <c r="B19" s="182"/>
      <c r="C19" s="182"/>
      <c r="D19" s="182"/>
      <c r="E19" s="182"/>
      <c r="F19" s="187"/>
      <c r="G19" s="722">
        <f>SUM(G12:G17)</f>
        <v>22187152</v>
      </c>
    </row>
    <row r="20" spans="1:7" ht="20.100000000000001" customHeight="1">
      <c r="A20" s="492"/>
      <c r="B20" s="182"/>
      <c r="C20" s="182"/>
      <c r="D20" s="182"/>
      <c r="E20" s="182"/>
      <c r="F20" s="187"/>
      <c r="G20" s="190"/>
    </row>
    <row r="21" spans="1:7" ht="20.100000000000001" customHeight="1">
      <c r="A21" s="492" t="s">
        <v>209</v>
      </c>
      <c r="B21" s="182"/>
      <c r="C21" s="182" t="s">
        <v>220</v>
      </c>
      <c r="D21" s="182"/>
      <c r="E21" s="182"/>
      <c r="F21" s="185">
        <v>40301</v>
      </c>
      <c r="G21" s="191">
        <f>+'EXHIBIT C'!F19+'EXHIBIT C(2)'!E22</f>
        <v>20653</v>
      </c>
    </row>
    <row r="22" spans="1:7" ht="20.100000000000001" customHeight="1">
      <c r="A22" s="492" t="s">
        <v>209</v>
      </c>
      <c r="B22" s="182"/>
      <c r="C22" s="175" t="s">
        <v>126</v>
      </c>
      <c r="D22" s="182"/>
      <c r="E22" s="182"/>
      <c r="F22" s="187" t="s">
        <v>228</v>
      </c>
      <c r="G22" s="191">
        <f>+'EXHIBIT C'!F20+'EXHIBIT C(2)'!E23</f>
        <v>1907712</v>
      </c>
    </row>
    <row r="23" spans="1:7" ht="20.100000000000001" customHeight="1">
      <c r="A23" s="492" t="s">
        <v>209</v>
      </c>
      <c r="B23" s="182"/>
      <c r="C23" s="182" t="s">
        <v>127</v>
      </c>
      <c r="D23" s="182"/>
      <c r="E23" s="182"/>
      <c r="F23" s="187" t="s">
        <v>229</v>
      </c>
      <c r="G23" s="196">
        <f>+'EXHIBIT C'!F21+'EXHIBIT C(2)'!E24</f>
        <v>387533</v>
      </c>
    </row>
    <row r="24" spans="1:7" ht="20.100000000000001" customHeight="1">
      <c r="A24" s="492" t="s">
        <v>209</v>
      </c>
      <c r="B24" s="182"/>
      <c r="C24" s="188" t="s">
        <v>274</v>
      </c>
      <c r="D24" s="182"/>
      <c r="E24" s="182"/>
      <c r="F24" s="187" t="s">
        <v>230</v>
      </c>
      <c r="G24" s="196">
        <f>+'EXHIBIT C'!F22+'EXHIBIT C(2)'!E25</f>
        <v>19292</v>
      </c>
    </row>
    <row r="25" spans="1:7" ht="20.100000000000001" customHeight="1">
      <c r="A25" s="492" t="s">
        <v>209</v>
      </c>
      <c r="B25" s="182"/>
      <c r="C25" s="188" t="s">
        <v>275</v>
      </c>
      <c r="D25" s="182"/>
      <c r="E25" s="182"/>
      <c r="F25" s="187" t="s">
        <v>231</v>
      </c>
      <c r="G25" s="196">
        <f>+'EXHIBIT C'!F23+'EXHIBIT C(2)'!E26</f>
        <v>109210</v>
      </c>
    </row>
    <row r="26" spans="1:7" ht="20.100000000000001" customHeight="1">
      <c r="A26" s="492" t="s">
        <v>209</v>
      </c>
      <c r="B26" s="182"/>
      <c r="C26" s="175" t="s">
        <v>129</v>
      </c>
      <c r="D26" s="182"/>
      <c r="E26" s="182"/>
      <c r="F26" s="185">
        <v>40360</v>
      </c>
      <c r="G26" s="196">
        <f>+'EXHIBIT C'!F24+'EXHIBIT C(2)'!E27</f>
        <v>0</v>
      </c>
    </row>
    <row r="27" spans="1:7" ht="20.100000000000001" customHeight="1">
      <c r="A27" s="492" t="s">
        <v>209</v>
      </c>
      <c r="B27" s="182"/>
      <c r="C27" s="175" t="s">
        <v>775</v>
      </c>
      <c r="D27" s="182"/>
      <c r="E27" s="182"/>
      <c r="F27" s="185" t="s">
        <v>776</v>
      </c>
      <c r="G27" s="196">
        <f>+'EXHIBIT C'!F25+'EXHIBIT C(2)'!E28</f>
        <v>14500</v>
      </c>
    </row>
    <row r="28" spans="1:7" ht="20.100000000000001" customHeight="1">
      <c r="A28" s="492"/>
      <c r="B28" s="182"/>
      <c r="C28" s="182"/>
      <c r="D28" s="182"/>
      <c r="E28" s="182"/>
      <c r="F28" s="187"/>
      <c r="G28" s="192"/>
    </row>
    <row r="29" spans="1:7" ht="20.100000000000001" customHeight="1">
      <c r="A29" s="493" t="s">
        <v>277</v>
      </c>
      <c r="B29" s="182"/>
      <c r="C29" s="182"/>
      <c r="D29" s="182"/>
      <c r="E29" s="182"/>
      <c r="F29" s="187"/>
      <c r="G29" s="723">
        <f>SUM(G21:G27)</f>
        <v>2458900</v>
      </c>
    </row>
    <row r="30" spans="1:7" ht="20.100000000000001" customHeight="1">
      <c r="A30" s="492"/>
      <c r="B30" s="182"/>
      <c r="C30" s="182"/>
      <c r="D30" s="182"/>
      <c r="E30" s="182"/>
      <c r="F30" s="187"/>
      <c r="G30" s="193"/>
    </row>
    <row r="31" spans="1:7" ht="20.100000000000001" customHeight="1">
      <c r="A31" s="492" t="s">
        <v>278</v>
      </c>
      <c r="B31" s="182"/>
      <c r="C31" s="853" t="s">
        <v>239</v>
      </c>
      <c r="D31" s="853"/>
      <c r="E31" s="853"/>
      <c r="F31" s="187" t="s">
        <v>240</v>
      </c>
      <c r="G31" s="194">
        <f>'EXHIBIT C'!H33</f>
        <v>0</v>
      </c>
    </row>
    <row r="32" spans="1:7" ht="20.100000000000001" customHeight="1">
      <c r="A32" s="492" t="s">
        <v>278</v>
      </c>
      <c r="B32" s="182"/>
      <c r="C32" s="175" t="s">
        <v>241</v>
      </c>
      <c r="D32" s="182"/>
      <c r="E32" s="182"/>
      <c r="F32" s="187" t="s">
        <v>242</v>
      </c>
      <c r="G32" s="194">
        <f>'EXHIBIT C'!H34</f>
        <v>0</v>
      </c>
    </row>
    <row r="33" spans="1:7" ht="20.100000000000001" customHeight="1">
      <c r="A33" s="492" t="s">
        <v>279</v>
      </c>
      <c r="B33" s="182"/>
      <c r="C33" s="182" t="s">
        <v>239</v>
      </c>
      <c r="D33" s="182"/>
      <c r="E33" s="182"/>
      <c r="F33" s="187" t="s">
        <v>240</v>
      </c>
      <c r="G33" s="194">
        <f>'EXHIBIT C'!H35</f>
        <v>0</v>
      </c>
    </row>
    <row r="34" spans="1:7" ht="20.100000000000001" customHeight="1">
      <c r="A34" s="492" t="s">
        <v>279</v>
      </c>
      <c r="B34" s="182"/>
      <c r="C34" s="175" t="s">
        <v>241</v>
      </c>
      <c r="D34" s="182"/>
      <c r="E34" s="182"/>
      <c r="F34" s="187" t="s">
        <v>242</v>
      </c>
      <c r="G34" s="194">
        <f>'EXHIBIT C'!H36</f>
        <v>0</v>
      </c>
    </row>
    <row r="35" spans="1:7" ht="20.100000000000001" customHeight="1">
      <c r="A35" s="492"/>
      <c r="B35" s="182"/>
      <c r="C35" s="182"/>
      <c r="D35" s="182"/>
      <c r="E35" s="182"/>
      <c r="F35" s="187"/>
      <c r="G35" s="195"/>
    </row>
    <row r="36" spans="1:7" ht="20.100000000000001" customHeight="1">
      <c r="A36" s="493" t="s">
        <v>280</v>
      </c>
      <c r="B36" s="182"/>
      <c r="C36" s="182"/>
      <c r="D36" s="182"/>
      <c r="E36" s="182"/>
      <c r="F36" s="187"/>
      <c r="G36" s="723">
        <f>SUM(G31:G34)</f>
        <v>0</v>
      </c>
    </row>
    <row r="37" spans="1:7" ht="20.100000000000001" customHeight="1">
      <c r="A37" s="492"/>
      <c r="B37" s="182"/>
      <c r="C37" s="182"/>
      <c r="D37" s="182"/>
      <c r="E37" s="182"/>
      <c r="F37" s="187"/>
      <c r="G37" s="192"/>
    </row>
    <row r="38" spans="1:7" ht="20.100000000000001" customHeight="1">
      <c r="A38" s="492" t="s">
        <v>281</v>
      </c>
      <c r="B38" s="182"/>
      <c r="C38" s="182" t="s">
        <v>239</v>
      </c>
      <c r="D38" s="182"/>
      <c r="E38" s="182"/>
      <c r="F38" s="187" t="s">
        <v>246</v>
      </c>
      <c r="G38" s="196">
        <f>'EXHIBIT C'!F40</f>
        <v>0</v>
      </c>
    </row>
    <row r="39" spans="1:7" ht="20.100000000000001" customHeight="1">
      <c r="A39" s="492" t="s">
        <v>281</v>
      </c>
      <c r="B39" s="182"/>
      <c r="C39" s="854" t="s">
        <v>241</v>
      </c>
      <c r="D39" s="854"/>
      <c r="E39" s="854"/>
      <c r="F39" s="187" t="s">
        <v>247</v>
      </c>
      <c r="G39" s="196">
        <f>'EXHIBIT C'!F41</f>
        <v>0</v>
      </c>
    </row>
    <row r="40" spans="1:7" ht="20.100000000000001" customHeight="1">
      <c r="A40" s="492" t="s">
        <v>282</v>
      </c>
      <c r="B40" s="182"/>
      <c r="C40" s="182" t="s">
        <v>239</v>
      </c>
      <c r="D40" s="182"/>
      <c r="E40" s="182"/>
      <c r="F40" s="187" t="s">
        <v>246</v>
      </c>
      <c r="G40" s="196">
        <f>'EXHIBIT C'!F42</f>
        <v>0</v>
      </c>
    </row>
    <row r="41" spans="1:7" ht="20.100000000000001" customHeight="1">
      <c r="A41" s="492" t="s">
        <v>282</v>
      </c>
      <c r="B41" s="182"/>
      <c r="C41" s="854" t="s">
        <v>241</v>
      </c>
      <c r="D41" s="854"/>
      <c r="E41" s="854"/>
      <c r="F41" s="187" t="s">
        <v>247</v>
      </c>
      <c r="G41" s="196">
        <f>'EXHIBIT C'!F43</f>
        <v>0</v>
      </c>
    </row>
    <row r="42" spans="1:7" ht="20.100000000000001" customHeight="1">
      <c r="A42" s="492"/>
      <c r="B42" s="182"/>
      <c r="C42" s="182"/>
      <c r="D42" s="182"/>
      <c r="E42" s="182"/>
      <c r="F42" s="187"/>
      <c r="G42" s="192"/>
    </row>
    <row r="43" spans="1:7" ht="20.100000000000001" customHeight="1">
      <c r="A43" s="493" t="s">
        <v>283</v>
      </c>
      <c r="B43" s="182"/>
      <c r="C43" s="182"/>
      <c r="D43" s="182"/>
      <c r="E43" s="182"/>
      <c r="F43" s="187"/>
      <c r="G43" s="723">
        <f>SUM(G38:G42)</f>
        <v>0</v>
      </c>
    </row>
    <row r="44" spans="1:7" ht="20.100000000000001" customHeight="1">
      <c r="A44" s="492"/>
      <c r="B44" s="182"/>
      <c r="C44" s="182"/>
      <c r="D44" s="182"/>
      <c r="E44" s="182"/>
      <c r="F44" s="187"/>
      <c r="G44" s="193"/>
    </row>
    <row r="45" spans="1:7" ht="20.100000000000001" customHeight="1">
      <c r="A45" s="493" t="s">
        <v>284</v>
      </c>
      <c r="B45" s="182"/>
      <c r="C45" s="182"/>
      <c r="D45" s="182"/>
      <c r="E45" s="182"/>
      <c r="F45" s="187"/>
      <c r="G45" s="724">
        <f>G19+G29+G36+G43</f>
        <v>24646052</v>
      </c>
    </row>
    <row r="46" spans="1:7" ht="20.100000000000001" customHeight="1">
      <c r="A46" s="492"/>
      <c r="B46" s="182"/>
      <c r="C46" s="182"/>
      <c r="D46" s="182"/>
      <c r="E46" s="182"/>
      <c r="F46" s="187"/>
      <c r="G46" s="192"/>
    </row>
    <row r="47" spans="1:7" ht="20.100000000000001" customHeight="1">
      <c r="A47" s="492" t="s">
        <v>285</v>
      </c>
      <c r="B47" s="182"/>
      <c r="C47" s="182"/>
      <c r="D47" s="182"/>
      <c r="E47" s="182"/>
      <c r="F47" s="187" t="s">
        <v>286</v>
      </c>
      <c r="G47" s="442">
        <v>0</v>
      </c>
    </row>
    <row r="48" spans="1:7" ht="20.100000000000001" customHeight="1">
      <c r="A48" s="492" t="s">
        <v>287</v>
      </c>
      <c r="B48" s="197"/>
      <c r="C48" s="197"/>
      <c r="D48" s="197"/>
      <c r="E48" s="197"/>
      <c r="F48" s="198" t="s">
        <v>288</v>
      </c>
      <c r="G48" s="442">
        <v>55000</v>
      </c>
    </row>
    <row r="49" spans="1:7" ht="20.100000000000001" customHeight="1">
      <c r="A49" s="492" t="s">
        <v>289</v>
      </c>
      <c r="C49" s="197"/>
      <c r="D49" s="197"/>
      <c r="E49" s="197"/>
      <c r="F49" s="198" t="s">
        <v>290</v>
      </c>
      <c r="G49" s="442">
        <v>0</v>
      </c>
    </row>
    <row r="50" spans="1:7" ht="20.100000000000001" customHeight="1">
      <c r="A50" s="492" t="s">
        <v>291</v>
      </c>
      <c r="B50" s="182"/>
      <c r="C50" s="182"/>
      <c r="D50" s="182"/>
      <c r="E50" s="182"/>
      <c r="F50" s="187" t="s">
        <v>292</v>
      </c>
      <c r="G50" s="442">
        <v>45000</v>
      </c>
    </row>
    <row r="51" spans="1:7" ht="20.100000000000001" customHeight="1">
      <c r="A51" s="492" t="s">
        <v>293</v>
      </c>
      <c r="B51" s="182"/>
      <c r="C51" s="182"/>
      <c r="D51" s="182"/>
      <c r="E51" s="182"/>
      <c r="F51" s="187" t="s">
        <v>294</v>
      </c>
      <c r="G51" s="442">
        <v>1575000</v>
      </c>
    </row>
    <row r="52" spans="1:7" ht="20.100000000000001" customHeight="1">
      <c r="A52" s="492" t="s">
        <v>295</v>
      </c>
      <c r="B52" s="182"/>
      <c r="C52" s="182"/>
      <c r="D52" s="182"/>
      <c r="E52" s="182"/>
      <c r="F52" s="185">
        <v>40450</v>
      </c>
      <c r="G52" s="442">
        <v>1765000</v>
      </c>
    </row>
    <row r="53" spans="1:7" ht="20.100000000000001" customHeight="1">
      <c r="A53" s="492" t="s">
        <v>296</v>
      </c>
      <c r="B53" s="182"/>
      <c r="C53" s="182"/>
      <c r="D53" s="182"/>
      <c r="E53" s="182"/>
      <c r="F53" s="187" t="s">
        <v>297</v>
      </c>
      <c r="G53" s="442">
        <v>0</v>
      </c>
    </row>
    <row r="54" spans="1:7" ht="20.100000000000001" customHeight="1">
      <c r="A54" s="492" t="s">
        <v>298</v>
      </c>
      <c r="B54" s="182"/>
      <c r="C54" s="182"/>
      <c r="D54" s="182"/>
      <c r="E54" s="182"/>
      <c r="F54" s="198" t="s">
        <v>299</v>
      </c>
      <c r="G54" s="442">
        <v>0</v>
      </c>
    </row>
    <row r="55" spans="1:7" ht="20.100000000000001" customHeight="1">
      <c r="A55" s="492" t="s">
        <v>300</v>
      </c>
      <c r="B55" s="182"/>
      <c r="C55" s="182"/>
      <c r="D55" s="182"/>
      <c r="E55" s="182"/>
      <c r="F55" s="187" t="s">
        <v>301</v>
      </c>
      <c r="G55" s="442">
        <v>0</v>
      </c>
    </row>
    <row r="56" spans="1:7" ht="20.100000000000001" customHeight="1">
      <c r="A56" s="492" t="s">
        <v>302</v>
      </c>
      <c r="B56" s="182"/>
      <c r="C56" s="182"/>
      <c r="D56" s="182"/>
      <c r="E56" s="182"/>
      <c r="F56" s="198" t="s">
        <v>303</v>
      </c>
      <c r="G56" s="442">
        <v>0</v>
      </c>
    </row>
    <row r="57" spans="1:7" ht="20.100000000000001" customHeight="1">
      <c r="A57" s="492" t="s">
        <v>304</v>
      </c>
      <c r="B57" s="182"/>
      <c r="C57" s="182"/>
      <c r="D57" s="182"/>
      <c r="E57" s="182"/>
      <c r="F57" s="187" t="s">
        <v>305</v>
      </c>
      <c r="G57" s="442">
        <v>0</v>
      </c>
    </row>
    <row r="58" spans="1:7" ht="20.100000000000001" customHeight="1">
      <c r="A58" s="492" t="s">
        <v>306</v>
      </c>
      <c r="B58" s="182"/>
      <c r="C58" s="182"/>
      <c r="D58" s="182"/>
      <c r="E58" s="182"/>
      <c r="F58" s="187" t="s">
        <v>307</v>
      </c>
      <c r="G58" s="442">
        <v>0</v>
      </c>
    </row>
    <row r="59" spans="1:7" ht="20.100000000000001" customHeight="1">
      <c r="A59" s="492" t="s">
        <v>308</v>
      </c>
      <c r="B59" s="182"/>
      <c r="C59" s="182"/>
      <c r="D59" s="182"/>
      <c r="E59" s="182"/>
      <c r="F59" s="199" t="s">
        <v>309</v>
      </c>
      <c r="G59" s="442">
        <v>1655000</v>
      </c>
    </row>
    <row r="60" spans="1:7" ht="20.100000000000001" customHeight="1">
      <c r="A60" s="492" t="s">
        <v>310</v>
      </c>
      <c r="B60" s="182"/>
      <c r="C60" s="182"/>
      <c r="D60" s="182"/>
      <c r="E60" s="182"/>
      <c r="F60" s="187" t="s">
        <v>311</v>
      </c>
      <c r="G60" s="442">
        <v>2107626</v>
      </c>
    </row>
    <row r="61" spans="1:7" ht="20.100000000000001" customHeight="1">
      <c r="A61" s="492" t="s">
        <v>312</v>
      </c>
      <c r="B61" s="182"/>
      <c r="C61" s="182"/>
      <c r="D61" s="182"/>
      <c r="E61" s="182"/>
      <c r="F61" s="198" t="s">
        <v>313</v>
      </c>
      <c r="G61" s="442">
        <v>0</v>
      </c>
    </row>
    <row r="62" spans="1:7" ht="20.100000000000001" customHeight="1">
      <c r="A62" s="492" t="s">
        <v>314</v>
      </c>
      <c r="B62" s="182"/>
      <c r="C62" s="182"/>
      <c r="D62" s="182"/>
      <c r="E62" s="182"/>
      <c r="F62" s="198" t="s">
        <v>315</v>
      </c>
      <c r="G62" s="442">
        <v>0</v>
      </c>
    </row>
    <row r="63" spans="1:7" ht="20.100000000000001" customHeight="1">
      <c r="A63" s="492"/>
      <c r="B63" s="182"/>
      <c r="C63" s="182"/>
      <c r="D63" s="182"/>
      <c r="E63" s="182"/>
      <c r="F63" s="187"/>
      <c r="G63" s="725"/>
    </row>
    <row r="64" spans="1:7" ht="20.100000000000001" customHeight="1">
      <c r="A64" s="493" t="s">
        <v>316</v>
      </c>
      <c r="B64" s="182"/>
      <c r="C64" s="182"/>
      <c r="D64" s="182"/>
      <c r="E64" s="182"/>
      <c r="F64" s="187"/>
      <c r="G64" s="726">
        <f>SUM(G45:G62)</f>
        <v>31848678</v>
      </c>
    </row>
    <row r="65" spans="1:7" ht="20.100000000000001" customHeight="1">
      <c r="A65" s="492"/>
      <c r="B65" s="182"/>
      <c r="C65" s="182"/>
      <c r="D65" s="182"/>
      <c r="E65" s="182"/>
      <c r="F65" s="187"/>
      <c r="G65" s="192"/>
    </row>
    <row r="66" spans="1:7" ht="20.100000000000001" customHeight="1">
      <c r="A66" s="855" t="s">
        <v>317</v>
      </c>
      <c r="B66" s="856"/>
      <c r="C66" s="856"/>
      <c r="D66" s="856"/>
      <c r="E66" s="856"/>
      <c r="F66" s="857"/>
      <c r="G66" s="727"/>
    </row>
    <row r="67" spans="1:7" ht="20.100000000000001" customHeight="1">
      <c r="A67" s="492"/>
      <c r="B67" s="182"/>
      <c r="C67" s="182"/>
      <c r="D67" s="182"/>
      <c r="E67" s="182"/>
      <c r="F67" s="187"/>
      <c r="G67" s="192"/>
    </row>
    <row r="68" spans="1:7" ht="20.100000000000001" customHeight="1">
      <c r="A68" s="492" t="s">
        <v>318</v>
      </c>
      <c r="B68" s="182"/>
      <c r="C68" s="182"/>
      <c r="D68" s="182"/>
      <c r="E68" s="182"/>
      <c r="F68" s="187" t="s">
        <v>319</v>
      </c>
      <c r="G68" s="442">
        <v>0</v>
      </c>
    </row>
    <row r="69" spans="1:7" ht="20.100000000000001" customHeight="1">
      <c r="A69" s="492" t="s">
        <v>320</v>
      </c>
      <c r="B69" s="182"/>
      <c r="C69" s="182"/>
      <c r="D69" s="182"/>
      <c r="E69" s="182"/>
      <c r="F69" s="187" t="s">
        <v>321</v>
      </c>
      <c r="G69" s="442">
        <v>500000</v>
      </c>
    </row>
    <row r="70" spans="1:7" ht="20.100000000000001" customHeight="1">
      <c r="A70" s="492" t="s">
        <v>322</v>
      </c>
      <c r="B70" s="182"/>
      <c r="C70" s="182"/>
      <c r="D70" s="182"/>
      <c r="E70" s="182"/>
      <c r="F70" s="187" t="s">
        <v>323</v>
      </c>
      <c r="G70" s="442">
        <v>0</v>
      </c>
    </row>
    <row r="71" spans="1:7" ht="20.100000000000001" customHeight="1">
      <c r="A71" s="492"/>
      <c r="B71" s="182"/>
      <c r="C71" s="182"/>
      <c r="D71" s="182"/>
      <c r="E71" s="182"/>
      <c r="F71" s="187"/>
      <c r="G71" s="725"/>
    </row>
    <row r="72" spans="1:7" ht="20.100000000000001" customHeight="1">
      <c r="A72" s="493" t="s">
        <v>324</v>
      </c>
      <c r="B72" s="182"/>
      <c r="C72" s="182"/>
      <c r="D72" s="182"/>
      <c r="E72" s="182"/>
      <c r="F72" s="187"/>
      <c r="G72" s="220">
        <f>SUM(G68:G70)</f>
        <v>500000</v>
      </c>
    </row>
    <row r="73" spans="1:7" ht="20.100000000000001" customHeight="1">
      <c r="A73" s="728"/>
      <c r="B73" s="567"/>
      <c r="C73" s="567"/>
      <c r="D73" s="567"/>
      <c r="E73" s="567"/>
      <c r="F73" s="568"/>
      <c r="G73" s="729"/>
    </row>
    <row r="74" spans="1:7" ht="20.100000000000001" customHeight="1">
      <c r="A74" s="855" t="s">
        <v>325</v>
      </c>
      <c r="B74" s="856"/>
      <c r="C74" s="856"/>
      <c r="D74" s="856"/>
      <c r="E74" s="856"/>
      <c r="F74" s="857"/>
      <c r="G74" s="621"/>
    </row>
    <row r="75" spans="1:7" ht="20.100000000000001" customHeight="1">
      <c r="A75" s="492"/>
      <c r="B75" s="182"/>
      <c r="C75" s="182"/>
      <c r="D75" s="182"/>
      <c r="E75" s="182"/>
      <c r="F75" s="187"/>
      <c r="G75" s="200"/>
    </row>
    <row r="76" spans="1:7" ht="20.100000000000001" customHeight="1">
      <c r="A76" s="492" t="s">
        <v>326</v>
      </c>
      <c r="B76" s="182"/>
      <c r="C76" s="182"/>
      <c r="D76" s="182"/>
      <c r="E76" s="182"/>
      <c r="F76" s="187" t="s">
        <v>327</v>
      </c>
      <c r="G76" s="515">
        <f>'CHECK SHEET'!D84</f>
        <v>34145110.16823367</v>
      </c>
    </row>
    <row r="77" spans="1:7" ht="20.100000000000001" customHeight="1">
      <c r="A77" s="492" t="s">
        <v>697</v>
      </c>
      <c r="B77" s="182"/>
      <c r="C77" s="182"/>
      <c r="D77" s="182"/>
      <c r="E77" s="182"/>
      <c r="F77" s="185">
        <v>42130</v>
      </c>
      <c r="G77" s="516">
        <v>678930</v>
      </c>
    </row>
    <row r="78" spans="1:7" ht="20.100000000000001" customHeight="1">
      <c r="A78" s="494" t="s">
        <v>328</v>
      </c>
      <c r="B78" s="495"/>
      <c r="C78" s="495"/>
      <c r="D78" s="495"/>
      <c r="E78" s="495"/>
      <c r="F78" s="201" t="s">
        <v>329</v>
      </c>
      <c r="G78" s="517">
        <v>1011402</v>
      </c>
    </row>
    <row r="79" spans="1:7" ht="20.100000000000001" customHeight="1">
      <c r="A79" s="494" t="s">
        <v>330</v>
      </c>
      <c r="B79" s="495"/>
      <c r="C79" s="495"/>
      <c r="D79" s="495"/>
      <c r="E79" s="495"/>
      <c r="F79" s="201" t="s">
        <v>331</v>
      </c>
      <c r="G79" s="516">
        <v>0</v>
      </c>
    </row>
    <row r="80" spans="1:7" ht="20.100000000000001" customHeight="1">
      <c r="A80" s="492" t="s">
        <v>332</v>
      </c>
      <c r="B80" s="182"/>
      <c r="C80" s="182"/>
      <c r="D80" s="182"/>
      <c r="E80" s="182"/>
      <c r="F80" s="187" t="s">
        <v>333</v>
      </c>
      <c r="G80" s="516">
        <v>0</v>
      </c>
    </row>
    <row r="81" spans="1:10" ht="20.100000000000001" customHeight="1">
      <c r="A81" s="492" t="s">
        <v>715</v>
      </c>
      <c r="B81" s="182"/>
      <c r="C81" s="182"/>
      <c r="D81" s="182"/>
      <c r="E81" s="182"/>
      <c r="F81" s="187" t="s">
        <v>334</v>
      </c>
      <c r="G81" s="516">
        <v>0</v>
      </c>
    </row>
    <row r="82" spans="1:10" ht="20.100000000000001" customHeight="1">
      <c r="A82" s="492" t="s">
        <v>335</v>
      </c>
      <c r="B82" s="182"/>
      <c r="C82" s="182"/>
      <c r="D82" s="182"/>
      <c r="E82" s="182"/>
      <c r="F82" s="187" t="s">
        <v>336</v>
      </c>
      <c r="G82" s="515">
        <f>'CHECK SHEET'!D86</f>
        <v>7234580.8317663297</v>
      </c>
    </row>
    <row r="83" spans="1:10" ht="20.100000000000001" customHeight="1">
      <c r="A83" s="496" t="s">
        <v>337</v>
      </c>
      <c r="B83" s="497"/>
      <c r="C83" s="497"/>
      <c r="D83" s="497"/>
      <c r="E83" s="497"/>
      <c r="F83" s="200" t="s">
        <v>338</v>
      </c>
      <c r="G83" s="516">
        <v>0</v>
      </c>
    </row>
    <row r="84" spans="1:10" ht="20.100000000000001" customHeight="1">
      <c r="A84" s="492" t="s">
        <v>339</v>
      </c>
      <c r="B84" s="182"/>
      <c r="C84" s="182"/>
      <c r="D84" s="182"/>
      <c r="E84" s="182"/>
      <c r="F84" s="187" t="s">
        <v>340</v>
      </c>
      <c r="G84" s="516">
        <v>320000</v>
      </c>
    </row>
    <row r="85" spans="1:10" ht="20.100000000000001" customHeight="1">
      <c r="A85" s="492"/>
      <c r="B85" s="182"/>
      <c r="C85" s="182"/>
      <c r="D85" s="182"/>
      <c r="E85" s="182"/>
      <c r="F85" s="187"/>
      <c r="G85" s="730"/>
    </row>
    <row r="86" spans="1:10" ht="20.100000000000001" customHeight="1">
      <c r="A86" s="493" t="s">
        <v>341</v>
      </c>
      <c r="B86" s="182"/>
      <c r="C86" s="182"/>
      <c r="D86" s="182"/>
      <c r="E86" s="182"/>
      <c r="F86" s="187"/>
      <c r="G86" s="221">
        <f>SUM(G76:G84)</f>
        <v>43390023</v>
      </c>
    </row>
    <row r="87" spans="1:10" ht="20.100000000000001" customHeight="1">
      <c r="A87" s="728"/>
      <c r="B87" s="567"/>
      <c r="C87" s="567"/>
      <c r="D87" s="567"/>
      <c r="E87" s="567"/>
      <c r="F87" s="568"/>
      <c r="G87" s="729"/>
    </row>
    <row r="88" spans="1:10" ht="20.100000000000001" customHeight="1">
      <c r="A88" s="858" t="s">
        <v>342</v>
      </c>
      <c r="B88" s="859"/>
      <c r="C88" s="859"/>
      <c r="D88" s="859"/>
      <c r="E88" s="859"/>
      <c r="F88" s="860"/>
      <c r="G88" s="621"/>
    </row>
    <row r="89" spans="1:10" ht="20.100000000000001" customHeight="1">
      <c r="A89" s="492"/>
      <c r="B89" s="182"/>
      <c r="C89" s="182"/>
      <c r="D89" s="182"/>
      <c r="E89" s="182"/>
      <c r="F89" s="187"/>
      <c r="G89" s="200"/>
    </row>
    <row r="90" spans="1:10" ht="20.100000000000001" customHeight="1">
      <c r="A90" s="492" t="s">
        <v>343</v>
      </c>
      <c r="B90" s="182"/>
      <c r="C90" s="182"/>
      <c r="D90" s="182"/>
      <c r="E90" s="182"/>
      <c r="F90" s="187" t="s">
        <v>344</v>
      </c>
      <c r="G90" s="445">
        <v>0</v>
      </c>
    </row>
    <row r="91" spans="1:10" ht="20.100000000000001" customHeight="1">
      <c r="A91" s="492" t="s">
        <v>345</v>
      </c>
      <c r="B91" s="182"/>
      <c r="C91" s="182"/>
      <c r="D91" s="182"/>
      <c r="E91" s="182"/>
      <c r="F91" s="1006">
        <v>43518</v>
      </c>
      <c r="G91" s="518">
        <v>0</v>
      </c>
      <c r="J91" s="202"/>
    </row>
    <row r="92" spans="1:10" ht="20.100000000000001" customHeight="1">
      <c r="A92" s="492" t="s">
        <v>346</v>
      </c>
      <c r="B92" s="182"/>
      <c r="C92" s="182"/>
      <c r="D92" s="182"/>
      <c r="E92" s="182"/>
      <c r="F92" s="1006">
        <v>43519</v>
      </c>
      <c r="G92" s="518">
        <v>0</v>
      </c>
    </row>
    <row r="93" spans="1:10" ht="20.100000000000001" customHeight="1">
      <c r="A93" s="492" t="s">
        <v>7</v>
      </c>
      <c r="B93" s="182"/>
      <c r="C93" s="182"/>
      <c r="D93" s="182"/>
      <c r="E93" s="182"/>
      <c r="F93" s="205">
        <v>43521</v>
      </c>
      <c r="G93" s="518">
        <v>0</v>
      </c>
    </row>
    <row r="94" spans="1:10" ht="20.100000000000001" customHeight="1">
      <c r="A94" s="492" t="s">
        <v>8</v>
      </c>
      <c r="B94" s="182"/>
      <c r="C94" s="182"/>
      <c r="D94" s="182"/>
      <c r="E94" s="182"/>
      <c r="F94" s="205">
        <v>43526</v>
      </c>
      <c r="G94" s="518">
        <v>0</v>
      </c>
    </row>
    <row r="95" spans="1:10" ht="20.100000000000001" customHeight="1">
      <c r="A95" s="492" t="s">
        <v>347</v>
      </c>
      <c r="B95" s="182"/>
      <c r="C95" s="182"/>
      <c r="D95" s="182"/>
      <c r="E95" s="182"/>
      <c r="F95" s="187" t="s">
        <v>348</v>
      </c>
      <c r="G95" s="442">
        <v>750000</v>
      </c>
    </row>
    <row r="96" spans="1:10" ht="20.100000000000001" customHeight="1">
      <c r="A96" s="600"/>
      <c r="B96" s="569"/>
      <c r="C96" s="569"/>
      <c r="D96" s="569"/>
      <c r="E96" s="569"/>
      <c r="F96" s="585"/>
      <c r="G96" s="730"/>
    </row>
    <row r="97" spans="1:7" ht="20.100000000000001" customHeight="1">
      <c r="A97" s="493" t="s">
        <v>349</v>
      </c>
      <c r="B97" s="182"/>
      <c r="C97" s="182"/>
      <c r="D97" s="182"/>
      <c r="E97" s="182"/>
      <c r="F97" s="203"/>
      <c r="G97" s="731">
        <f>SUM(G90:G95)</f>
        <v>750000</v>
      </c>
    </row>
    <row r="98" spans="1:7" ht="20.100000000000001" customHeight="1">
      <c r="A98" s="492"/>
      <c r="B98" s="182"/>
      <c r="C98" s="182"/>
      <c r="D98" s="182"/>
      <c r="E98" s="182"/>
      <c r="F98" s="187"/>
      <c r="G98" s="204"/>
    </row>
    <row r="99" spans="1:7" ht="20.100000000000001" customHeight="1">
      <c r="A99" s="861" t="s">
        <v>350</v>
      </c>
      <c r="B99" s="862"/>
      <c r="C99" s="862"/>
      <c r="D99" s="862"/>
      <c r="E99" s="862"/>
      <c r="F99" s="863"/>
      <c r="G99" s="732"/>
    </row>
    <row r="100" spans="1:7" ht="20.100000000000001" customHeight="1">
      <c r="A100" s="492"/>
      <c r="B100" s="182"/>
      <c r="C100" s="182"/>
      <c r="D100" s="182"/>
      <c r="E100" s="182"/>
      <c r="F100" s="187"/>
      <c r="G100" s="204"/>
    </row>
    <row r="101" spans="1:7" ht="20.100000000000001" customHeight="1">
      <c r="A101" s="492" t="s">
        <v>351</v>
      </c>
      <c r="B101" s="182"/>
      <c r="C101" s="182"/>
      <c r="D101" s="182"/>
      <c r="E101" s="182"/>
      <c r="F101" s="187" t="s">
        <v>352</v>
      </c>
      <c r="G101" s="445">
        <v>0</v>
      </c>
    </row>
    <row r="102" spans="1:7" ht="20.100000000000001" customHeight="1">
      <c r="A102" s="492" t="s">
        <v>353</v>
      </c>
      <c r="B102" s="182"/>
      <c r="C102" s="182"/>
      <c r="D102" s="182"/>
      <c r="E102" s="182"/>
      <c r="F102" s="187" t="s">
        <v>354</v>
      </c>
      <c r="G102" s="443">
        <v>0</v>
      </c>
    </row>
    <row r="103" spans="1:7" ht="20.100000000000001" customHeight="1">
      <c r="A103" s="492" t="s">
        <v>355</v>
      </c>
      <c r="B103" s="182"/>
      <c r="C103" s="182"/>
      <c r="D103" s="182"/>
      <c r="E103" s="182"/>
      <c r="F103" s="205">
        <v>44400</v>
      </c>
      <c r="G103" s="444">
        <v>0</v>
      </c>
    </row>
    <row r="104" spans="1:7" ht="20.100000000000001" customHeight="1">
      <c r="A104" s="492" t="s">
        <v>356</v>
      </c>
      <c r="B104" s="182"/>
      <c r="C104" s="182"/>
      <c r="D104" s="182"/>
      <c r="E104" s="182"/>
      <c r="F104" s="187" t="s">
        <v>357</v>
      </c>
      <c r="G104" s="443">
        <v>35000</v>
      </c>
    </row>
    <row r="105" spans="1:7" ht="20.100000000000001" customHeight="1">
      <c r="A105" s="492"/>
      <c r="B105" s="182"/>
      <c r="C105" s="182"/>
      <c r="D105" s="182"/>
      <c r="E105" s="182"/>
      <c r="F105" s="187"/>
      <c r="G105" s="733"/>
    </row>
    <row r="106" spans="1:7" ht="20.100000000000001" customHeight="1">
      <c r="A106" s="493" t="s">
        <v>358</v>
      </c>
      <c r="B106" s="182"/>
      <c r="C106" s="182"/>
      <c r="D106" s="182"/>
      <c r="E106" s="182"/>
      <c r="F106" s="187"/>
      <c r="G106" s="731">
        <f>SUM(G101:G104)</f>
        <v>35000</v>
      </c>
    </row>
    <row r="107" spans="1:7" ht="20.100000000000001" customHeight="1">
      <c r="A107" s="492"/>
      <c r="B107" s="182"/>
      <c r="C107" s="182"/>
      <c r="D107" s="182"/>
      <c r="E107" s="182"/>
      <c r="F107" s="187"/>
      <c r="G107" s="204"/>
    </row>
    <row r="108" spans="1:7" ht="20.100000000000001" customHeight="1">
      <c r="A108" s="855" t="s">
        <v>359</v>
      </c>
      <c r="B108" s="856"/>
      <c r="C108" s="856"/>
      <c r="D108" s="856"/>
      <c r="E108" s="856"/>
      <c r="F108" s="857"/>
      <c r="G108" s="734"/>
    </row>
    <row r="109" spans="1:7" ht="20.100000000000001" customHeight="1">
      <c r="A109" s="492"/>
      <c r="B109" s="182"/>
      <c r="C109" s="182"/>
      <c r="D109" s="182"/>
      <c r="E109" s="182"/>
      <c r="F109" s="187"/>
      <c r="G109" s="204"/>
    </row>
    <row r="110" spans="1:7" ht="20.100000000000001" customHeight="1">
      <c r="A110" s="492" t="s">
        <v>360</v>
      </c>
      <c r="B110" s="182"/>
      <c r="C110" s="182"/>
      <c r="D110" s="182"/>
      <c r="E110" s="182"/>
      <c r="F110" s="187" t="s">
        <v>361</v>
      </c>
      <c r="G110" s="445">
        <v>0</v>
      </c>
    </row>
    <row r="111" spans="1:7" ht="20.100000000000001" customHeight="1">
      <c r="A111" s="492" t="s">
        <v>362</v>
      </c>
      <c r="B111" s="182"/>
      <c r="C111" s="182"/>
      <c r="D111" s="182"/>
      <c r="E111" s="182"/>
      <c r="F111" s="187" t="s">
        <v>363</v>
      </c>
      <c r="G111" s="443">
        <v>400000</v>
      </c>
    </row>
    <row r="112" spans="1:7" ht="20.100000000000001" customHeight="1">
      <c r="A112" s="492" t="s">
        <v>364</v>
      </c>
      <c r="B112" s="182"/>
      <c r="C112" s="182"/>
      <c r="D112" s="182"/>
      <c r="E112" s="182"/>
      <c r="F112" s="187" t="s">
        <v>365</v>
      </c>
      <c r="G112" s="443">
        <v>45000</v>
      </c>
    </row>
    <row r="113" spans="1:7" ht="20.100000000000001" customHeight="1">
      <c r="A113" s="492" t="s">
        <v>366</v>
      </c>
      <c r="B113" s="182"/>
      <c r="C113" s="182"/>
      <c r="D113" s="182"/>
      <c r="E113" s="182"/>
      <c r="F113" s="187" t="s">
        <v>367</v>
      </c>
      <c r="G113" s="443">
        <v>0</v>
      </c>
    </row>
    <row r="114" spans="1:7" ht="20.100000000000001" customHeight="1">
      <c r="A114" s="492" t="s">
        <v>368</v>
      </c>
      <c r="B114" s="182"/>
      <c r="C114" s="182"/>
      <c r="D114" s="182"/>
      <c r="E114" s="182"/>
      <c r="F114" s="187" t="s">
        <v>369</v>
      </c>
      <c r="G114" s="1078">
        <v>0</v>
      </c>
    </row>
    <row r="115" spans="1:7" ht="20.100000000000001" customHeight="1">
      <c r="A115" s="492"/>
      <c r="B115" s="182"/>
      <c r="C115" s="182"/>
      <c r="D115" s="182"/>
      <c r="E115" s="182"/>
      <c r="F115" s="187"/>
      <c r="G115" s="733"/>
    </row>
    <row r="116" spans="1:7" ht="20.100000000000001" customHeight="1">
      <c r="A116" s="735" t="s">
        <v>370</v>
      </c>
      <c r="B116" s="736"/>
      <c r="C116" s="736"/>
      <c r="D116" s="736"/>
      <c r="E116" s="736"/>
      <c r="F116" s="737"/>
      <c r="G116" s="731">
        <f>SUM(G110:G114)</f>
        <v>445000</v>
      </c>
    </row>
    <row r="117" spans="1:7" ht="20.100000000000001" customHeight="1">
      <c r="A117" s="492"/>
      <c r="B117" s="182"/>
      <c r="C117" s="182"/>
      <c r="D117" s="182"/>
      <c r="E117" s="182"/>
      <c r="F117" s="498"/>
      <c r="G117" s="499"/>
    </row>
    <row r="118" spans="1:7" ht="20.100000000000001" customHeight="1">
      <c r="A118" s="738" t="s">
        <v>371</v>
      </c>
      <c r="B118" s="570"/>
      <c r="C118" s="570"/>
      <c r="D118" s="570"/>
      <c r="E118" s="570"/>
      <c r="F118" s="571" t="s">
        <v>372</v>
      </c>
      <c r="G118" s="739">
        <v>0</v>
      </c>
    </row>
    <row r="119" spans="1:7" ht="20.100000000000001" customHeight="1">
      <c r="A119" s="500"/>
      <c r="F119" s="205"/>
      <c r="G119" s="206"/>
    </row>
    <row r="120" spans="1:7" ht="20.100000000000001" customHeight="1">
      <c r="A120" s="493" t="s">
        <v>373</v>
      </c>
      <c r="C120" s="182"/>
      <c r="D120" s="182"/>
      <c r="F120" s="205"/>
      <c r="G120" s="731">
        <f>G118</f>
        <v>0</v>
      </c>
    </row>
    <row r="121" spans="1:7" ht="20.100000000000001" customHeight="1">
      <c r="A121" s="500"/>
      <c r="F121" s="205"/>
      <c r="G121" s="204"/>
    </row>
    <row r="122" spans="1:7" ht="20.100000000000001" customHeight="1">
      <c r="A122" s="861" t="s">
        <v>374</v>
      </c>
      <c r="B122" s="862"/>
      <c r="C122" s="862"/>
      <c r="D122" s="862"/>
      <c r="E122" s="862"/>
      <c r="F122" s="863"/>
      <c r="G122" s="732"/>
    </row>
    <row r="123" spans="1:7" ht="20.100000000000001" customHeight="1">
      <c r="A123" s="492"/>
      <c r="B123" s="182"/>
      <c r="C123" s="182"/>
      <c r="D123" s="182"/>
      <c r="E123" s="182"/>
      <c r="F123" s="187"/>
      <c r="G123" s="204"/>
    </row>
    <row r="124" spans="1:7" ht="20.100000000000001" customHeight="1">
      <c r="A124" s="492" t="s">
        <v>375</v>
      </c>
      <c r="B124" s="182"/>
      <c r="C124" s="182"/>
      <c r="D124" s="182"/>
      <c r="E124" s="182"/>
      <c r="F124" s="187" t="s">
        <v>376</v>
      </c>
      <c r="G124" s="445">
        <v>150000</v>
      </c>
    </row>
    <row r="125" spans="1:7" ht="20.100000000000001" customHeight="1">
      <c r="A125" s="492" t="s">
        <v>377</v>
      </c>
      <c r="B125" s="182"/>
      <c r="C125" s="182"/>
      <c r="D125" s="182"/>
      <c r="E125" s="182"/>
      <c r="F125" s="187" t="s">
        <v>378</v>
      </c>
      <c r="G125" s="443">
        <v>0</v>
      </c>
    </row>
    <row r="126" spans="1:7" ht="20.100000000000001" customHeight="1">
      <c r="A126" s="492" t="s">
        <v>379</v>
      </c>
      <c r="B126" s="182"/>
      <c r="C126" s="182"/>
      <c r="D126" s="182"/>
      <c r="E126" s="182"/>
      <c r="F126" s="187" t="s">
        <v>380</v>
      </c>
      <c r="G126" s="443">
        <v>0</v>
      </c>
    </row>
    <row r="127" spans="1:7" ht="20.100000000000001" customHeight="1">
      <c r="A127" s="492" t="s">
        <v>381</v>
      </c>
      <c r="B127" s="182"/>
      <c r="C127" s="182"/>
      <c r="D127" s="182"/>
      <c r="E127" s="182"/>
      <c r="F127" s="187" t="s">
        <v>382</v>
      </c>
      <c r="G127" s="443">
        <v>300000</v>
      </c>
    </row>
    <row r="128" spans="1:7" ht="20.100000000000001" customHeight="1">
      <c r="A128" s="492"/>
      <c r="B128" s="182"/>
      <c r="C128" s="182"/>
      <c r="D128" s="182"/>
      <c r="E128" s="182"/>
      <c r="F128" s="187"/>
      <c r="G128" s="733"/>
    </row>
    <row r="129" spans="1:7" ht="20.100000000000001" customHeight="1">
      <c r="A129" s="493" t="s">
        <v>383</v>
      </c>
      <c r="B129" s="182"/>
      <c r="C129" s="182"/>
      <c r="D129" s="182"/>
      <c r="E129" s="182"/>
      <c r="F129" s="187"/>
      <c r="G129" s="731">
        <f>SUM(G124:G127)</f>
        <v>450000</v>
      </c>
    </row>
    <row r="130" spans="1:7" ht="20.100000000000001" customHeight="1">
      <c r="A130" s="492"/>
      <c r="B130" s="182"/>
      <c r="C130" s="182"/>
      <c r="D130" s="182"/>
      <c r="E130" s="182"/>
      <c r="F130" s="187"/>
      <c r="G130" s="204"/>
    </row>
    <row r="131" spans="1:7" ht="20.100000000000001" customHeight="1">
      <c r="A131" s="855" t="s">
        <v>384</v>
      </c>
      <c r="B131" s="856"/>
      <c r="C131" s="856"/>
      <c r="D131" s="856"/>
      <c r="E131" s="856"/>
      <c r="F131" s="857"/>
      <c r="G131" s="734"/>
    </row>
    <row r="132" spans="1:7" ht="20.100000000000001" customHeight="1">
      <c r="A132" s="492"/>
      <c r="B132" s="182"/>
      <c r="C132" s="182"/>
      <c r="D132" s="182"/>
      <c r="E132" s="182"/>
      <c r="F132" s="187"/>
      <c r="G132" s="204"/>
    </row>
    <row r="133" spans="1:7" ht="20.100000000000001" customHeight="1">
      <c r="A133" s="492" t="s">
        <v>385</v>
      </c>
      <c r="B133" s="182"/>
      <c r="C133" s="182"/>
      <c r="D133" s="501"/>
      <c r="E133" s="197"/>
      <c r="F133" s="1095" t="s">
        <v>386</v>
      </c>
      <c r="G133" s="445">
        <v>0</v>
      </c>
    </row>
    <row r="134" spans="1:7" ht="20.100000000000001" customHeight="1">
      <c r="A134" s="492" t="s">
        <v>699</v>
      </c>
      <c r="B134" s="182"/>
      <c r="C134" s="182"/>
      <c r="D134" s="501"/>
      <c r="E134" s="197"/>
      <c r="F134" s="1165">
        <v>49200</v>
      </c>
      <c r="G134" s="443">
        <v>0</v>
      </c>
    </row>
    <row r="135" spans="1:7" ht="20.100000000000001" customHeight="1">
      <c r="A135" s="492" t="s">
        <v>387</v>
      </c>
      <c r="B135" s="182"/>
      <c r="C135" s="182"/>
      <c r="D135" s="182"/>
      <c r="E135" s="182"/>
      <c r="F135" s="1052" t="s">
        <v>388</v>
      </c>
      <c r="G135" s="443">
        <v>0</v>
      </c>
    </row>
    <row r="136" spans="1:7" ht="20.100000000000001" customHeight="1">
      <c r="A136" s="492" t="s">
        <v>389</v>
      </c>
      <c r="B136" s="182"/>
      <c r="C136" s="182"/>
      <c r="D136" s="182"/>
      <c r="E136" s="182"/>
      <c r="F136" s="185">
        <v>49520</v>
      </c>
      <c r="G136" s="443">
        <v>0</v>
      </c>
    </row>
    <row r="137" spans="1:7" ht="20.100000000000001" customHeight="1">
      <c r="A137" s="1021" t="s">
        <v>691</v>
      </c>
      <c r="B137" s="182"/>
      <c r="C137" s="182"/>
      <c r="D137" s="182"/>
      <c r="E137" s="182"/>
      <c r="F137" s="205">
        <v>49521</v>
      </c>
      <c r="G137" s="443">
        <v>0</v>
      </c>
    </row>
    <row r="138" spans="1:7" ht="20.100000000000001" customHeight="1">
      <c r="A138" s="492" t="s">
        <v>390</v>
      </c>
      <c r="B138" s="182"/>
      <c r="C138" s="182"/>
      <c r="D138" s="182"/>
      <c r="E138" s="182"/>
      <c r="F138" s="187" t="s">
        <v>391</v>
      </c>
      <c r="G138" s="443">
        <v>0</v>
      </c>
    </row>
    <row r="139" spans="1:7" ht="20.100000000000001" customHeight="1">
      <c r="A139" s="492" t="s">
        <v>392</v>
      </c>
      <c r="B139" s="182"/>
      <c r="C139" s="182"/>
      <c r="D139" s="182"/>
      <c r="E139" s="182"/>
      <c r="F139" s="187" t="s">
        <v>393</v>
      </c>
      <c r="G139" s="443">
        <v>0</v>
      </c>
    </row>
    <row r="140" spans="1:7" ht="20.100000000000001" customHeight="1">
      <c r="A140" s="492"/>
      <c r="B140" s="182"/>
      <c r="C140" s="182"/>
      <c r="D140" s="182"/>
      <c r="E140" s="182"/>
      <c r="F140" s="187"/>
      <c r="G140" s="733"/>
    </row>
    <row r="141" spans="1:7" ht="20.100000000000001" customHeight="1">
      <c r="A141" s="493" t="s">
        <v>394</v>
      </c>
      <c r="B141" s="182"/>
      <c r="C141" s="182"/>
      <c r="D141" s="182"/>
      <c r="E141" s="182"/>
      <c r="F141" s="187"/>
      <c r="G141" s="731">
        <f>SUM(G133:G139)</f>
        <v>0</v>
      </c>
    </row>
    <row r="142" spans="1:7" ht="20.100000000000001" customHeight="1">
      <c r="A142" s="492"/>
      <c r="B142" s="182"/>
      <c r="C142" s="182"/>
      <c r="D142" s="182"/>
      <c r="E142" s="182"/>
      <c r="F142" s="187"/>
      <c r="G142" s="204"/>
    </row>
    <row r="143" spans="1:7" ht="20.100000000000001" customHeight="1" thickBot="1">
      <c r="A143" s="521" t="s">
        <v>395</v>
      </c>
      <c r="B143" s="522"/>
      <c r="C143" s="522"/>
      <c r="D143" s="522"/>
      <c r="E143" s="522"/>
      <c r="F143" s="523"/>
      <c r="G143" s="525">
        <f>G64+G72+G86+G97+G106+G116+G120+G129+G141</f>
        <v>77418701</v>
      </c>
    </row>
    <row r="144" spans="1:7" ht="20.100000000000001" customHeight="1" thickTop="1">
      <c r="A144" s="728"/>
      <c r="B144" s="567"/>
      <c r="C144" s="567"/>
      <c r="D144" s="567"/>
      <c r="E144" s="567"/>
      <c r="F144" s="622"/>
      <c r="G144" s="623"/>
    </row>
    <row r="145" spans="1:7" ht="20.100000000000001" customHeight="1">
      <c r="A145" s="855" t="s">
        <v>396</v>
      </c>
      <c r="B145" s="856"/>
      <c r="C145" s="856"/>
      <c r="D145" s="856"/>
      <c r="E145" s="856"/>
      <c r="F145" s="857"/>
      <c r="G145" s="740"/>
    </row>
    <row r="146" spans="1:7" ht="20.100000000000001" customHeight="1">
      <c r="A146" s="492"/>
      <c r="B146" s="182"/>
      <c r="C146" s="182"/>
      <c r="D146" s="182"/>
      <c r="E146" s="182"/>
      <c r="F146" s="187"/>
      <c r="G146" s="207"/>
    </row>
    <row r="147" spans="1:7" ht="20.100000000000001" customHeight="1">
      <c r="A147" s="492" t="s">
        <v>397</v>
      </c>
      <c r="B147" s="182"/>
      <c r="C147" s="182"/>
      <c r="D147" s="182"/>
      <c r="E147" s="182"/>
      <c r="F147" s="187" t="s">
        <v>398</v>
      </c>
      <c r="G147" s="446">
        <v>2250000</v>
      </c>
    </row>
    <row r="148" spans="1:7" ht="20.100000000000001" customHeight="1">
      <c r="A148" s="492" t="s">
        <v>399</v>
      </c>
      <c r="F148" s="187" t="s">
        <v>400</v>
      </c>
      <c r="G148" s="447">
        <v>1000000</v>
      </c>
    </row>
    <row r="149" spans="1:7" ht="20.100000000000001" customHeight="1">
      <c r="A149" s="492" t="s">
        <v>401</v>
      </c>
      <c r="F149" s="187" t="s">
        <v>402</v>
      </c>
      <c r="G149" s="447">
        <v>600000</v>
      </c>
    </row>
    <row r="150" spans="1:7" ht="20.100000000000001" customHeight="1">
      <c r="A150" s="492" t="s">
        <v>403</v>
      </c>
      <c r="F150" s="187" t="s">
        <v>404</v>
      </c>
      <c r="G150" s="447">
        <v>0</v>
      </c>
    </row>
    <row r="151" spans="1:7" ht="20.100000000000001" customHeight="1">
      <c r="A151" s="492" t="s">
        <v>405</v>
      </c>
      <c r="F151" s="187" t="s">
        <v>406</v>
      </c>
      <c r="G151" s="447">
        <v>0</v>
      </c>
    </row>
    <row r="152" spans="1:7" ht="20.100000000000001" customHeight="1">
      <c r="A152" s="492" t="s">
        <v>407</v>
      </c>
      <c r="B152" s="182"/>
      <c r="C152" s="182"/>
      <c r="D152" s="182"/>
      <c r="E152" s="182"/>
      <c r="F152" s="187" t="s">
        <v>408</v>
      </c>
      <c r="G152" s="447">
        <v>14500000</v>
      </c>
    </row>
    <row r="153" spans="1:7" ht="20.100000000000001" customHeight="1">
      <c r="A153" s="492" t="s">
        <v>409</v>
      </c>
      <c r="B153" s="182"/>
      <c r="C153" s="182"/>
      <c r="D153" s="182"/>
      <c r="E153" s="182"/>
      <c r="F153" s="187" t="s">
        <v>410</v>
      </c>
      <c r="G153" s="447">
        <v>0</v>
      </c>
    </row>
    <row r="154" spans="1:7" ht="20.100000000000001" customHeight="1">
      <c r="A154" s="492" t="s">
        <v>411</v>
      </c>
      <c r="B154" s="182"/>
      <c r="C154" s="182"/>
      <c r="D154" s="182"/>
      <c r="E154" s="182"/>
      <c r="F154" s="187" t="s">
        <v>412</v>
      </c>
      <c r="G154" s="447">
        <v>0</v>
      </c>
    </row>
    <row r="155" spans="1:7" ht="20.100000000000001" customHeight="1">
      <c r="A155" s="492" t="s">
        <v>413</v>
      </c>
      <c r="B155" s="182"/>
      <c r="C155" s="182"/>
      <c r="D155" s="182"/>
      <c r="E155" s="182"/>
      <c r="F155" s="187" t="s">
        <v>414</v>
      </c>
      <c r="G155" s="447">
        <v>0</v>
      </c>
    </row>
    <row r="156" spans="1:7" ht="20.100000000000001" customHeight="1">
      <c r="A156" s="492" t="s">
        <v>415</v>
      </c>
      <c r="B156" s="182"/>
      <c r="C156" s="182"/>
      <c r="D156" s="182"/>
      <c r="E156" s="182"/>
      <c r="F156" s="187" t="s">
        <v>416</v>
      </c>
      <c r="G156" s="447">
        <v>0</v>
      </c>
    </row>
    <row r="157" spans="1:7" ht="20.100000000000001" customHeight="1">
      <c r="A157" s="492" t="s">
        <v>417</v>
      </c>
      <c r="B157" s="182"/>
      <c r="C157" s="182"/>
      <c r="D157" s="182"/>
      <c r="E157" s="182"/>
      <c r="F157" s="185">
        <v>52500</v>
      </c>
      <c r="G157" s="447">
        <v>0</v>
      </c>
    </row>
    <row r="158" spans="1:7" ht="20.100000000000001" customHeight="1">
      <c r="A158" s="492" t="s">
        <v>418</v>
      </c>
      <c r="B158" s="182"/>
      <c r="C158" s="182"/>
      <c r="D158" s="182"/>
      <c r="E158" s="182"/>
      <c r="F158" s="187" t="s">
        <v>419</v>
      </c>
      <c r="G158" s="447">
        <v>0</v>
      </c>
    </row>
    <row r="159" spans="1:7" ht="20.100000000000001" customHeight="1">
      <c r="A159" s="492" t="s">
        <v>420</v>
      </c>
      <c r="B159" s="182"/>
      <c r="C159" s="182"/>
      <c r="D159" s="182"/>
      <c r="E159" s="182"/>
      <c r="F159" s="187" t="s">
        <v>421</v>
      </c>
      <c r="G159" s="447">
        <v>0</v>
      </c>
    </row>
    <row r="160" spans="1:7" ht="20.100000000000001" customHeight="1">
      <c r="A160" s="492" t="s">
        <v>422</v>
      </c>
      <c r="B160" s="182"/>
      <c r="C160" s="182"/>
      <c r="D160" s="182"/>
      <c r="E160" s="182"/>
      <c r="F160" s="187" t="s">
        <v>423</v>
      </c>
      <c r="G160" s="447">
        <v>0</v>
      </c>
    </row>
    <row r="161" spans="1:7" ht="20.100000000000001" customHeight="1">
      <c r="A161" s="492" t="s">
        <v>424</v>
      </c>
      <c r="B161" s="182"/>
      <c r="C161" s="182"/>
      <c r="D161" s="182"/>
      <c r="E161" s="182"/>
      <c r="F161" s="187" t="s">
        <v>425</v>
      </c>
      <c r="G161" s="447">
        <v>0</v>
      </c>
    </row>
    <row r="162" spans="1:7" ht="20.100000000000001" customHeight="1">
      <c r="A162" s="492" t="s">
        <v>426</v>
      </c>
      <c r="B162" s="182"/>
      <c r="C162" s="182"/>
      <c r="D162" s="182"/>
      <c r="E162" s="182"/>
      <c r="F162" s="187" t="s">
        <v>427</v>
      </c>
      <c r="G162" s="447">
        <v>11500000</v>
      </c>
    </row>
    <row r="163" spans="1:7" ht="20.100000000000001" customHeight="1">
      <c r="A163" s="492" t="s">
        <v>428</v>
      </c>
      <c r="B163" s="182"/>
      <c r="C163" s="182"/>
      <c r="D163" s="182"/>
      <c r="E163" s="182"/>
      <c r="F163" s="187" t="s">
        <v>429</v>
      </c>
      <c r="G163" s="447">
        <v>0</v>
      </c>
    </row>
    <row r="164" spans="1:7" ht="20.100000000000001" customHeight="1">
      <c r="A164" s="492" t="s">
        <v>430</v>
      </c>
      <c r="B164" s="182"/>
      <c r="C164" s="182"/>
      <c r="D164" s="182"/>
      <c r="E164" s="182"/>
      <c r="F164" s="187" t="s">
        <v>431</v>
      </c>
      <c r="G164" s="447">
        <v>0</v>
      </c>
    </row>
    <row r="165" spans="1:7" ht="20.100000000000001" customHeight="1">
      <c r="A165" s="492" t="s">
        <v>432</v>
      </c>
      <c r="B165" s="182"/>
      <c r="C165" s="182"/>
      <c r="D165" s="182"/>
      <c r="E165" s="182"/>
      <c r="F165" s="187" t="s">
        <v>433</v>
      </c>
      <c r="G165" s="447">
        <v>3000000</v>
      </c>
    </row>
    <row r="166" spans="1:7" ht="20.100000000000001" customHeight="1">
      <c r="A166" s="492" t="s">
        <v>434</v>
      </c>
      <c r="B166" s="182"/>
      <c r="C166" s="182"/>
      <c r="D166" s="182"/>
      <c r="E166" s="182"/>
      <c r="F166" s="187" t="s">
        <v>435</v>
      </c>
      <c r="G166" s="447">
        <v>0</v>
      </c>
    </row>
    <row r="167" spans="1:7" ht="20.100000000000001" customHeight="1">
      <c r="A167" s="492" t="s">
        <v>436</v>
      </c>
      <c r="B167" s="182"/>
      <c r="C167" s="182"/>
      <c r="D167" s="182"/>
      <c r="E167" s="182"/>
      <c r="F167" s="187" t="s">
        <v>437</v>
      </c>
      <c r="G167" s="447">
        <v>5000000</v>
      </c>
    </row>
    <row r="168" spans="1:7" ht="20.100000000000001" customHeight="1">
      <c r="A168" s="492" t="s">
        <v>438</v>
      </c>
      <c r="B168" s="182"/>
      <c r="C168" s="182"/>
      <c r="D168" s="182"/>
      <c r="E168" s="182"/>
      <c r="F168" s="187" t="s">
        <v>439</v>
      </c>
      <c r="G168" s="447">
        <v>0</v>
      </c>
    </row>
    <row r="169" spans="1:7" ht="20.100000000000001" customHeight="1">
      <c r="A169" s="492" t="s">
        <v>440</v>
      </c>
      <c r="B169" s="182"/>
      <c r="C169" s="182"/>
      <c r="D169" s="182"/>
      <c r="E169" s="182"/>
      <c r="F169" s="187" t="s">
        <v>441</v>
      </c>
      <c r="G169" s="447">
        <v>0</v>
      </c>
    </row>
    <row r="170" spans="1:7" ht="20.100000000000001" customHeight="1">
      <c r="A170" s="492" t="s">
        <v>442</v>
      </c>
      <c r="B170" s="182"/>
      <c r="C170" s="182"/>
      <c r="D170" s="182"/>
      <c r="E170" s="182"/>
      <c r="F170" s="187" t="s">
        <v>443</v>
      </c>
      <c r="G170" s="447">
        <v>0</v>
      </c>
    </row>
    <row r="171" spans="1:7" ht="20.100000000000001" customHeight="1">
      <c r="A171" s="492" t="s">
        <v>444</v>
      </c>
      <c r="B171" s="182"/>
      <c r="C171" s="182"/>
      <c r="D171" s="182"/>
      <c r="E171" s="182"/>
      <c r="F171" s="187" t="s">
        <v>445</v>
      </c>
      <c r="G171" s="447">
        <v>5500000</v>
      </c>
    </row>
    <row r="172" spans="1:7" ht="20.100000000000001" customHeight="1">
      <c r="A172" s="492" t="s">
        <v>446</v>
      </c>
      <c r="B172" s="182"/>
      <c r="C172" s="182"/>
      <c r="D172" s="182"/>
      <c r="E172" s="182"/>
      <c r="F172" s="185">
        <v>56001</v>
      </c>
      <c r="G172" s="447">
        <v>0</v>
      </c>
    </row>
    <row r="173" spans="1:7" ht="20.100000000000001" customHeight="1">
      <c r="A173" s="492" t="s">
        <v>447</v>
      </c>
      <c r="B173" s="182"/>
      <c r="C173" s="182"/>
      <c r="D173" s="182"/>
      <c r="E173" s="182"/>
      <c r="F173" s="185">
        <v>56002</v>
      </c>
      <c r="G173" s="447">
        <v>0</v>
      </c>
    </row>
    <row r="174" spans="1:7" ht="20.100000000000001" customHeight="1">
      <c r="A174" s="492" t="s">
        <v>448</v>
      </c>
      <c r="B174" s="182"/>
      <c r="C174" s="182"/>
      <c r="D174" s="182"/>
      <c r="E174" s="182"/>
      <c r="F174" s="185">
        <v>56003</v>
      </c>
      <c r="G174" s="447">
        <v>0</v>
      </c>
    </row>
    <row r="175" spans="1:7" ht="20.100000000000001" customHeight="1">
      <c r="A175" s="492" t="s">
        <v>449</v>
      </c>
      <c r="B175" s="182"/>
      <c r="C175" s="182"/>
      <c r="D175" s="182"/>
      <c r="E175" s="182"/>
      <c r="F175" s="208" t="s">
        <v>450</v>
      </c>
      <c r="G175" s="447">
        <v>0</v>
      </c>
    </row>
    <row r="176" spans="1:7" ht="20.100000000000001" customHeight="1">
      <c r="A176" s="492" t="s">
        <v>451</v>
      </c>
      <c r="B176" s="182"/>
      <c r="C176" s="182"/>
      <c r="D176" s="182"/>
      <c r="E176" s="182"/>
      <c r="F176" s="187" t="s">
        <v>452</v>
      </c>
      <c r="G176" s="447">
        <v>0</v>
      </c>
    </row>
    <row r="177" spans="1:7" ht="20.100000000000001" customHeight="1">
      <c r="A177" s="500" t="s">
        <v>453</v>
      </c>
      <c r="F177" s="205" t="s">
        <v>454</v>
      </c>
      <c r="G177" s="447">
        <v>750000</v>
      </c>
    </row>
    <row r="178" spans="1:7" ht="20.100000000000001" customHeight="1">
      <c r="A178" s="492" t="s">
        <v>455</v>
      </c>
      <c r="B178" s="182"/>
      <c r="C178" s="182"/>
      <c r="D178" s="182"/>
      <c r="E178" s="182"/>
      <c r="F178" s="187" t="s">
        <v>456</v>
      </c>
      <c r="G178" s="447">
        <v>1250000</v>
      </c>
    </row>
    <row r="179" spans="1:7" ht="20.100000000000001" customHeight="1">
      <c r="A179" s="492" t="s">
        <v>457</v>
      </c>
      <c r="B179" s="182"/>
      <c r="C179" s="182"/>
      <c r="D179" s="182"/>
      <c r="E179" s="182"/>
      <c r="F179" s="187" t="s">
        <v>458</v>
      </c>
      <c r="G179" s="447">
        <v>0</v>
      </c>
    </row>
    <row r="180" spans="1:7" ht="20.100000000000001" customHeight="1">
      <c r="A180" s="492" t="s">
        <v>459</v>
      </c>
      <c r="B180" s="182"/>
      <c r="C180" s="182"/>
      <c r="D180" s="182"/>
      <c r="E180" s="182"/>
      <c r="F180" s="187" t="s">
        <v>460</v>
      </c>
      <c r="G180" s="447">
        <v>0</v>
      </c>
    </row>
    <row r="181" spans="1:7" ht="20.100000000000001" customHeight="1">
      <c r="A181" s="492" t="s">
        <v>461</v>
      </c>
      <c r="B181" s="182"/>
      <c r="C181" s="182"/>
      <c r="D181" s="182"/>
      <c r="E181" s="182"/>
      <c r="F181" s="187" t="s">
        <v>462</v>
      </c>
      <c r="G181" s="447">
        <v>0</v>
      </c>
    </row>
    <row r="182" spans="1:7" ht="20.100000000000001" customHeight="1">
      <c r="A182" s="492" t="s">
        <v>463</v>
      </c>
      <c r="B182" s="182"/>
      <c r="C182" s="182"/>
      <c r="D182" s="182"/>
      <c r="E182" s="182"/>
      <c r="F182" s="187" t="s">
        <v>464</v>
      </c>
      <c r="G182" s="447">
        <v>0</v>
      </c>
    </row>
    <row r="183" spans="1:7" ht="20.100000000000001" customHeight="1">
      <c r="A183" s="492" t="s">
        <v>465</v>
      </c>
      <c r="B183" s="182"/>
      <c r="C183" s="182"/>
      <c r="D183" s="182"/>
      <c r="E183" s="182"/>
      <c r="F183" s="187" t="s">
        <v>466</v>
      </c>
      <c r="G183" s="447">
        <v>0</v>
      </c>
    </row>
    <row r="184" spans="1:7" ht="20.100000000000001" customHeight="1">
      <c r="A184" s="492" t="s">
        <v>467</v>
      </c>
      <c r="B184" s="182"/>
      <c r="C184" s="182"/>
      <c r="D184" s="182"/>
      <c r="E184" s="182"/>
      <c r="F184" s="187" t="s">
        <v>468</v>
      </c>
      <c r="G184" s="447">
        <v>0</v>
      </c>
    </row>
    <row r="185" spans="1:7" ht="20.100000000000001" customHeight="1">
      <c r="A185" s="492" t="s">
        <v>469</v>
      </c>
      <c r="B185" s="182"/>
      <c r="C185" s="182"/>
      <c r="D185" s="182"/>
      <c r="E185" s="182"/>
      <c r="F185" s="187" t="s">
        <v>470</v>
      </c>
      <c r="G185" s="447">
        <v>2750000</v>
      </c>
    </row>
    <row r="186" spans="1:7" ht="20.100000000000001" customHeight="1">
      <c r="A186" s="492" t="s">
        <v>471</v>
      </c>
      <c r="B186" s="182"/>
      <c r="C186" s="182"/>
      <c r="D186" s="182"/>
      <c r="E186" s="182"/>
      <c r="F186" s="187" t="s">
        <v>472</v>
      </c>
      <c r="G186" s="447">
        <v>5250000</v>
      </c>
    </row>
    <row r="187" spans="1:7" ht="20.100000000000001" customHeight="1">
      <c r="A187" s="492" t="s">
        <v>473</v>
      </c>
      <c r="B187" s="182"/>
      <c r="C187" s="182"/>
      <c r="D187" s="182"/>
      <c r="E187" s="182"/>
      <c r="F187" s="187" t="s">
        <v>474</v>
      </c>
      <c r="G187" s="447">
        <v>0</v>
      </c>
    </row>
    <row r="188" spans="1:7" ht="20.100000000000001" customHeight="1">
      <c r="A188" s="492" t="s">
        <v>475</v>
      </c>
      <c r="B188" s="182"/>
      <c r="C188" s="182"/>
      <c r="D188" s="182"/>
      <c r="E188" s="182"/>
      <c r="F188" s="187" t="s">
        <v>476</v>
      </c>
      <c r="G188" s="447">
        <v>0</v>
      </c>
    </row>
    <row r="189" spans="1:7" ht="20.100000000000001" customHeight="1">
      <c r="A189" s="492" t="s">
        <v>477</v>
      </c>
      <c r="B189" s="182"/>
      <c r="C189" s="182"/>
      <c r="D189" s="182"/>
      <c r="E189" s="182"/>
      <c r="F189" s="187" t="s">
        <v>478</v>
      </c>
      <c r="G189" s="447">
        <v>0</v>
      </c>
    </row>
    <row r="190" spans="1:7" ht="20.100000000000001" customHeight="1">
      <c r="A190" s="492" t="s">
        <v>479</v>
      </c>
      <c r="B190" s="182"/>
      <c r="C190" s="182"/>
      <c r="D190" s="182"/>
      <c r="E190" s="182"/>
      <c r="F190" s="205">
        <v>59600</v>
      </c>
      <c r="G190" s="447">
        <v>18701</v>
      </c>
    </row>
    <row r="191" spans="1:7" ht="20.100000000000001" customHeight="1">
      <c r="A191" s="492" t="s">
        <v>480</v>
      </c>
      <c r="B191" s="182"/>
      <c r="C191" s="182"/>
      <c r="D191" s="182"/>
      <c r="E191" s="182"/>
      <c r="F191" s="187" t="s">
        <v>481</v>
      </c>
      <c r="G191" s="447">
        <v>5050000</v>
      </c>
    </row>
    <row r="192" spans="1:7" ht="20.100000000000001" customHeight="1">
      <c r="A192" s="492" t="s">
        <v>482</v>
      </c>
      <c r="B192" s="182"/>
      <c r="C192" s="182"/>
      <c r="D192" s="182"/>
      <c r="E192" s="182"/>
      <c r="F192" s="187" t="s">
        <v>483</v>
      </c>
      <c r="G192" s="447">
        <v>0</v>
      </c>
    </row>
    <row r="193" spans="1:7" ht="20.100000000000001" customHeight="1">
      <c r="A193" s="492" t="s">
        <v>484</v>
      </c>
      <c r="B193" s="182"/>
      <c r="C193" s="182"/>
      <c r="D193" s="182"/>
      <c r="E193" s="182"/>
      <c r="F193" s="187" t="s">
        <v>485</v>
      </c>
      <c r="G193" s="447">
        <v>0</v>
      </c>
    </row>
    <row r="194" spans="1:7" ht="20.100000000000001" customHeight="1">
      <c r="A194" s="492"/>
      <c r="B194" s="182"/>
      <c r="C194" s="182"/>
      <c r="D194" s="182"/>
      <c r="E194" s="182"/>
      <c r="F194" s="187"/>
      <c r="G194" s="741"/>
    </row>
    <row r="195" spans="1:7" ht="20.100000000000001" customHeight="1">
      <c r="A195" s="505" t="s">
        <v>486</v>
      </c>
      <c r="B195" s="506"/>
      <c r="C195" s="506"/>
      <c r="D195" s="506"/>
      <c r="E195" s="506"/>
      <c r="F195" s="519"/>
      <c r="G195" s="520">
        <f>SUM(G147:G193)</f>
        <v>58418701</v>
      </c>
    </row>
    <row r="196" spans="1:7" ht="20.100000000000001" customHeight="1">
      <c r="A196" s="502"/>
      <c r="B196" s="209"/>
      <c r="C196" s="209"/>
      <c r="D196" s="209"/>
      <c r="E196" s="209"/>
      <c r="F196" s="222"/>
      <c r="G196" s="210"/>
    </row>
    <row r="197" spans="1:7" ht="20.100000000000001" customHeight="1">
      <c r="A197" s="742" t="s">
        <v>487</v>
      </c>
      <c r="B197" s="601"/>
      <c r="C197" s="601"/>
      <c r="D197" s="601"/>
      <c r="E197" s="601"/>
      <c r="F197" s="727"/>
      <c r="G197" s="743"/>
    </row>
    <row r="198" spans="1:7" ht="20.100000000000001" customHeight="1">
      <c r="A198" s="492"/>
      <c r="B198" s="182"/>
      <c r="C198" s="182"/>
      <c r="D198" s="182"/>
      <c r="E198" s="182"/>
      <c r="F198" s="187"/>
      <c r="G198" s="207"/>
    </row>
    <row r="199" spans="1:7" ht="20.100000000000001" customHeight="1">
      <c r="A199" s="492" t="s">
        <v>488</v>
      </c>
      <c r="B199" s="182"/>
      <c r="C199" s="182"/>
      <c r="D199" s="182"/>
      <c r="E199" s="182"/>
      <c r="F199" s="187" t="s">
        <v>489</v>
      </c>
      <c r="G199" s="447">
        <f>627964+17000</f>
        <v>644964</v>
      </c>
    </row>
    <row r="200" spans="1:7" ht="20.100000000000001" customHeight="1">
      <c r="A200" s="492" t="s">
        <v>490</v>
      </c>
      <c r="B200" s="182"/>
      <c r="C200" s="182"/>
      <c r="D200" s="182"/>
      <c r="E200" s="182"/>
      <c r="F200" s="187" t="s">
        <v>491</v>
      </c>
      <c r="G200" s="447">
        <v>55625</v>
      </c>
    </row>
    <row r="201" spans="1:7" ht="20.100000000000001" customHeight="1">
      <c r="A201" s="492" t="s">
        <v>492</v>
      </c>
      <c r="B201" s="182"/>
      <c r="C201" s="182"/>
      <c r="D201" s="182"/>
      <c r="E201" s="182"/>
      <c r="F201" s="187" t="s">
        <v>493</v>
      </c>
      <c r="G201" s="447">
        <v>28950</v>
      </c>
    </row>
    <row r="202" spans="1:7" ht="20.100000000000001" customHeight="1">
      <c r="A202" s="492" t="s">
        <v>494</v>
      </c>
      <c r="B202" s="182"/>
      <c r="C202" s="182"/>
      <c r="D202" s="182"/>
      <c r="E202" s="182"/>
      <c r="F202" s="187" t="s">
        <v>495</v>
      </c>
      <c r="G202" s="447">
        <v>122250</v>
      </c>
    </row>
    <row r="203" spans="1:7" ht="20.100000000000001" customHeight="1">
      <c r="A203" s="492" t="s">
        <v>496</v>
      </c>
      <c r="B203" s="182"/>
      <c r="C203" s="182"/>
      <c r="D203" s="182"/>
      <c r="E203" s="182"/>
      <c r="F203" s="187" t="s">
        <v>497</v>
      </c>
      <c r="G203" s="447">
        <v>603920</v>
      </c>
    </row>
    <row r="204" spans="1:7" ht="20.100000000000001" customHeight="1">
      <c r="A204" s="492" t="s">
        <v>498</v>
      </c>
      <c r="B204" s="182"/>
      <c r="C204" s="182"/>
      <c r="D204" s="182"/>
      <c r="E204" s="182"/>
      <c r="F204" s="187" t="s">
        <v>499</v>
      </c>
      <c r="G204" s="447">
        <v>608474</v>
      </c>
    </row>
    <row r="205" spans="1:7" ht="20.100000000000001" customHeight="1">
      <c r="A205" s="492" t="s">
        <v>690</v>
      </c>
      <c r="B205" s="182"/>
      <c r="C205" s="182"/>
      <c r="D205" s="182"/>
      <c r="E205" s="182"/>
      <c r="F205" s="1006">
        <v>63100</v>
      </c>
      <c r="G205" s="447">
        <v>0</v>
      </c>
    </row>
    <row r="206" spans="1:7" ht="20.100000000000001" customHeight="1">
      <c r="A206" s="492" t="s">
        <v>500</v>
      </c>
      <c r="B206" s="182"/>
      <c r="C206" s="182"/>
      <c r="D206" s="182"/>
      <c r="E206" s="182"/>
      <c r="F206" s="187" t="s">
        <v>501</v>
      </c>
      <c r="G206" s="447">
        <f>81695+2000+96000+1906239.47</f>
        <v>2085934.47</v>
      </c>
    </row>
    <row r="207" spans="1:7" ht="20.100000000000001" customHeight="1">
      <c r="A207" s="492" t="s">
        <v>502</v>
      </c>
      <c r="B207" s="182"/>
      <c r="C207" s="182"/>
      <c r="D207" s="182"/>
      <c r="E207" s="182"/>
      <c r="F207" s="187" t="s">
        <v>503</v>
      </c>
      <c r="G207" s="447">
        <f>1893448+45200+285000+25000+80020+2468</f>
        <v>2331136</v>
      </c>
    </row>
    <row r="208" spans="1:7" ht="20.100000000000001" customHeight="1">
      <c r="A208" s="492" t="s">
        <v>504</v>
      </c>
      <c r="B208" s="182"/>
      <c r="C208" s="182"/>
      <c r="D208" s="182"/>
      <c r="E208" s="182"/>
      <c r="F208" s="187" t="s">
        <v>505</v>
      </c>
      <c r="G208" s="447">
        <v>3128593</v>
      </c>
    </row>
    <row r="209" spans="1:7" ht="20.100000000000001" customHeight="1">
      <c r="A209" s="492" t="s">
        <v>683</v>
      </c>
      <c r="B209" s="182"/>
      <c r="C209" s="182"/>
      <c r="D209" s="182"/>
      <c r="E209" s="182"/>
      <c r="F209" s="187" t="s">
        <v>506</v>
      </c>
      <c r="G209" s="447">
        <v>0</v>
      </c>
    </row>
    <row r="210" spans="1:7" ht="20.100000000000001" customHeight="1">
      <c r="A210" s="492" t="s">
        <v>507</v>
      </c>
      <c r="B210" s="182"/>
      <c r="C210" s="182"/>
      <c r="D210" s="182"/>
      <c r="E210" s="182"/>
      <c r="F210" s="187" t="s">
        <v>508</v>
      </c>
      <c r="G210" s="447">
        <v>0</v>
      </c>
    </row>
    <row r="211" spans="1:7" ht="20.100000000000001" customHeight="1">
      <c r="A211" s="492" t="s">
        <v>509</v>
      </c>
      <c r="B211" s="182"/>
      <c r="C211" s="182"/>
      <c r="D211" s="182"/>
      <c r="E211" s="182"/>
      <c r="F211" s="187" t="s">
        <v>510</v>
      </c>
      <c r="G211" s="447">
        <v>1275150</v>
      </c>
    </row>
    <row r="212" spans="1:7" ht="20.100000000000001" customHeight="1">
      <c r="A212" s="492" t="s">
        <v>511</v>
      </c>
      <c r="B212" s="182"/>
      <c r="C212" s="182"/>
      <c r="D212" s="182"/>
      <c r="E212" s="182"/>
      <c r="F212" s="187" t="s">
        <v>512</v>
      </c>
      <c r="G212" s="447">
        <v>1768617.53</v>
      </c>
    </row>
    <row r="213" spans="1:7" ht="20.100000000000001" customHeight="1">
      <c r="A213" s="492" t="s">
        <v>513</v>
      </c>
      <c r="F213" s="205" t="s">
        <v>514</v>
      </c>
      <c r="G213" s="447">
        <v>568450</v>
      </c>
    </row>
    <row r="214" spans="1:7" ht="20.100000000000001" customHeight="1">
      <c r="A214" s="492" t="s">
        <v>515</v>
      </c>
      <c r="B214" s="182"/>
      <c r="C214" s="182"/>
      <c r="D214" s="182"/>
      <c r="E214" s="182"/>
      <c r="F214" s="187" t="s">
        <v>516</v>
      </c>
      <c r="G214" s="447">
        <v>351425</v>
      </c>
    </row>
    <row r="215" spans="1:7" ht="20.100000000000001" customHeight="1">
      <c r="A215" s="492" t="s">
        <v>517</v>
      </c>
      <c r="B215" s="182"/>
      <c r="C215" s="182"/>
      <c r="D215" s="182"/>
      <c r="E215" s="182"/>
      <c r="F215" s="187" t="s">
        <v>518</v>
      </c>
      <c r="G215" s="447">
        <v>453630</v>
      </c>
    </row>
    <row r="216" spans="1:7" ht="20.100000000000001" customHeight="1">
      <c r="A216" s="492" t="s">
        <v>519</v>
      </c>
      <c r="B216" s="182"/>
      <c r="C216" s="182"/>
      <c r="D216" s="182"/>
      <c r="E216" s="182"/>
      <c r="F216" s="187" t="s">
        <v>520</v>
      </c>
      <c r="G216" s="447">
        <f>50000+25000+20000+90000</f>
        <v>185000</v>
      </c>
    </row>
    <row r="217" spans="1:7" ht="20.100000000000001" customHeight="1">
      <c r="A217" s="492" t="s">
        <v>521</v>
      </c>
      <c r="B217" s="182"/>
      <c r="C217" s="182"/>
      <c r="D217" s="182"/>
      <c r="E217" s="182"/>
      <c r="F217" s="203" t="s">
        <v>522</v>
      </c>
      <c r="G217" s="447">
        <v>0</v>
      </c>
    </row>
    <row r="218" spans="1:7" ht="20.100000000000001" customHeight="1">
      <c r="A218" s="492" t="s">
        <v>523</v>
      </c>
      <c r="B218" s="182"/>
      <c r="C218" s="182"/>
      <c r="D218" s="182"/>
      <c r="E218" s="182"/>
      <c r="F218" s="187" t="s">
        <v>524</v>
      </c>
      <c r="G218" s="447">
        <v>0</v>
      </c>
    </row>
    <row r="219" spans="1:7" ht="20.100000000000001" customHeight="1">
      <c r="A219" s="492" t="s">
        <v>525</v>
      </c>
      <c r="B219" s="182"/>
      <c r="C219" s="182"/>
      <c r="D219" s="182"/>
      <c r="E219" s="182"/>
      <c r="F219" s="187" t="s">
        <v>526</v>
      </c>
      <c r="G219" s="447">
        <v>0</v>
      </c>
    </row>
    <row r="220" spans="1:7" ht="20.100000000000001" customHeight="1">
      <c r="A220" s="492" t="s">
        <v>527</v>
      </c>
      <c r="B220" s="182"/>
      <c r="C220" s="182"/>
      <c r="D220" s="182"/>
      <c r="E220" s="182"/>
      <c r="F220" s="187" t="s">
        <v>528</v>
      </c>
      <c r="G220" s="447">
        <v>0</v>
      </c>
    </row>
    <row r="221" spans="1:7" ht="20.100000000000001" customHeight="1">
      <c r="A221" s="492" t="s">
        <v>529</v>
      </c>
      <c r="B221" s="182"/>
      <c r="C221" s="182"/>
      <c r="D221" s="182"/>
      <c r="E221" s="182"/>
      <c r="F221" s="187" t="s">
        <v>530</v>
      </c>
      <c r="G221" s="447">
        <v>5000</v>
      </c>
    </row>
    <row r="222" spans="1:7" ht="20.100000000000001" customHeight="1">
      <c r="A222" s="492" t="s">
        <v>531</v>
      </c>
      <c r="B222" s="182"/>
      <c r="C222" s="182"/>
      <c r="D222" s="182"/>
      <c r="E222" s="182"/>
      <c r="F222" s="187" t="s">
        <v>532</v>
      </c>
      <c r="G222" s="447">
        <v>50000</v>
      </c>
    </row>
    <row r="223" spans="1:7" ht="20.100000000000001" customHeight="1">
      <c r="A223" s="503" t="s">
        <v>700</v>
      </c>
      <c r="B223" s="182"/>
      <c r="C223" s="182"/>
      <c r="D223" s="211"/>
      <c r="E223" s="182"/>
      <c r="F223" s="1097">
        <v>69100</v>
      </c>
      <c r="G223" s="447">
        <v>0</v>
      </c>
    </row>
    <row r="224" spans="1:7" ht="20.100000000000001" customHeight="1">
      <c r="A224" s="503" t="s">
        <v>701</v>
      </c>
      <c r="B224" s="212"/>
      <c r="C224" s="212"/>
      <c r="D224" s="213"/>
      <c r="E224" s="212"/>
      <c r="F224" s="1096">
        <v>69200</v>
      </c>
      <c r="G224" s="447">
        <v>0</v>
      </c>
    </row>
    <row r="225" spans="1:9" ht="20.100000000000001" customHeight="1">
      <c r="A225" s="492" t="s">
        <v>533</v>
      </c>
      <c r="B225" s="182"/>
      <c r="C225" s="182"/>
      <c r="D225" s="182"/>
      <c r="E225" s="182"/>
      <c r="F225" s="187" t="s">
        <v>534</v>
      </c>
      <c r="G225" s="447">
        <v>2732881</v>
      </c>
      <c r="I225" s="214"/>
    </row>
    <row r="226" spans="1:9" ht="20.100000000000001" customHeight="1">
      <c r="A226" s="492" t="s">
        <v>535</v>
      </c>
      <c r="B226" s="182"/>
      <c r="C226" s="182"/>
      <c r="D226" s="182"/>
      <c r="E226" s="182"/>
      <c r="F226" s="187" t="s">
        <v>536</v>
      </c>
      <c r="G226" s="447">
        <v>0</v>
      </c>
    </row>
    <row r="227" spans="1:9" ht="20.100000000000001" customHeight="1">
      <c r="A227" s="492" t="s">
        <v>537</v>
      </c>
      <c r="B227" s="182"/>
      <c r="C227" s="182"/>
      <c r="D227" s="182"/>
      <c r="E227" s="182"/>
      <c r="F227" s="187" t="s">
        <v>538</v>
      </c>
      <c r="G227" s="1079">
        <v>0</v>
      </c>
    </row>
    <row r="228" spans="1:9" ht="20.100000000000001" customHeight="1">
      <c r="A228" s="492"/>
      <c r="B228" s="182"/>
      <c r="C228" s="182"/>
      <c r="D228" s="182"/>
      <c r="E228" s="182"/>
      <c r="F228" s="187"/>
      <c r="G228" s="215"/>
    </row>
    <row r="229" spans="1:9" ht="20.100000000000001" customHeight="1">
      <c r="A229" s="738" t="s">
        <v>539</v>
      </c>
      <c r="B229" s="567"/>
      <c r="C229" s="567"/>
      <c r="D229" s="567"/>
      <c r="E229" s="567"/>
      <c r="F229" s="568"/>
      <c r="G229" s="624">
        <f>SUM(G199:G227)</f>
        <v>17000000</v>
      </c>
    </row>
    <row r="230" spans="1:9" ht="20.100000000000001" customHeight="1">
      <c r="A230" s="502"/>
      <c r="B230" s="209"/>
      <c r="C230" s="209"/>
      <c r="D230" s="209"/>
      <c r="E230" s="209"/>
      <c r="F230" s="572"/>
      <c r="G230" s="573"/>
    </row>
    <row r="231" spans="1:9" ht="20.100000000000001" customHeight="1">
      <c r="A231" s="855" t="s">
        <v>157</v>
      </c>
      <c r="B231" s="856"/>
      <c r="C231" s="856"/>
      <c r="D231" s="856"/>
      <c r="E231" s="856"/>
      <c r="F231" s="857"/>
      <c r="G231" s="744"/>
    </row>
    <row r="232" spans="1:9" ht="20.100000000000001" customHeight="1">
      <c r="A232" s="492"/>
      <c r="B232" s="182"/>
      <c r="C232" s="182"/>
      <c r="D232" s="182"/>
      <c r="E232" s="182"/>
      <c r="F232" s="187"/>
      <c r="G232" s="215"/>
    </row>
    <row r="233" spans="1:9" ht="20.100000000000001" customHeight="1">
      <c r="A233" s="492" t="s">
        <v>540</v>
      </c>
      <c r="B233" s="182"/>
      <c r="C233" s="182"/>
      <c r="D233" s="182"/>
      <c r="E233" s="182"/>
      <c r="F233" s="187" t="s">
        <v>541</v>
      </c>
      <c r="G233" s="447">
        <v>0</v>
      </c>
    </row>
    <row r="234" spans="1:9" ht="20.100000000000001" customHeight="1">
      <c r="A234" s="492" t="s">
        <v>542</v>
      </c>
      <c r="B234" s="182"/>
      <c r="C234" s="182"/>
      <c r="D234" s="182"/>
      <c r="E234" s="182"/>
      <c r="F234" s="187" t="s">
        <v>543</v>
      </c>
      <c r="G234" s="447">
        <v>0</v>
      </c>
    </row>
    <row r="235" spans="1:9" ht="20.100000000000001" customHeight="1">
      <c r="A235" s="492" t="s">
        <v>544</v>
      </c>
      <c r="B235" s="182"/>
      <c r="C235" s="182"/>
      <c r="D235" s="182"/>
      <c r="E235" s="182"/>
      <c r="F235" s="187" t="s">
        <v>545</v>
      </c>
      <c r="G235" s="447">
        <v>1000000</v>
      </c>
    </row>
    <row r="236" spans="1:9" ht="20.100000000000001" customHeight="1">
      <c r="A236" s="492" t="s">
        <v>546</v>
      </c>
      <c r="B236" s="182"/>
      <c r="C236" s="182"/>
      <c r="D236" s="182"/>
      <c r="E236" s="182"/>
      <c r="F236" s="1052" t="s">
        <v>547</v>
      </c>
      <c r="G236" s="447">
        <v>1000000</v>
      </c>
    </row>
    <row r="237" spans="1:9" ht="20.100000000000001" customHeight="1">
      <c r="A237" s="492" t="s">
        <v>692</v>
      </c>
      <c r="B237" s="182"/>
      <c r="C237" s="182"/>
      <c r="D237" s="182"/>
      <c r="E237" s="182"/>
      <c r="F237" s="1052">
        <v>73001</v>
      </c>
      <c r="G237" s="447">
        <v>0</v>
      </c>
    </row>
    <row r="238" spans="1:9" ht="20.100000000000001" customHeight="1">
      <c r="A238" s="492" t="s">
        <v>693</v>
      </c>
      <c r="B238" s="182"/>
      <c r="C238" s="182"/>
      <c r="D238" s="182"/>
      <c r="E238" s="182"/>
      <c r="F238" s="1052">
        <v>73002</v>
      </c>
      <c r="G238" s="447">
        <v>0</v>
      </c>
    </row>
    <row r="239" spans="1:9" ht="20.100000000000001" customHeight="1">
      <c r="A239" s="492" t="s">
        <v>548</v>
      </c>
      <c r="B239" s="182"/>
      <c r="C239" s="182"/>
      <c r="D239" s="182"/>
      <c r="E239" s="182"/>
      <c r="F239" s="205">
        <v>73050</v>
      </c>
      <c r="G239" s="447">
        <v>0</v>
      </c>
    </row>
    <row r="240" spans="1:9" ht="20.100000000000001" customHeight="1">
      <c r="A240" s="492" t="s">
        <v>689</v>
      </c>
      <c r="B240" s="182"/>
      <c r="C240" s="182"/>
      <c r="D240" s="182"/>
      <c r="E240" s="182"/>
      <c r="F240" s="205">
        <v>73100</v>
      </c>
      <c r="G240" s="447">
        <v>0</v>
      </c>
    </row>
    <row r="241" spans="1:7" ht="20.100000000000001" customHeight="1">
      <c r="A241" s="492" t="s">
        <v>549</v>
      </c>
      <c r="B241" s="182"/>
      <c r="C241" s="182"/>
      <c r="D241" s="182"/>
      <c r="E241" s="182"/>
      <c r="F241" s="187" t="s">
        <v>550</v>
      </c>
      <c r="G241" s="447">
        <v>0</v>
      </c>
    </row>
    <row r="242" spans="1:7" ht="20.100000000000001" customHeight="1">
      <c r="A242" s="492" t="s">
        <v>551</v>
      </c>
      <c r="B242" s="182"/>
      <c r="C242" s="182"/>
      <c r="D242" s="182"/>
      <c r="E242" s="182"/>
      <c r="F242" s="187" t="s">
        <v>552</v>
      </c>
      <c r="G242" s="447">
        <v>0</v>
      </c>
    </row>
    <row r="243" spans="1:7" ht="20.100000000000001" customHeight="1">
      <c r="A243" s="492" t="s">
        <v>553</v>
      </c>
      <c r="B243" s="182"/>
      <c r="C243" s="182"/>
      <c r="D243" s="182"/>
      <c r="E243" s="182"/>
      <c r="F243" s="187" t="s">
        <v>554</v>
      </c>
      <c r="G243" s="447">
        <v>0</v>
      </c>
    </row>
    <row r="244" spans="1:7" ht="20.100000000000001" customHeight="1">
      <c r="A244" s="492" t="s">
        <v>555</v>
      </c>
      <c r="B244" s="182"/>
      <c r="C244" s="182"/>
      <c r="D244" s="182"/>
      <c r="E244" s="182"/>
      <c r="F244" s="187" t="s">
        <v>556</v>
      </c>
      <c r="G244" s="447">
        <v>0</v>
      </c>
    </row>
    <row r="245" spans="1:7" ht="20.100000000000001" customHeight="1">
      <c r="A245" s="492" t="s">
        <v>557</v>
      </c>
      <c r="B245" s="182"/>
      <c r="C245" s="182"/>
      <c r="D245" s="182"/>
      <c r="E245" s="182"/>
      <c r="F245" s="187" t="s">
        <v>558</v>
      </c>
      <c r="G245" s="447">
        <v>0</v>
      </c>
    </row>
    <row r="246" spans="1:7" ht="20.100000000000001" customHeight="1">
      <c r="A246" s="492"/>
      <c r="B246" s="182"/>
      <c r="C246" s="182"/>
      <c r="D246" s="182"/>
      <c r="E246" s="182"/>
      <c r="F246" s="187"/>
      <c r="G246" s="745"/>
    </row>
    <row r="247" spans="1:7" ht="20.100000000000001" customHeight="1">
      <c r="A247" s="738" t="s">
        <v>559</v>
      </c>
      <c r="B247" s="567"/>
      <c r="C247" s="567"/>
      <c r="D247" s="567"/>
      <c r="E247" s="567"/>
      <c r="F247" s="568"/>
      <c r="G247" s="624">
        <f>SUM(G233:G245)</f>
        <v>2000000</v>
      </c>
    </row>
    <row r="248" spans="1:7" ht="20.100000000000001" customHeight="1">
      <c r="A248" s="502"/>
      <c r="B248" s="209"/>
      <c r="C248" s="209"/>
      <c r="D248" s="209"/>
      <c r="E248" s="209"/>
      <c r="F248" s="209"/>
      <c r="G248" s="574"/>
    </row>
    <row r="249" spans="1:7" ht="20.100000000000001" customHeight="1" thickBot="1">
      <c r="A249" s="521" t="s">
        <v>560</v>
      </c>
      <c r="B249" s="522"/>
      <c r="C249" s="522"/>
      <c r="D249" s="522"/>
      <c r="E249" s="522"/>
      <c r="F249" s="523"/>
      <c r="G249" s="524">
        <f>SUM(G195+G229+G247)</f>
        <v>77418701</v>
      </c>
    </row>
    <row r="250" spans="1:7" ht="20.100000000000001" customHeight="1" thickTop="1">
      <c r="A250" s="746"/>
      <c r="B250" s="747"/>
      <c r="C250" s="747"/>
      <c r="D250" s="747"/>
      <c r="E250" s="747"/>
      <c r="F250" s="748"/>
      <c r="G250" s="749"/>
    </row>
    <row r="251" spans="1:7" ht="20.100000000000001" customHeight="1">
      <c r="A251" s="864"/>
      <c r="B251" s="865"/>
      <c r="C251" s="865"/>
      <c r="D251" s="865"/>
      <c r="E251" s="865"/>
      <c r="F251" s="866"/>
      <c r="G251" s="750"/>
    </row>
    <row r="252" spans="1:7" ht="20.100000000000001" customHeight="1">
      <c r="A252" s="492"/>
      <c r="B252" s="182"/>
      <c r="C252" s="182"/>
      <c r="D252" s="182"/>
      <c r="E252" s="182"/>
      <c r="F252" s="187"/>
      <c r="G252" s="215"/>
    </row>
    <row r="253" spans="1:7" ht="20.100000000000001" customHeight="1">
      <c r="A253" s="492" t="s">
        <v>561</v>
      </c>
      <c r="B253" s="182"/>
      <c r="C253" s="182"/>
      <c r="D253" s="182"/>
      <c r="E253" s="182"/>
      <c r="F253" s="199">
        <v>30100</v>
      </c>
      <c r="G253" s="446">
        <v>0</v>
      </c>
    </row>
    <row r="254" spans="1:7" ht="20.100000000000001" customHeight="1">
      <c r="A254" s="492" t="s">
        <v>562</v>
      </c>
      <c r="B254" s="182"/>
      <c r="C254" s="182"/>
      <c r="D254" s="182"/>
      <c r="E254" s="182"/>
      <c r="F254" s="199">
        <v>30200</v>
      </c>
      <c r="G254" s="447">
        <v>0</v>
      </c>
    </row>
    <row r="255" spans="1:7" ht="20.100000000000001" customHeight="1">
      <c r="A255" s="492" t="s">
        <v>563</v>
      </c>
      <c r="B255" s="182"/>
      <c r="C255" s="182"/>
      <c r="D255" s="182"/>
      <c r="E255" s="182"/>
      <c r="F255" s="199">
        <v>30300</v>
      </c>
      <c r="G255" s="447">
        <v>0</v>
      </c>
    </row>
    <row r="256" spans="1:7" ht="20.100000000000001" customHeight="1">
      <c r="A256" s="492" t="s">
        <v>564</v>
      </c>
      <c r="B256" s="182"/>
      <c r="C256" s="182"/>
      <c r="D256" s="182"/>
      <c r="E256" s="182"/>
      <c r="F256" s="199">
        <v>30400</v>
      </c>
      <c r="G256" s="447">
        <v>0</v>
      </c>
    </row>
    <row r="257" spans="1:12" ht="20.100000000000001" customHeight="1">
      <c r="A257" s="492" t="s">
        <v>565</v>
      </c>
      <c r="B257" s="182"/>
      <c r="C257" s="182"/>
      <c r="D257" s="182"/>
      <c r="E257" s="182"/>
      <c r="F257" s="199">
        <v>30500</v>
      </c>
      <c r="G257" s="447">
        <v>0</v>
      </c>
    </row>
    <row r="258" spans="1:12" ht="20.100000000000001" customHeight="1">
      <c r="A258" s="492" t="s">
        <v>566</v>
      </c>
      <c r="B258" s="182"/>
      <c r="C258" s="182"/>
      <c r="D258" s="182"/>
      <c r="E258" s="182"/>
      <c r="F258" s="199">
        <v>30600</v>
      </c>
      <c r="G258" s="447">
        <v>0</v>
      </c>
    </row>
    <row r="259" spans="1:12" ht="20.100000000000001" customHeight="1">
      <c r="A259" s="492" t="s">
        <v>567</v>
      </c>
      <c r="B259" s="182"/>
      <c r="C259" s="182"/>
      <c r="D259" s="182"/>
      <c r="E259" s="182"/>
      <c r="F259" s="199">
        <v>30700</v>
      </c>
      <c r="G259" s="447">
        <v>0</v>
      </c>
    </row>
    <row r="260" spans="1:12" ht="20.100000000000001" customHeight="1">
      <c r="A260" s="492" t="s">
        <v>568</v>
      </c>
      <c r="B260" s="182"/>
      <c r="C260" s="182"/>
      <c r="D260" s="182"/>
      <c r="E260" s="182"/>
      <c r="F260" s="199">
        <v>30900</v>
      </c>
      <c r="G260" s="447">
        <v>0</v>
      </c>
    </row>
    <row r="261" spans="1:12" ht="20.100000000000001" customHeight="1">
      <c r="A261" s="492" t="s">
        <v>569</v>
      </c>
      <c r="B261" s="182"/>
      <c r="C261" s="182"/>
      <c r="D261" s="182"/>
      <c r="E261" s="182"/>
      <c r="F261" s="199">
        <v>31100</v>
      </c>
      <c r="G261" s="611">
        <v>8245737</v>
      </c>
    </row>
    <row r="262" spans="1:12" ht="20.100000000000001" customHeight="1">
      <c r="A262" s="492"/>
      <c r="B262" s="182"/>
      <c r="C262" s="182"/>
      <c r="D262" s="182"/>
      <c r="E262" s="182"/>
      <c r="F262" s="199"/>
      <c r="G262" s="751"/>
    </row>
    <row r="263" spans="1:12" ht="20.100000000000001" customHeight="1">
      <c r="A263" s="493" t="s">
        <v>570</v>
      </c>
      <c r="B263" s="182"/>
      <c r="C263" s="182"/>
      <c r="D263" s="182"/>
      <c r="E263" s="182"/>
      <c r="F263" s="199"/>
      <c r="G263" s="752">
        <f>SUM(G253:G261)</f>
        <v>8245737</v>
      </c>
    </row>
    <row r="264" spans="1:12" ht="20.100000000000001" customHeight="1">
      <c r="A264" s="493"/>
      <c r="B264" s="182"/>
      <c r="C264" s="182"/>
      <c r="D264" s="182"/>
      <c r="E264" s="182"/>
      <c r="F264" s="199"/>
      <c r="G264" s="215"/>
    </row>
    <row r="265" spans="1:12" ht="20.100000000000001" customHeight="1" thickBot="1">
      <c r="A265" s="504" t="s">
        <v>783</v>
      </c>
      <c r="F265" s="205">
        <v>30800</v>
      </c>
      <c r="G265" s="448">
        <v>0</v>
      </c>
      <c r="H265" s="526"/>
    </row>
    <row r="266" spans="1:12" ht="20.100000000000001" customHeight="1">
      <c r="A266" s="500"/>
      <c r="F266" s="205"/>
      <c r="G266" s="215"/>
    </row>
    <row r="267" spans="1:12" ht="20.100000000000001" customHeight="1">
      <c r="A267" s="505" t="s">
        <v>571</v>
      </c>
      <c r="B267" s="506"/>
      <c r="C267" s="506"/>
      <c r="D267" s="506"/>
      <c r="E267" s="506"/>
      <c r="F267" s="507"/>
      <c r="G267" s="508">
        <f>G263+G265</f>
        <v>8245737</v>
      </c>
      <c r="H267" s="527"/>
    </row>
    <row r="268" spans="1:12">
      <c r="A268" s="216"/>
      <c r="B268" s="216"/>
      <c r="C268" s="216"/>
      <c r="D268" s="216"/>
      <c r="E268" s="216"/>
      <c r="F268" s="217"/>
      <c r="G268" s="218"/>
      <c r="H268" s="219"/>
      <c r="I268" s="219"/>
      <c r="J268" s="219"/>
      <c r="K268" s="219"/>
      <c r="L268" s="219"/>
    </row>
    <row r="269" spans="1:12" ht="13.5" customHeight="1">
      <c r="I269" s="219"/>
      <c r="J269" s="219"/>
      <c r="K269" s="219"/>
      <c r="L269" s="219"/>
    </row>
    <row r="270" spans="1:12">
      <c r="I270" s="219"/>
      <c r="J270" s="219"/>
      <c r="K270" s="219"/>
      <c r="L270" s="219"/>
    </row>
  </sheetData>
  <sheetProtection algorithmName="SHA-512" hashValue="uVYvvYE22ouYx0LZhiQ65vQyr47LfAJQvztYBxPktpIZBfftKjG8p06qLcEvlWfhQaKyfhu/3sCjptnWjgyGbw==" saltValue="qOeMP/R0k8IdUk51DFX6hw=="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3" max="6" man="1"/>
    <brk id="130" max="6" man="1"/>
    <brk id="196" max="6" man="1"/>
  </rowBreaks>
  <ignoredErrors>
    <ignoredError sqref="A246:A250 F138:F139 F124:F127 F118 F110:F114 F11:F17 F191:F193 F28:F34 A228:H228 F158:F171 F147:F156 A258:A262 B243:H246 B229:F229 H229 B248:H250 B247:F247 H247 F46:F65 A264 F175:F189 A255:A256 B230:H230 F38:F41 A252:A253 A266:H272 B265:F265 A230:A232 F67:F73 F75:F87 F95:F98 F100:F104 B232:H232 G231:H231 B252:H252 G251:H251 B262:H264 B233:F236 H233:H236 B253:F261 H253:H261 F89:F92 B241:F242 H241:H242 H199:H204 B199:F204 F133 F135:F136 B206:F222 B225:F227 B223:E224 H206:H227 F21:F26" numberStoredAsText="1"/>
    <ignoredError sqref="G86 G76 G82 G143"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71aa876b-5e48-4053-bde2-5ce2db783b4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FBF83145013674EB41ABA822DE2FF8D" ma:contentTypeVersion="18" ma:contentTypeDescription="Create a new document." ma:contentTypeScope="" ma:versionID="896346a65720f7164c4e2175f2e73086">
  <xsd:schema xmlns:xsd="http://www.w3.org/2001/XMLSchema" xmlns:xs="http://www.w3.org/2001/XMLSchema" xmlns:p="http://schemas.microsoft.com/office/2006/metadata/properties" xmlns:ns3="8381a9f4-69bb-46c0-a16f-bca2e090557f" xmlns:ns4="71aa876b-5e48-4053-bde2-5ce2db783b47" targetNamespace="http://schemas.microsoft.com/office/2006/metadata/properties" ma:root="true" ma:fieldsID="f1b3b9c6b8b4a52724f7894798c5a0f5" ns3:_="" ns4:_="">
    <xsd:import namespace="8381a9f4-69bb-46c0-a16f-bca2e090557f"/>
    <xsd:import namespace="71aa876b-5e48-4053-bde2-5ce2db783b4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EventHashCode" minOccurs="0"/>
                <xsd:element ref="ns4:MediaServiceGenerationTime" minOccurs="0"/>
                <xsd:element ref="ns4:MediaServiceAutoKeyPoints" minOccurs="0"/>
                <xsd:element ref="ns4:MediaServiceKeyPoints" minOccurs="0"/>
                <xsd:element ref="ns4:MediaLengthInSeconds" minOccurs="0"/>
                <xsd:element ref="ns4:MediaServiceLocation" minOccurs="0"/>
                <xsd:element ref="ns4:_activity" minOccurs="0"/>
                <xsd:element ref="ns4:MediaServiceObjectDetectorVersions" minOccurs="0"/>
                <xsd:element ref="ns4:MediaServiceSystemTags"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381a9f4-69bb-46c0-a16f-bca2e090557f"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1aa876b-5e48-4053-bde2-5ce2db783b47"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internalName="MediaServiceLocation" ma:readOnly="true">
      <xsd:simpleType>
        <xsd:restriction base="dms:Text"/>
      </xsd:simpleType>
    </xsd:element>
    <xsd:element name="_activity" ma:index="22" nillable="true" ma:displayName="_activity" ma:hidden="true" ma:internalName="_activity">
      <xsd:simpleType>
        <xsd:restriction base="dms:Note"/>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ystemTags" ma:index="24" nillable="true" ma:displayName="MediaServiceSystemTags" ma:hidden="true" ma:internalName="MediaServiceSystemTags" ma:readOnly="true">
      <xsd:simpleType>
        <xsd:restriction base="dms:Note"/>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2.xml><?xml version="1.0" encoding="utf-8"?>
<ds:datastoreItem xmlns:ds="http://schemas.openxmlformats.org/officeDocument/2006/customXml" ds:itemID="{F4EB99F0-3281-401A-A88B-34022978AF39}">
  <ds:schemaRefs>
    <ds:schemaRef ds:uri="http://purl.org/dc/terms/"/>
    <ds:schemaRef ds:uri="http://purl.org/dc/dcmitype/"/>
    <ds:schemaRef ds:uri="http://schemas.microsoft.com/office/2006/documentManagement/types"/>
    <ds:schemaRef ds:uri="http://purl.org/dc/elements/1.1/"/>
    <ds:schemaRef ds:uri="71aa876b-5e48-4053-bde2-5ce2db783b47"/>
    <ds:schemaRef ds:uri="8381a9f4-69bb-46c0-a16f-bca2e090557f"/>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33F4E9CB-FE59-422D-BA11-62AF18CBFBF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381a9f4-69bb-46c0-a16f-bca2e090557f"/>
    <ds:schemaRef ds:uri="71aa876b-5e48-4053-bde2-5ce2db783b4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68</vt:i4>
      </vt:variant>
    </vt:vector>
  </HeadingPairs>
  <TitlesOfParts>
    <vt:vector size="82"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ACCOUNT_TITLE</vt:lpstr>
      <vt:lpstr>ADDITIONAL__REDUCED_BUDGETED_FEE_REVENUES</vt:lpstr>
      <vt:lpstr>BEGINNING_FUND_BALANCE___JULY_1__2024</vt:lpstr>
      <vt:lpstr>VLOOKUP!BROWARD_COLLEGE</vt:lpstr>
      <vt:lpstr>BUDGETED_FEE_REVENUES</vt:lpstr>
      <vt:lpstr>CAPITAL_IMPROVEMENT_FEE__1</vt:lpstr>
      <vt:lpstr>CAPITAL_OUTLAY_______GLC_700S</vt:lpstr>
      <vt:lpstr>CHANGE_IN_CHARGE_PER_STUDENT_CREDIT_HOUR</vt:lpstr>
      <vt:lpstr>CHARGE_PER_STUDENT_CREDIT_HOUR</vt:lpstr>
      <vt:lpstr>COLLEGE</vt:lpstr>
      <vt:lpstr>College_C</vt:lpstr>
      <vt:lpstr>College_C2</vt:lpstr>
      <vt:lpstr>College_D</vt:lpstr>
      <vt:lpstr>College_E</vt:lpstr>
      <vt:lpstr>College_G</vt:lpstr>
      <vt:lpstr>CURRENT_EXPENSE_______GLC_600S</vt:lpstr>
      <vt:lpstr>CURRENT_FUNDS___UNRESTRICTED_LOWER_AND_UPPER_LEVEL</vt:lpstr>
      <vt:lpstr>DISCIPLINE</vt:lpstr>
      <vt:lpstr>Discipline_C2</vt:lpstr>
      <vt:lpstr>ESTIMATED_FUND_BALANCE___JUNE_30__2024</vt:lpstr>
      <vt:lpstr>FEE_EXEMPT__DUAL_ENROLLMENT____APPRENTICESHIP__ETC.</vt:lpstr>
      <vt:lpstr>FUNCTION</vt:lpstr>
      <vt:lpstr>GENERAL__LEDGER_CODE</vt:lpstr>
      <vt:lpstr>GENERAL_LEDGER_CODE</vt:lpstr>
      <vt:lpstr>GLCode_D</vt:lpstr>
      <vt:lpstr>GLCode_G</vt:lpstr>
      <vt:lpstr>PERSONNEL____GLC_500S</vt:lpstr>
      <vt:lpstr>PERSONNEL_COSTS</vt:lpstr>
      <vt:lpstr>PLANNED_EXPENDITURES</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lpstr>PROGRAMS</vt:lpstr>
      <vt:lpstr>RESTRICTED_SOURCES</vt:lpstr>
      <vt:lpstr>STUDENT_ACTIVITY_FEE__1</vt:lpstr>
      <vt:lpstr>STUDENT_FEES</vt:lpstr>
      <vt:lpstr>STUDENT_FINANCIAL_AID_FEE__1</vt:lpstr>
      <vt:lpstr>STUDENT_TUITION</vt:lpstr>
      <vt:lpstr>StudTuition_D</vt:lpstr>
      <vt:lpstr>TECHNOLOGY_FEE__1</vt:lpstr>
      <vt:lpstr>TOTAL</vt:lpstr>
      <vt:lpstr>TOTAL_DISBURSEMENTS</vt:lpstr>
      <vt:lpstr>Total_E</vt:lpstr>
      <vt:lpstr>TOTAL_ESTIMATED_AVAILABLE</vt:lpstr>
      <vt:lpstr>TOTAL_FEE_PAYING</vt:lpstr>
      <vt:lpstr>TOTAL_PLANNED_CREDIT_HOURS</vt:lpstr>
      <vt:lpstr>TOTAL_UNRESTRICTED_AND_RESTRICTED_SOURCES</vt:lpstr>
      <vt:lpstr>TUITION</vt:lpstr>
      <vt:lpstr>TUITION_AND_FEES_FOR_ACADEMIC_YEAR__30_HOURS</vt:lpstr>
      <vt:lpstr>UNRESTRICTED_SOURCES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cp:lastPrinted>2024-04-11T18:49:56Z</cp:lastPrinted>
  <dcterms:created xsi:type="dcterms:W3CDTF">2005-03-22T15:46:43Z</dcterms:created>
  <dcterms:modified xsi:type="dcterms:W3CDTF">2024-08-20T15:49:00Z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0x0101001FBF83145013674EB41ABA822DE2FF8D</vt:lpwstr>
  </property>
</Properties>
</file>