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Polk\"/>
    </mc:Choice>
  </mc:AlternateContent>
  <xr:revisionPtr revIDLastSave="0" documentId="8_{A6228F35-DCD5-4038-ADCD-EF8595CF8BF8}"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G'!$B$9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4" l="1"/>
  <c r="G261" i="7"/>
  <c r="E14" i="6" l="1"/>
  <c r="G191" i="7" l="1"/>
  <c r="G152" i="7"/>
  <c r="G167" i="7"/>
  <c r="G149" i="7"/>
  <c r="G148" i="7"/>
  <c r="E12" i="6" l="1"/>
  <c r="E11" i="6"/>
  <c r="D14" i="6"/>
  <c r="D13" i="6"/>
  <c r="D12" i="6"/>
  <c r="D11" i="6"/>
  <c r="D10" i="6"/>
  <c r="E30" i="12"/>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c r="G19" i="5"/>
  <c r="H19" i="5"/>
  <c r="G22" i="5"/>
  <c r="H22" i="5" s="1"/>
  <c r="G23" i="5"/>
  <c r="H23" i="5" s="1"/>
  <c r="E20" i="12"/>
  <c r="E31" i="12"/>
  <c r="G195" i="7"/>
  <c r="D21" i="8"/>
  <c r="E59" i="3"/>
  <c r="C95" i="12"/>
  <c r="B31" i="5"/>
  <c r="H31" i="5"/>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46" i="3" s="1"/>
  <c r="G46" i="3" s="1"/>
  <c r="F86" i="3"/>
  <c r="D35" i="23"/>
  <c r="F48" i="3" l="1"/>
  <c r="G48" i="3" s="1"/>
  <c r="H37" i="6"/>
  <c r="H45" i="6"/>
  <c r="G38" i="7"/>
  <c r="G43" i="7" s="1"/>
  <c r="H17" i="6"/>
  <c r="H28" i="6" s="1"/>
  <c r="H47" i="6" s="1"/>
  <c r="E25" i="4"/>
  <c r="E28" i="4" s="1"/>
  <c r="D68" i="22"/>
  <c r="D69" i="22"/>
  <c r="D70" i="22"/>
  <c r="G12" i="7"/>
  <c r="G19" i="7" s="1"/>
  <c r="G45" i="7" s="1"/>
  <c r="G64" i="7" s="1"/>
  <c r="G143"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8" i="15"/>
  <c r="F129" i="15" s="1"/>
  <c r="C119" i="3"/>
  <c r="E18" i="4"/>
  <c r="E21" i="4" s="1"/>
  <c r="E23" i="4" s="1"/>
  <c r="E44" i="4" s="1"/>
  <c r="C17" i="3" s="1"/>
  <c r="F84" i="3"/>
  <c r="F88" i="3" s="1"/>
  <c r="C34" i="3"/>
  <c r="F131"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<sst xmlns="http://schemas.openxmlformats.org/spreadsheetml/2006/main" count="1302" uniqueCount="787">
  <si>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</si>
  <si>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</si>
  <si>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</si>
  <si>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</si>
  <si>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</si>
  <si>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</si>
  <si>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</si>
  <si>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</si>
  <si>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</si>
  <si>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</si>
  <si>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</si>
  <si>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</si>
  <si>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</si>
  <si>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</si>
  <si>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</si>
  <si>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</si>
  <si>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</si>
  <si>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</si>
  <si>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</si>
  <si>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</si>
  <si>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</si>
  <si>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</si>
  <si>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</si>
  <si>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</si>
  <si>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</si>
  <si>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</si>
  <si>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</si>
  <si>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</si>
  <si>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</si>
  <si>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</si>
  <si>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</si>
  <si>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</si>
  <si>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</si>
  <si>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</si>
  <si>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</si>
  <si>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</si>
  <si>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</si>
  <si>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</si>
  <si>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</si>
  <si>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</si>
  <si>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</si>
  <si>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</si>
  <si>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</si>
  <si>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</si>
  <si>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</si>
  <si>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</si>
  <si>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</si>
  <si>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</si>
  <si>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</si>
  <si>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</si>
  <si>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</si>
  <si>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</si>
  <si>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</si>
  <si>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</si>
  <si>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</si>
  <si>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</si>
  <si>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</si>
  <si>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</si>
  <si>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</si>
  <si>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</si>
  <si>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</si>
  <si>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</si>
  <si>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</si>
  <si>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</si>
  <si>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</si>
  <si>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</si>
  <si>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</si>
  <si>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</si>
  <si>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</si>
  <si>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</si>
  <si>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</si>
  <si>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</si>
  <si>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</si>
  <si>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</si>
  <si>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</si>
  <si>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</si>
  <si>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</si>
  <si>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</si>
  <si>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</si>
  <si>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</si>
  <si>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</si>
  <si>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</si>
  <si>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</si>
  <si>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</si>
  <si>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</si>
  <si>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</si>
  <si>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</si>
  <si>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</si>
  <si>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</si>
  <si>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</si>
  <si>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</si>
  <si>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</si>
  <si>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</si>
  <si>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</si>
  <si>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</si>
  <si>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</si>
  <si>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</si>
  <si>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</si>
  <si>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</si>
  <si>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</si>
  <si>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</si>
  <si>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</si>
  <si>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</si>
  <si>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</si>
  <si>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</si>
  <si>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</si>
  <si>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</si>
  <si>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</si>
  <si>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</si>
  <si>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</si>
  <si>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</si>
  <si>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</si>
  <si>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</si>
  <si>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</si>
  <si>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</si>
  <si>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</si>
  <si>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</si>
  <si>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</si>
  <si>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</si>
  <si>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</si>
  <si>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</si>
  <si>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</si>
  <si>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</si>
  <si>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</si>
  <si>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</si>
  <si>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</si>
  <si>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</si>
  <si>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</si>
  <si>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</si>
  <si>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</si>
  <si>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</si>
  <si>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</si>
  <si>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</si>
  <si>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</si>
  <si>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</si>
  <si>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</si>
  <si>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</si>
  <si>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</si>
  <si>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</si>
  <si>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</si>
  <si>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</si>
  <si>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</si>
  <si>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</si>
  <si>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</si>
  <si>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</si>
  <si>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</si>
  <si>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</si>
  <si>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</si>
  <si>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</si>
  <si>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</si>
  <si>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</si>
  <si>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</si>
  <si>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</si>
  <si>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</si>
  <si>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</si>
  <si>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</si>
  <si>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</si>
  <si>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</si>
  <si>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</si>
  <si>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</si>
  <si>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</si>
  <si>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</si>
  <si>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</si>
  <si>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</si>
  <si>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</si>
  <si>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</si>
  <si>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</si>
  <si>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</si>
  <si>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</si>
  <si>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</si>
  <si>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</si>
  <si>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</si>
  <si>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</si>
  <si>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</si>
  <si>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</si>
  <si>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</si>
  <si>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</si>
  <si>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</si>
  <si>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</si>
  <si>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</si>
  <si>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</si>
  <si>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</si>
  <si>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</si>
  <si>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</si>
  <si>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</si>
  <si>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</si>
  <si>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</si>
  <si>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</si>
  <si>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</si>
  <si>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</si>
  <si>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</si>
  <si>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</si>
  <si>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</si>
  <si>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</si>
  <si>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</si>
  <si>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</si>
  <si>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</si>
  <si>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</si>
  <si>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</si>
  <si>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</si>
  <si>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</si>
  <si>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</si>
  <si>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</si>
  <si>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</si>
  <si>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</si>
  <si>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</si>
  <si>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</si>
  <si>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</si>
  <si>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</si>
  <si>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</si>
  <si>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</si>
  <si>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</si>
  <si>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</si>
  <si>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</si>
  <si>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</si>
  <si>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</si>
  <si>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</si>
  <si>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</si>
  <si>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</si>
  <si>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</si>
  <si>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</si>
  <si>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</si>
  <si>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</si>
  <si>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</si>
  <si>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</si>
  <si>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</si>
  <si>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</si>
  <si>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</si>
  <si>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</si>
  <si>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</si>
  <si>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</si>
  <si>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</si>
  <si>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</si>
  <si>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</si>
  <si>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</si>
  <si>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</si>
  <si>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</si>
  <si>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</si>
  <si>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</si>
  <si>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</si>
  <si>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</si>
  <si>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</si>
  <si>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</si>
  <si>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</si>
  <si>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</si>
  <si>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</si>
  <si>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</si>
  <si>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</si>
  <si>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</si>
  <si>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</si>
  <si>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</si>
  <si>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</si>
  <si>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</si>
  <si>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</si>
  <si>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</si>
  <si>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</si>
  <si>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</si>
  <si>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</si>
  <si>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</si>
  <si>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</si>
  <si>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</si>
  <si>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</si>
  <si>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</si>
  <si>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</si>
  <si>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</si>
  <si>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</si>
  <si>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</si>
  <si>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</si>
  <si>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</si>
  <si>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</si>
  <si>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</si>
  <si>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</si>
  <si>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</si>
  <si>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</si>
  <si>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</si>
  <si>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</si>
  <si>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</si>
  <si>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</si>
  <si>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</si>
  <si>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</si>
  <si>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</si>
  <si>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</si>
  <si>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</si>
  <si>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</si>
  <si>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</si>
  <si>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</si>
  <si>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</si>
  <si>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</si>
  <si>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</si>
  <si>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</si>
  <si>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</si>
  <si>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</si>
  <si>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</si>
  <si>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</si>
  <si>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</si>
  <si>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</si>
  <si>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</si>
  <si>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</si>
  <si>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</si>
  <si>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</si>
  <si>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</si>
  <si>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</si>
  <si>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</si>
  <si>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</si>
  <si>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</si>
  <si>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</si>
  <si>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</si>
  <si>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</si>
  <si>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</si>
  <si>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</si>
  <si>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</si>
  <si>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</si>
  <si>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</si>
  <si>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</si>
  <si>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</si>
  <si>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</si>
  <si>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</si>
  <si>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</si>
  <si>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</si>
  <si>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</si>
  <si>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</si>
  <si>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</si>
  <si>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</si>
  <si>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</si>
  <si>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</si>
  <si>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</si>
  <si>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</si>
  <si>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</si>
  <si>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</si>
  <si>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</si>
  <si>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</si>
  <si>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</si>
  <si>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</si>
  <si>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</si>
  <si>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</si>
  <si>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</si>
  <si>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</si>
  <si>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</si>
  <si>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</si>
  <si>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</si>
  <si>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</si>
  <si>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</si>
  <si>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</si>
  <si>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</si>
  <si>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</si>
  <si>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</si>
  <si>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</si>
  <si>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</si>
  <si>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</si>
  <si>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</si>
  <si>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</si>
  <si>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</si>
  <si>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</si>
  <si>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</si>
  <si>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</si>
  <si>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</si>
  <si>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</si>
  <si>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</si>
  <si>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</si>
  <si>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</si>
  <si>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</si>
  <si>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</si>
  <si>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</si>
  <si>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</si>
  <si>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</si>
  <si>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</si>
  <si>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</si>
  <si>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</si>
  <si>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</si>
  <si>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</si>
  <si>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</si>
  <si>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</si>
  <si>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</si>
  <si>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</si>
  <si>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</si>
  <si>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</si>
  <si>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</si>
  <si>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</si>
  <si>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</si>
  <si>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</si>
  <si>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</si>
  <si>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</si>
  <si>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</si>
  <si>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</si>
  <si>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</si>
  <si>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</si>
  <si>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</si>
  <si>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</si>
  <si>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</si>
  <si>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</si>
  <si>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</si>
  <si>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</si>
  <si>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</si>
  <si>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</si>
  <si>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</si>
  <si>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</si>
  <si>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</si>
  <si>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</si>
  <si>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</si>
  <si>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</si>
  <si>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</si>
  <si>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</si>
  <si>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</si>
  <si>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</si>
  <si>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</si>
  <si>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</si>
  <si>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</si>
  <si>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</si>
  <si>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</si>
  <si>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</si>
  <si>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</si>
  <si>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</si>
  <si>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</si>
  <si>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</si>
  <si>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</si>
  <si>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</si>
  <si>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</si>
  <si>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</si>
  <si>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</si>
  <si>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</si>
  <si>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</si>
  <si>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</si>
  <si>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</si>
  <si>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</si>
  <si>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</si>
  <si>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</si>
  <si>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</si>
  <si>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</si>
  <si>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</si>
  <si>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</si>
  <si>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</si>
  <si>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</si>
  <si>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</si>
  <si>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</si>
  <si>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</si>
  <si>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</si>
  <si>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</si>
  <si>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</si>
  <si>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</si>
  <si>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</si>
  <si>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</si>
  <si>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</si>
  <si>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</si>
  <si>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</si>
  <si>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</si>
  <si>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</si>
  <si>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</si>
  <si>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</si>
  <si>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</si>
  <si>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</si>
  <si>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</si>
  <si>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</si>
  <si>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</si>
  <si>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</si>
  <si>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</si>
  <si>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</si>
  <si>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</si>
  <si>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</si>
  <si>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</si>
  <si>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</si>
  <si>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</si>
  <si>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</si>
  <si>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</si>
  <si>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</si>
  <si>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</si>
  <si>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</si>
  <si>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</si>
  <si>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</si>
  <si>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</si>
  <si>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</si>
  <si>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</si>
  <si>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</si>
  <si>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</si>
  <si>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</si>
  <si>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</si>
  <si>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</si>
  <si>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</si>
  <si>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</si>
  <si>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</si>
  <si>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</si>
  <si>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</si>
  <si>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</si>
  <si>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</si>
  <si>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</si>
  <si>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</si>
  <si>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</si>
  <si>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</si>
  <si>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</si>
  <si>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</si>
  <si>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</si>
  <si>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</si>
  <si>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</si>
  <si>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</si>
  <si>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</si>
  <si>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</si>
  <si>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</si>
  <si>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</si>
  <si>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</si>
  <si>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</si>
  <si>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</si>
  <si>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</si>
  <si>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</si>
  <si>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</si>
  <si>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</si>
  <si>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</si>
  <si>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</si>
  <si>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</si>
  <si>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</si>
  <si>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</si>
  <si>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</si>
  <si>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</si>
  <si>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</si>
  <si>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</si>
  <si>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</si>
  <si>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</si>
  <si>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</si>
  <si>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</si>
  <si>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</si>
  <si>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</si>
  <si>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</si>
  <si>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</si>
  <si>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</si>
  <si>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</si>
  <si>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</si>
  <si>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</si>
  <si>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</si>
  <si>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</si>
  <si>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</si>
  <si>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</si>
  <si>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</si>
  <si>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</si>
  <si>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</si>
  <si>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</si>
  <si>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</si>
  <si>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</si>
  <si>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</si>
  <si>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</si>
  <si>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</si>
  <si>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</si>
  <si>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</si>
  <si>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</si>
  <si>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</si>
  <si>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</si>
  <si>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</si>
  <si>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</si>
  <si>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</si>
  <si>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</si>
  <si>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</si>
  <si>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</si>
  <si>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</si>
  <si>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</si>
  <si>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</si>
  <si>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</si>
  <si>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</si>
  <si>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</si>
  <si>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</si>
  <si>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</si>
  <si>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</si>
  <si>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</si>
  <si>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</si>
  <si>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</si>
  <si>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</si>
  <si>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</si>
  <si>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</si>
  <si>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</si>
  <si>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</si>
  <si>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</si>
  <si>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</si>
  <si>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</si>
  <si>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</si>
  <si>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</si>
  <si>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</si>
  <si>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</si>
  <si>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</si>
  <si>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</si>
  <si>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</si>
  <si>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</si>
  <si>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</si>
  <si>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</si>
  <si>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</si>
  <si>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</si>
  <si>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</si>
  <si>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</si>
  <si>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</si>
  <si>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</si>
  <si>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</si>
  <si>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</si>
  <si>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</si>
  <si>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</si>
  <si>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</si>
  <si>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</si>
  <si>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</si>
  <si>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</si>
  <si>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</si>
  <si>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</si>
  <si>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</si>
  <si>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</si>
  <si>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</si>
  <si>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</si>
  <si>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</si>
  <si>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</si>
  <si>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</si>
  <si>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</si>
  <si>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</si>
  <si>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</si>
  <si>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</si>
  <si>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</si>
  <si>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</si>
  <si>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</si>
  <si>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</si>
  <si>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</si>
  <si>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</si>
  <si>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</si>
  <si>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</si>
  <si>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</si>
  <si>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</si>
  <si>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</si>
  <si>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</si>
  <si>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</si>
  <si>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</si>
  <si>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</si>
  <si>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</si>
  <si>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</si>
  <si>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</si>
  <si>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</si>
  <si>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</si>
  <si>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</si>
  <si>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</si>
  <si>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</si>
  <si>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</si>
  <si>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</si>
  <si>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</si>
  <si>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</si>
  <si>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</si>
  <si>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</si>
  <si>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</si>
  <si>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</si>
  <si>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</si>
  <si>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</si>
  <si>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</si>
  <si>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</si>
  <si>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</si>
  <si>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</si>
  <si>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</si>
  <si>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</si>
  <si>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</si>
  <si>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</si>
  <si>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</si>
  <si>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</si>
  <si>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</si>
  <si>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</si>
  <si>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</si>
  <si>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</si>
  <si>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</si>
  <si>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</si>
  <si>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</si>
  <si>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</si>
  <si>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</si>
  <si>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</si>
  <si>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</si>
  <si>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</si>
  <si>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</si>
  <si>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</si>
  <si>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</si>
  <si>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</si>
  <si>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</si>
  <si>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</si>
  <si>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</si>
  <si>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</si>
  <si>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</si>
  <si>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</si>
  <si>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</si>
  <si>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</si>
  <si>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</si>
  <si>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</si>
  <si>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</si>
  <si>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</si>
  <si>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</si>
  <si>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</si>
  <si>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</si>
  <si>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</si>
  <si>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</si>
  <si>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</si>
  <si>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</si>
  <si>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</si>
  <si>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</si>
  <si>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</si>
  <si>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</si>
  <si>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</si>
  <si>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</si>
  <si>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</si>
  <si>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</si>
  <si>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</si>
  <si>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</si>
  <si>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</si>
  <si>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</si>
  <si>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</si>
  <si>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</si>
  <si>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</si>
  <si>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</si>
  <si>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</si>
  <si>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</si>
  <si>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</si>
  <si>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</si>
  <si>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</si>
  <si>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</si>
  <si>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</si>
  <si>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</si>
  <si>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</si>
  <si>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</si>
  <si>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</si>
  <si>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</si>
  <si>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</si>
  <si>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</si>
  <si>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</si>
  <si>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</si>
  <si>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</si>
  <si>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</si>
  <si>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</si>
  <si>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</si>
  <si>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</si>
  <si>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</si>
  <si>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</si>
  <si>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</si>
  <si>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</si>
  <si>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</si>
  <si>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</si>
  <si>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</si>
  <si>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</si>
  <si>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</si>
  <si>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</si>
  <si>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</si>
  <si>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</si>
  <si>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</si>
  <si>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</si>
  <si>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</si>
  <si>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</si>
  <si>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</si>
  <si>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</si>
  <si>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</si>
  <si>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</si>
  <si>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</si>
  <si>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</si>
  <si>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</si>
  <si>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</si>
  <si>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</si>
  <si>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</si>
  <si>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</si>
  <si>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</si>
  <si>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</si>
  <si>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</si>
  <si>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</si>
  <si>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</si>
  <si>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</si>
  <si>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</si>
  <si>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</si>
  <si>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</si>
  <si>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</si>
  <si>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</si>
  <si>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</si>
  <si>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</si>
  <si>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</si>
  <si>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</si>
  <si>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</si>
  <si>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</si>
  <si>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</si>
  <si>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</si>
  <si>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</si>
  <si>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</si>
  <si>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</si>
  <si>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</si>
  <si>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</si>
  <si>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</si>
  <si>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</si>
  <si>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</si>
  <si>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</si>
  <si>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</si>
  <si>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</si>
  <si>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</si>
  <si>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</si>
  <si>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</si>
  <si>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AMOUNT EXPECTED TO BE FINANCED IN FUTURE YEARS - ESTIMATED AS OF JUNE 30, 2025</t>
  </si>
  <si>
    <t xml:space="preserve">Due to increased enrollment in our online learning, the College has seen an increase in out of state fees and expects to see a continuation of this trend.   The out of state students are not participating in postsecondary vocational programs.  The College maintains low enrollment in the developmental education classes.  </t>
  </si>
  <si>
    <t>Funds to pay for ERP system and implementation</t>
  </si>
  <si>
    <t>Fund 1</t>
  </si>
  <si>
    <t>Fund 7</t>
  </si>
  <si>
    <t>The College continues to focus on Advanced Baccalaureate Programs, primarily in our nursing, education and criminal justice programs with the anticipation that we will see increased enrollment in these programs.  We have seen an increase in our career certificate and applied technology programs.    We have worked to market our stackable credentials for porgrams associated with career certificates to encourage completion of certificate programs.  Our EPI program has been somewhat challenging to support, so we anticipate this program to wind down over the next year; competition makes it difficult to compete financially.  Overall, we have seen an increase in our lower level programs so expect this trend to continue in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</si>
</sst>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xf numFmtId="2" fontId="160" fillId="32" borderId="309" xfId="181"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3559F3"/>
      <color rgb="FFFFFFCC"/>
      <color rgb="FFFFFF99"/>
      <color rgb="FFFF7C80"/>
      <color rgb="FFCCFFCC"/>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5848350</xdr:colOff>
          <xdr:row>51</xdr:row>
          <xdr:rowOff>9525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684</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Polk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727</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25962582</v>
      </c>
      <c r="C10" s="450">
        <v>2332850</v>
      </c>
      <c r="D10" s="450">
        <v>200000</v>
      </c>
      <c r="E10" s="369">
        <f>SUM(B10:D10)</f>
        <v>28495432</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176258</v>
      </c>
      <c r="C12" s="440">
        <v>7527</v>
      </c>
      <c r="D12" s="440">
        <v>0</v>
      </c>
      <c r="E12" s="370">
        <f>SUM(B12:D12)</f>
        <v>183785</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6303456</v>
      </c>
      <c r="C14" s="452">
        <v>1264479</v>
      </c>
      <c r="D14" s="452">
        <v>0</v>
      </c>
      <c r="E14" s="370">
        <f t="shared" ref="E14:E20" si="0">SUM(B14:D14)</f>
        <v>7567935</v>
      </c>
      <c r="F14" s="352"/>
    </row>
    <row r="15" spans="1:8" s="17" customFormat="1" ht="20.100000000000001" customHeight="1">
      <c r="A15" s="368" t="s">
        <v>585</v>
      </c>
      <c r="B15" s="451">
        <v>458607</v>
      </c>
      <c r="C15" s="440">
        <v>185104</v>
      </c>
      <c r="D15" s="440">
        <v>0</v>
      </c>
      <c r="E15" s="370">
        <f>SUM(B15:D15)</f>
        <v>643711</v>
      </c>
      <c r="F15" s="352"/>
    </row>
    <row r="16" spans="1:8" s="17" customFormat="1" ht="20.100000000000001" customHeight="1">
      <c r="A16" s="368" t="s">
        <v>586</v>
      </c>
      <c r="B16" s="451">
        <v>8005804</v>
      </c>
      <c r="C16" s="440">
        <v>1255130</v>
      </c>
      <c r="D16" s="440">
        <v>0</v>
      </c>
      <c r="E16" s="370">
        <f t="shared" si="0"/>
        <v>9260934</v>
      </c>
      <c r="F16" s="352"/>
    </row>
    <row r="17" spans="1:6" s="17" customFormat="1" ht="20.100000000000001" customHeight="1">
      <c r="A17" s="368" t="s">
        <v>587</v>
      </c>
      <c r="B17" s="451">
        <v>8370525</v>
      </c>
      <c r="C17" s="440">
        <v>3185900</v>
      </c>
      <c r="D17" s="440">
        <v>100000</v>
      </c>
      <c r="E17" s="370">
        <f t="shared" si="0"/>
        <v>11656425</v>
      </c>
      <c r="F17" s="352"/>
    </row>
    <row r="18" spans="1:6" s="17" customFormat="1" ht="20.100000000000001" customHeight="1">
      <c r="A18" s="368" t="s">
        <v>588</v>
      </c>
      <c r="B18" s="451">
        <v>1639578</v>
      </c>
      <c r="C18" s="440">
        <v>7825200</v>
      </c>
      <c r="D18" s="440">
        <v>150000</v>
      </c>
      <c r="E18" s="370">
        <f t="shared" si="0"/>
        <v>9614778</v>
      </c>
      <c r="F18" s="352"/>
    </row>
    <row r="19" spans="1:6" s="17" customFormat="1" ht="20.100000000000001" customHeight="1">
      <c r="A19" s="368" t="s">
        <v>589</v>
      </c>
      <c r="B19" s="451">
        <v>0</v>
      </c>
      <c r="C19" s="440">
        <v>0</v>
      </c>
      <c r="D19" s="440">
        <v>0</v>
      </c>
      <c r="E19" s="370">
        <f t="shared" si="0"/>
        <v>0</v>
      </c>
      <c r="F19" s="352"/>
    </row>
    <row r="20" spans="1:6" s="17" customFormat="1" ht="20.100000000000001" customHeight="1" thickBot="1">
      <c r="A20" s="368" t="s">
        <v>590</v>
      </c>
      <c r="B20" s="451">
        <v>0</v>
      </c>
      <c r="C20" s="441">
        <v>2592932</v>
      </c>
      <c r="D20" s="441">
        <v>0</v>
      </c>
      <c r="E20" s="370">
        <f t="shared" si="0"/>
        <v>2592932</v>
      </c>
      <c r="F20" s="352"/>
    </row>
    <row r="21" spans="1:6" s="17" customFormat="1" ht="24" customHeight="1" thickBot="1">
      <c r="A21" s="293" t="s">
        <v>49</v>
      </c>
      <c r="B21" s="353">
        <f>SUM(B10:B20)</f>
        <v>50916810</v>
      </c>
      <c r="C21" s="356">
        <f>SUM(C10:C20)</f>
        <v>18649122</v>
      </c>
      <c r="D21" s="356">
        <f>SUM(D10:D20)</f>
        <v>450000</v>
      </c>
      <c r="E21" s="355">
        <f>SUM(E10:E20)</f>
        <v>70015932</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bb1NUKHH3P60bQBBUfVHQQ5dn+JZ7rOqgvY3Ltl3tJqVhVAxyynTgOFrnl3q/FGyEmHQOlya1WDlbxA1ZokofQ==" saltValue="t5i/4Ovhp40/k7bq3aUyf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Polk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727</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720</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80453</v>
      </c>
      <c r="E11" s="756">
        <v>0</v>
      </c>
      <c r="F11" s="757">
        <f t="shared" si="0"/>
        <v>80453</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675483</v>
      </c>
      <c r="E15" s="756">
        <v>0</v>
      </c>
      <c r="F15" s="757">
        <f t="shared" si="0"/>
        <v>675483</v>
      </c>
      <c r="I15" s="88"/>
      <c r="J15" s="29"/>
      <c r="K15" s="93"/>
      <c r="L15" s="93"/>
      <c r="M15" s="93"/>
      <c r="N15" s="93"/>
    </row>
    <row r="16" spans="1:224" s="17" customFormat="1" ht="30" customHeight="1">
      <c r="A16" s="753" t="s">
        <v>409</v>
      </c>
      <c r="B16" s="754"/>
      <c r="C16" s="755" t="s">
        <v>410</v>
      </c>
      <c r="D16" s="756">
        <v>175250</v>
      </c>
      <c r="E16" s="756">
        <v>0</v>
      </c>
      <c r="F16" s="757">
        <f t="shared" si="0"/>
        <v>175250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696</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226600</v>
      </c>
      <c r="E25" s="756">
        <v>0</v>
      </c>
      <c r="F25" s="757">
        <f t="shared" si="0"/>
        <v>226600</v>
      </c>
    </row>
    <row r="26" spans="1:6" s="17" customFormat="1" ht="30" customHeight="1">
      <c r="A26" s="753" t="s">
        <v>428</v>
      </c>
      <c r="B26" s="754"/>
      <c r="C26" s="755" t="s">
        <v>429</v>
      </c>
      <c r="D26" s="756">
        <v>0</v>
      </c>
      <c r="E26" s="756">
        <v>0</v>
      </c>
      <c r="F26" s="757">
        <f t="shared" si="0"/>
        <v>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0</v>
      </c>
      <c r="E28" s="756">
        <v>0</v>
      </c>
      <c r="F28" s="757">
        <f t="shared" si="0"/>
        <v>0</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32000</v>
      </c>
      <c r="E30" s="756">
        <v>0</v>
      </c>
      <c r="F30" s="757">
        <f t="shared" si="0"/>
        <v>32000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258030</v>
      </c>
      <c r="E34" s="756">
        <v>0</v>
      </c>
      <c r="F34" s="757">
        <f t="shared" si="0"/>
        <v>258030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54050</v>
      </c>
      <c r="E40" s="756">
        <v>0</v>
      </c>
      <c r="F40" s="757">
        <f t="shared" si="0"/>
        <v>54050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v>114893</v>
      </c>
      <c r="E48" s="756">
        <v>0</v>
      </c>
      <c r="F48" s="757">
        <f t="shared" si="0"/>
        <v>114893</v>
      </c>
    </row>
    <row r="49" spans="1:6" s="17" customFormat="1" ht="30" customHeight="1">
      <c r="A49" s="753" t="s">
        <v>471</v>
      </c>
      <c r="B49" s="754"/>
      <c r="C49" s="755" t="s">
        <v>472</v>
      </c>
      <c r="D49" s="756">
        <v>162435</v>
      </c>
      <c r="E49" s="756">
        <v>0</v>
      </c>
      <c r="F49" s="757">
        <f t="shared" si="0"/>
        <v>162435</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225025</v>
      </c>
      <c r="E54" s="756">
        <v>0</v>
      </c>
      <c r="F54" s="757">
        <f t="shared" si="0"/>
        <v>225025</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100000</v>
      </c>
      <c r="E56" s="761">
        <v>0</v>
      </c>
      <c r="F56" s="762">
        <f t="shared" si="0"/>
        <v>100000</v>
      </c>
    </row>
    <row r="57" spans="1:6" s="175" customFormat="1" ht="30" customHeight="1" thickBot="1">
      <c r="A57" s="262" t="s">
        <v>486</v>
      </c>
      <c r="B57" s="263"/>
      <c r="C57" s="560"/>
      <c r="D57" s="268">
        <f>SUM(D10:D56)</f>
        <v>2104219</v>
      </c>
      <c r="E57" s="268">
        <f>SUM(E10:E56)</f>
        <v>0</v>
      </c>
      <c r="F57" s="268">
        <f t="shared" si="0"/>
        <v>2104219</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15000</v>
      </c>
      <c r="E64" s="453">
        <v>0</v>
      </c>
      <c r="F64" s="234">
        <f t="shared" si="0"/>
        <v>15000</v>
      </c>
    </row>
    <row r="65" spans="1:6" s="17" customFormat="1" ht="30" customHeight="1">
      <c r="A65" s="753" t="s">
        <v>490</v>
      </c>
      <c r="B65" s="754"/>
      <c r="C65" s="763" t="s">
        <v>491</v>
      </c>
      <c r="D65" s="756">
        <v>1035</v>
      </c>
      <c r="E65" s="756">
        <v>0</v>
      </c>
      <c r="F65" s="757">
        <f t="shared" si="0"/>
        <v>1035</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1225</v>
      </c>
      <c r="E67" s="756">
        <v>0</v>
      </c>
      <c r="F67" s="757">
        <f t="shared" si="0"/>
        <v>1225</v>
      </c>
    </row>
    <row r="68" spans="1:6" s="17" customFormat="1" ht="30" customHeight="1">
      <c r="A68" s="753" t="s">
        <v>602</v>
      </c>
      <c r="B68" s="754"/>
      <c r="C68" s="763" t="s">
        <v>497</v>
      </c>
      <c r="D68" s="756">
        <v>12000</v>
      </c>
      <c r="E68" s="756">
        <v>0</v>
      </c>
      <c r="F68" s="757">
        <f t="shared" si="0"/>
        <v>12000</v>
      </c>
    </row>
    <row r="69" spans="1:6" s="17" customFormat="1" ht="30" customHeight="1">
      <c r="A69" s="753" t="s">
        <v>498</v>
      </c>
      <c r="B69" s="754"/>
      <c r="C69" s="763" t="s">
        <v>499</v>
      </c>
      <c r="D69" s="756">
        <v>0</v>
      </c>
      <c r="E69" s="756">
        <v>0</v>
      </c>
      <c r="F69" s="757">
        <f t="shared" si="0"/>
        <v>0</v>
      </c>
    </row>
    <row r="70" spans="1:6" s="17" customFormat="1" ht="30" customHeight="1">
      <c r="A70" s="1018" t="s">
        <v>688</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700</v>
      </c>
      <c r="B72" s="754"/>
      <c r="C72" s="763" t="s">
        <v>503</v>
      </c>
      <c r="D72" s="756">
        <v>0</v>
      </c>
      <c r="E72" s="756">
        <v>0</v>
      </c>
      <c r="F72" s="757">
        <f t="shared" si="0"/>
        <v>0</v>
      </c>
    </row>
    <row r="73" spans="1:6" s="17" customFormat="1" ht="30" customHeight="1">
      <c r="A73" s="753" t="s">
        <v>504</v>
      </c>
      <c r="B73" s="754"/>
      <c r="C73" s="763" t="s">
        <v>505</v>
      </c>
      <c r="D73" s="756">
        <v>35000</v>
      </c>
      <c r="E73" s="756">
        <v>0</v>
      </c>
      <c r="F73" s="757">
        <f t="shared" si="0"/>
        <v>35000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0</v>
      </c>
      <c r="E76" s="756">
        <v>0</v>
      </c>
      <c r="F76" s="757">
        <f t="shared" si="1"/>
        <v>0</v>
      </c>
    </row>
    <row r="77" spans="1:6" s="17" customFormat="1" ht="30" customHeight="1">
      <c r="A77" s="753" t="s">
        <v>511</v>
      </c>
      <c r="B77" s="754"/>
      <c r="C77" s="763" t="s">
        <v>512</v>
      </c>
      <c r="D77" s="756">
        <v>36255</v>
      </c>
      <c r="E77" s="756">
        <v>0</v>
      </c>
      <c r="F77" s="757">
        <f t="shared" si="1"/>
        <v>36255</v>
      </c>
    </row>
    <row r="78" spans="1:6" s="17" customFormat="1" ht="30" customHeight="1">
      <c r="A78" s="753" t="s">
        <v>513</v>
      </c>
      <c r="B78" s="754"/>
      <c r="C78" s="763" t="s">
        <v>514</v>
      </c>
      <c r="D78" s="756">
        <v>12500</v>
      </c>
      <c r="E78" s="756">
        <v>0</v>
      </c>
      <c r="F78" s="757">
        <f t="shared" si="1"/>
        <v>12500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20428</v>
      </c>
      <c r="E81" s="756">
        <v>0</v>
      </c>
      <c r="F81" s="757">
        <f t="shared" ref="F81:F86" si="2">+D81+E81</f>
        <v>20428</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53000</v>
      </c>
      <c r="E92" s="756">
        <v>0</v>
      </c>
      <c r="F92" s="762">
        <f t="shared" si="1"/>
        <v>53000</v>
      </c>
    </row>
    <row r="93" spans="1:6" s="17" customFormat="1" ht="30" customHeight="1" thickBot="1">
      <c r="A93" s="868" t="s">
        <v>605</v>
      </c>
      <c r="B93" s="873"/>
      <c r="C93" s="265"/>
      <c r="D93" s="264">
        <f>SUM(D64:D92)</f>
        <v>186443</v>
      </c>
      <c r="E93" s="264">
        <f>SUM(E64:E92)</f>
        <v>0</v>
      </c>
      <c r="F93" s="264">
        <f t="shared" si="1"/>
        <v>186443</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15077</v>
      </c>
      <c r="E98" s="453">
        <v>0</v>
      </c>
      <c r="F98" s="234">
        <f t="shared" si="1"/>
        <v>15077</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690</v>
      </c>
      <c r="B103" s="1099"/>
      <c r="C103" s="1100">
        <v>73001</v>
      </c>
      <c r="D103" s="1124">
        <v>0</v>
      </c>
      <c r="E103" s="1124">
        <v>0</v>
      </c>
      <c r="F103" s="1056">
        <f t="shared" si="1"/>
        <v>0</v>
      </c>
    </row>
    <row r="104" spans="1:6" s="17" customFormat="1" ht="30" customHeight="1">
      <c r="A104" s="1101" t="s">
        <v>691</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687</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15077</v>
      </c>
      <c r="E111" s="268">
        <f>SUM(E98:E110)</f>
        <v>0</v>
      </c>
      <c r="F111" s="268">
        <f>SUM(D111:E111)</f>
        <v>15077</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2305739</v>
      </c>
      <c r="E113" s="264">
        <f>+E57+E93+E111</f>
        <v>0</v>
      </c>
      <c r="F113" s="264">
        <f>SUM(D113:E113)</f>
        <v>2305739</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2230518</v>
      </c>
      <c r="E118" s="756">
        <v>0</v>
      </c>
      <c r="F118" s="757">
        <f t="shared" ref="F118:F128" si="3">+D118+E118</f>
        <v>2230518</v>
      </c>
    </row>
    <row r="119" spans="1:6" s="69" customFormat="1" ht="30" customHeight="1">
      <c r="A119" s="753" t="s">
        <v>611</v>
      </c>
      <c r="B119" s="602"/>
      <c r="C119" s="765"/>
      <c r="D119" s="1080">
        <f>'EXHIBIT C'!F19</f>
        <v>75221</v>
      </c>
      <c r="E119" s="756">
        <v>0</v>
      </c>
      <c r="F119" s="757">
        <f t="shared" si="3"/>
        <v>75221</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685</v>
      </c>
      <c r="B122" s="602"/>
      <c r="C122" s="765"/>
      <c r="D122" s="756">
        <v>0</v>
      </c>
      <c r="E122" s="756">
        <v>0</v>
      </c>
      <c r="F122" s="757">
        <f t="shared" si="3"/>
        <v>0</v>
      </c>
    </row>
    <row r="123" spans="1:6" s="69" customFormat="1" ht="30" customHeight="1">
      <c r="A123" s="753" t="s">
        <v>614</v>
      </c>
      <c r="B123" s="602"/>
      <c r="C123" s="765"/>
      <c r="D123" s="756">
        <v>0</v>
      </c>
      <c r="E123" s="756">
        <v>0</v>
      </c>
      <c r="F123" s="757">
        <f t="shared" si="3"/>
        <v>0</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2305739</v>
      </c>
      <c r="E129" s="258">
        <f>SUM(E117:E128)</f>
        <v>0</v>
      </c>
      <c r="F129" s="259">
        <f>SUM(F117:F128)</f>
        <v>2305739</v>
      </c>
    </row>
    <row r="130" spans="1:6" ht="14.1" customHeight="1">
      <c r="A130" s="247"/>
      <c r="B130" s="247"/>
      <c r="C130" s="248"/>
      <c r="D130" s="249"/>
      <c r="E130" s="249"/>
      <c r="F130" s="249"/>
    </row>
    <row r="131" spans="1:6" ht="83.25" customHeight="1">
      <c r="A131" s="931" t="s">
        <v>701</v>
      </c>
      <c r="B131" s="931"/>
      <c r="C131" s="932"/>
      <c r="D131" s="250">
        <f>D129-D113</f>
        <v>0</v>
      </c>
      <c r="E131" s="250">
        <f>E129-E113</f>
        <v>0</v>
      </c>
      <c r="F131" s="250">
        <f>F129-F113</f>
        <v>0</v>
      </c>
    </row>
    <row r="132" spans="1:6" ht="30" customHeight="1">
      <c r="A132" s="247"/>
      <c r="B132" s="247"/>
      <c r="C132" s="248"/>
      <c r="D132" s="249"/>
      <c r="E132" s="249"/>
      <c r="F132" s="249"/>
    </row>
    <row r="133" spans="1:6" ht="30" customHeight="1" thickBot="1">
      <c r="A133" s="457" t="s">
        <v>702</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4FSntU5Yd48WF1GxIdio8LbiZfzjCb83XGIV0CHx9da6+mfYS5cCOgE0thOz9b2ZgZuur0sgMpRa2uKoEorXWw==" saltValue="Bu5NmwH6NMB0tUG76Xi17Q=="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743</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0" fitToHeight="0" orientation="portrait" r:id="rId1"/>
  <headerFooter>
    <oddFooter>&amp;L&amp;Z&amp;F</oddFooter>
  </headerFooter>
  <rowBreaks count="1" manualBreakCount="1">
    <brk id="51" max="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709</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4" sqref="A4"/>
    </sheetView>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772</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5848350</xdr:colOff>
                <xdr:row>51</xdr:row>
                <xdr:rowOff>9525</xdr:rowOff>
              </to>
            </anchor>
          </objectPr>
        </oleObject>
      </mc:Choice>
      <mc:Fallback>
        <oleObject progId="Acrobat Document" shapeId="1026"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755</v>
      </c>
      <c r="C3" s="64"/>
      <c r="D3" s="73"/>
      <c r="E3" s="72"/>
    </row>
    <row r="4" spans="1:10" ht="25.35" customHeight="1" thickBot="1">
      <c r="A4" s="62">
        <v>1</v>
      </c>
      <c r="B4" s="52">
        <v>2</v>
      </c>
      <c r="C4" s="52">
        <v>3</v>
      </c>
      <c r="D4" s="52">
        <v>4</v>
      </c>
      <c r="E4" s="19"/>
    </row>
    <row r="5" spans="1:10" ht="44.1" customHeight="1" thickBot="1">
      <c r="A5" s="38" t="s">
        <v>16</v>
      </c>
      <c r="B5" s="1068" t="s">
        <v>718</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719</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745</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756</v>
      </c>
      <c r="B40" s="936" t="s">
        <v>768</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757</v>
      </c>
      <c r="C43" s="626"/>
      <c r="D43" s="626">
        <v>650000</v>
      </c>
      <c r="E43" s="627">
        <f t="shared" ref="E43:E53" si="1">C43+D43</f>
        <v>650000</v>
      </c>
    </row>
    <row r="44" spans="1:12" ht="63">
      <c r="A44" s="944" t="str">
        <f>A11</f>
        <v>Daytona State College</v>
      </c>
      <c r="B44" s="628" t="s">
        <v>758</v>
      </c>
      <c r="C44" s="626"/>
      <c r="D44" s="626">
        <v>570000</v>
      </c>
      <c r="E44" s="627">
        <f t="shared" si="1"/>
        <v>570000</v>
      </c>
    </row>
    <row r="45" spans="1:12" ht="84.75" customHeight="1">
      <c r="A45" s="942" t="s">
        <v>25</v>
      </c>
      <c r="B45" s="628" t="s">
        <v>759</v>
      </c>
      <c r="C45" s="626"/>
      <c r="D45" s="626">
        <v>541000</v>
      </c>
      <c r="E45" s="627">
        <f t="shared" si="1"/>
        <v>541000</v>
      </c>
    </row>
    <row r="46" spans="1:12" ht="84.75" customHeight="1">
      <c r="A46" s="942" t="s">
        <v>25</v>
      </c>
      <c r="B46" s="1019" t="s">
        <v>760</v>
      </c>
      <c r="C46" s="1020"/>
      <c r="D46" s="1020">
        <v>1500000</v>
      </c>
      <c r="E46" s="627">
        <f t="shared" si="1"/>
        <v>1500000</v>
      </c>
    </row>
    <row r="47" spans="1:12" ht="84.75" customHeight="1">
      <c r="A47" s="942" t="s">
        <v>717</v>
      </c>
      <c r="B47" s="1019" t="s">
        <v>761</v>
      </c>
      <c r="C47" s="1020"/>
      <c r="D47" s="1020">
        <v>1500000</v>
      </c>
      <c r="E47" s="627">
        <f t="shared" si="1"/>
        <v>1500000</v>
      </c>
      <c r="G47" s="161" t="s">
        <v>10</v>
      </c>
    </row>
    <row r="48" spans="1:12" ht="62.45" customHeight="1">
      <c r="A48" s="942" t="s">
        <v>717</v>
      </c>
      <c r="B48" s="628" t="s">
        <v>762</v>
      </c>
      <c r="C48" s="626"/>
      <c r="D48" s="626">
        <v>2248487</v>
      </c>
      <c r="E48" s="627">
        <f t="shared" si="1"/>
        <v>2248487</v>
      </c>
    </row>
    <row r="49" spans="1:5" ht="62.45" customHeight="1">
      <c r="A49" s="942" t="s">
        <v>35</v>
      </c>
      <c r="B49" s="1019" t="s">
        <v>763</v>
      </c>
      <c r="C49" s="1020"/>
      <c r="D49" s="1020">
        <v>500000</v>
      </c>
      <c r="E49" s="627">
        <f t="shared" si="1"/>
        <v>500000</v>
      </c>
    </row>
    <row r="50" spans="1:5" ht="62.45" customHeight="1">
      <c r="A50" s="942" t="s">
        <v>35</v>
      </c>
      <c r="B50" s="1019" t="s">
        <v>764</v>
      </c>
      <c r="C50" s="1020"/>
      <c r="D50" s="1020">
        <v>2500000</v>
      </c>
      <c r="E50" s="627">
        <f t="shared" si="1"/>
        <v>2500000</v>
      </c>
    </row>
    <row r="51" spans="1:5" ht="62.45" customHeight="1">
      <c r="A51" s="1138" t="s">
        <v>765</v>
      </c>
      <c r="B51" s="1019" t="s">
        <v>766</v>
      </c>
      <c r="C51" s="1020"/>
      <c r="D51" s="1020">
        <v>1500000</v>
      </c>
      <c r="E51" s="1122">
        <f t="shared" si="1"/>
        <v>1500000</v>
      </c>
    </row>
    <row r="52" spans="1:5" ht="62.45" customHeight="1" thickBot="1">
      <c r="A52" s="1143" t="s">
        <v>46</v>
      </c>
      <c r="B52" s="1144" t="s">
        <v>767</v>
      </c>
      <c r="C52" s="1145"/>
      <c r="D52" s="1145">
        <v>1975000</v>
      </c>
      <c r="E52" s="1146">
        <f t="shared" si="1"/>
        <v>1975000</v>
      </c>
    </row>
    <row r="53" spans="1:5" ht="62.45" customHeight="1" thickBot="1">
      <c r="A53" s="1143" t="s">
        <v>34</v>
      </c>
      <c r="B53" s="1144" t="s">
        <v>771</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720</v>
      </c>
      <c r="B58" s="391" t="s">
        <v>769</v>
      </c>
      <c r="C58" s="16" t="s">
        <v>10</v>
      </c>
      <c r="D58" s="16"/>
    </row>
    <row r="59" spans="1:5" ht="69" customHeight="1" thickBot="1">
      <c r="A59" s="1037" t="s">
        <v>770</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721</v>
      </c>
      <c r="B65" s="1039" t="s">
        <v>746</v>
      </c>
      <c r="C65" s="1040"/>
      <c r="D65" s="1040"/>
      <c r="E65" s="1041"/>
      <c r="F65" s="18"/>
      <c r="G65" s="16"/>
    </row>
    <row r="66" spans="1:7" ht="87.6" customHeight="1" thickBot="1">
      <c r="A66" s="40" t="s">
        <v>17</v>
      </c>
      <c r="B66" s="24" t="s">
        <v>744</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747</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748</v>
      </c>
      <c r="B104" s="1023" t="s">
        <v>752</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692</v>
      </c>
      <c r="U106" s="32"/>
      <c r="V106" s="33"/>
      <c r="W106" s="34"/>
      <c r="X106" s="35"/>
      <c r="Y106" s="59"/>
      <c r="Z106" s="1046"/>
      <c r="AA106" s="1047"/>
      <c r="AB106" s="1048"/>
      <c r="AC106" s="19"/>
      <c r="AD106" s="1137" t="s">
        <v>749</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716</v>
      </c>
      <c r="R107" s="1062"/>
      <c r="S107" s="1063"/>
      <c r="T107" s="1121"/>
      <c r="U107" s="21"/>
      <c r="V107" s="1031" t="s">
        <v>78</v>
      </c>
      <c r="W107" s="1032"/>
      <c r="X107" s="1036"/>
      <c r="Y107" s="1066"/>
      <c r="Z107" s="1031" t="s">
        <v>79</v>
      </c>
      <c r="AA107" s="1032"/>
      <c r="AB107" s="1033"/>
      <c r="AD107" s="43" t="s">
        <v>80</v>
      </c>
      <c r="AF107" s="19"/>
      <c r="AI107" s="1067" t="s">
        <v>693</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750</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751</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SUM(B109:B136)</f>
        <v>17575</v>
      </c>
      <c r="C137" s="67"/>
      <c r="D137" s="394">
        <f t="shared" ref="D137:T137" si="20">SUM(D109:D136)</f>
        <v>17575</v>
      </c>
      <c r="E137" s="948">
        <f t="shared" si="20"/>
        <v>152230.24032664322</v>
      </c>
      <c r="F137" s="381">
        <f t="shared" si="20"/>
        <v>8199.9367338584852</v>
      </c>
      <c r="G137" s="394">
        <f t="shared" si="20"/>
        <v>160430.17706050174</v>
      </c>
      <c r="H137" s="404">
        <f t="shared" si="20"/>
        <v>51131.750029480463</v>
      </c>
      <c r="I137" s="381">
        <f t="shared" si="20"/>
        <v>2402.2905203214218</v>
      </c>
      <c r="J137" s="394">
        <f t="shared" si="20"/>
        <v>53534.040549801903</v>
      </c>
      <c r="K137" s="404">
        <f t="shared" si="20"/>
        <v>6220.2669151661903</v>
      </c>
      <c r="L137" s="406">
        <f t="shared" si="20"/>
        <v>844.73308483381027</v>
      </c>
      <c r="M137" s="395">
        <f t="shared" si="20"/>
        <v>7065</v>
      </c>
      <c r="N137" s="404">
        <f t="shared" si="20"/>
        <v>180.05197322854011</v>
      </c>
      <c r="O137" s="406">
        <f t="shared" si="20"/>
        <v>0.94802677145989178</v>
      </c>
      <c r="P137" s="395">
        <f t="shared" si="20"/>
        <v>181</v>
      </c>
      <c r="Q137" s="403">
        <f t="shared" si="20"/>
        <v>7579.9669255839635</v>
      </c>
      <c r="R137" s="405">
        <f t="shared" si="20"/>
        <v>328.97798660384655</v>
      </c>
      <c r="S137" s="396">
        <f t="shared" si="20"/>
        <v>7908.9449121878106</v>
      </c>
      <c r="T137" s="68">
        <f t="shared" si="20"/>
        <v>246694.16252249148</v>
      </c>
      <c r="U137" s="69"/>
      <c r="V137" s="397">
        <f t="shared" ref="V137:AB137" si="21">SUM(V109:V136)</f>
        <v>6.65625</v>
      </c>
      <c r="W137" s="404">
        <f t="shared" si="21"/>
        <v>12.34375</v>
      </c>
      <c r="X137" s="402">
        <f t="shared" si="21"/>
        <v>19</v>
      </c>
      <c r="Y137" s="70"/>
      <c r="Z137" s="397">
        <f t="shared" si="21"/>
        <v>1281.321488984639</v>
      </c>
      <c r="AA137" s="403">
        <f t="shared" si="21"/>
        <v>2231.6785110153605</v>
      </c>
      <c r="AB137" s="399">
        <f t="shared" si="21"/>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686</v>
      </c>
      <c r="V139" s="53"/>
      <c r="W139" s="53"/>
      <c r="X139" s="53"/>
      <c r="Y139" s="53"/>
      <c r="Z139" s="53"/>
      <c r="AA139" s="53"/>
      <c r="AB139" s="53"/>
    </row>
    <row r="140" spans="1:44">
      <c r="A140" s="17" t="s">
        <v>753</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715</v>
      </c>
      <c r="B145" s="1029"/>
      <c r="C145" s="1110"/>
      <c r="D145" s="1110"/>
    </row>
    <row r="146" spans="1:4" ht="21.75" thickBot="1">
      <c r="A146" s="62"/>
      <c r="B146" s="63" t="s">
        <v>754</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2">A7</f>
        <v>Eastern Florida State College</v>
      </c>
      <c r="B150" s="1107">
        <v>1223211</v>
      </c>
    </row>
    <row r="151" spans="1:4">
      <c r="A151" s="387" t="str">
        <f t="shared" si="22"/>
        <v>Broward College</v>
      </c>
      <c r="B151" s="1108">
        <v>2901756</v>
      </c>
    </row>
    <row r="152" spans="1:4">
      <c r="A152" s="387" t="str">
        <f t="shared" si="22"/>
        <v>College of Central Florida</v>
      </c>
      <c r="B152" s="1108">
        <v>580642</v>
      </c>
    </row>
    <row r="153" spans="1:4">
      <c r="A153" s="387" t="str">
        <f t="shared" si="22"/>
        <v>Chipola College</v>
      </c>
      <c r="B153" s="1108">
        <v>199039</v>
      </c>
    </row>
    <row r="154" spans="1:4">
      <c r="A154" s="387" t="str">
        <f t="shared" si="22"/>
        <v>Daytona State College</v>
      </c>
      <c r="B154" s="1108">
        <v>806367</v>
      </c>
    </row>
    <row r="155" spans="1:4">
      <c r="A155" s="387" t="str">
        <f t="shared" si="22"/>
        <v>Florida SouthWestern State College</v>
      </c>
      <c r="B155" s="1108">
        <v>831927</v>
      </c>
    </row>
    <row r="156" spans="1:4">
      <c r="A156" s="387" t="str">
        <f t="shared" si="22"/>
        <v>Florida State College at Jacksonville</v>
      </c>
      <c r="B156" s="1108">
        <v>1522554</v>
      </c>
    </row>
    <row r="157" spans="1:4">
      <c r="A157" s="387" t="str">
        <f t="shared" si="22"/>
        <v>College of the Florida Keys</v>
      </c>
      <c r="B157" s="1108">
        <v>55645</v>
      </c>
    </row>
    <row r="158" spans="1:4">
      <c r="A158" s="387" t="str">
        <f t="shared" si="22"/>
        <v>Gulf Coast State College</v>
      </c>
      <c r="B158" s="1108">
        <v>281214</v>
      </c>
    </row>
    <row r="159" spans="1:4">
      <c r="A159" s="387" t="str">
        <f t="shared" si="22"/>
        <v>Hillsborough Community College</v>
      </c>
      <c r="B159" s="1108">
        <v>1535676</v>
      </c>
    </row>
    <row r="160" spans="1:4">
      <c r="A160" s="387" t="str">
        <f t="shared" si="22"/>
        <v>Indian River State College</v>
      </c>
      <c r="B160" s="1108">
        <v>861594</v>
      </c>
    </row>
    <row r="161" spans="1:2">
      <c r="A161" s="387" t="str">
        <f t="shared" si="22"/>
        <v>Florida Gateway College</v>
      </c>
      <c r="B161" s="1108">
        <v>234886</v>
      </c>
    </row>
    <row r="162" spans="1:2">
      <c r="A162" s="387" t="str">
        <f t="shared" si="22"/>
        <v>Lake-Sumter State College</v>
      </c>
      <c r="B162" s="1108">
        <v>334183</v>
      </c>
    </row>
    <row r="163" spans="1:2">
      <c r="A163" s="387" t="str">
        <f t="shared" si="22"/>
        <v>State College of Florida, Manatee-Sarasota</v>
      </c>
      <c r="B163" s="1108">
        <v>538310</v>
      </c>
    </row>
    <row r="164" spans="1:2">
      <c r="A164" s="387" t="str">
        <f t="shared" si="22"/>
        <v>Miami Dade College</v>
      </c>
      <c r="B164" s="1108">
        <v>4079933</v>
      </c>
    </row>
    <row r="165" spans="1:2">
      <c r="A165" s="387" t="str">
        <f t="shared" si="22"/>
        <v>North Florida College</v>
      </c>
      <c r="B165" s="1108">
        <v>134140</v>
      </c>
    </row>
    <row r="166" spans="1:2">
      <c r="A166" s="387" t="str">
        <f t="shared" si="22"/>
        <v>Northwest Florida State College</v>
      </c>
      <c r="B166" s="1108">
        <v>337943</v>
      </c>
    </row>
    <row r="167" spans="1:2">
      <c r="A167" s="387" t="str">
        <f t="shared" si="22"/>
        <v>Palm Beach State College</v>
      </c>
      <c r="B167" s="1108">
        <v>1362933</v>
      </c>
    </row>
    <row r="168" spans="1:2">
      <c r="A168" s="387" t="str">
        <f t="shared" si="22"/>
        <v>Pasco-Hernando State College</v>
      </c>
      <c r="B168" s="1108">
        <v>656969</v>
      </c>
    </row>
    <row r="169" spans="1:2">
      <c r="A169" s="387" t="str">
        <f t="shared" si="22"/>
        <v>Pensacola State College</v>
      </c>
      <c r="B169" s="1108">
        <v>468310</v>
      </c>
    </row>
    <row r="170" spans="1:2">
      <c r="A170" s="387" t="str">
        <f t="shared" si="22"/>
        <v>Polk State College</v>
      </c>
      <c r="B170" s="1108">
        <v>612408</v>
      </c>
    </row>
    <row r="171" spans="1:2">
      <c r="A171" s="387" t="str">
        <f t="shared" si="22"/>
        <v>St. Johns River State College</v>
      </c>
      <c r="B171" s="1108">
        <v>432461</v>
      </c>
    </row>
    <row r="172" spans="1:2">
      <c r="A172" s="387" t="str">
        <f t="shared" si="22"/>
        <v>St. Petersburg College</v>
      </c>
      <c r="B172" s="1108">
        <v>1662776</v>
      </c>
    </row>
    <row r="173" spans="1:2">
      <c r="A173" s="387" t="str">
        <f t="shared" si="22"/>
        <v>Santa Fe College</v>
      </c>
      <c r="B173" s="1108">
        <v>1069199</v>
      </c>
    </row>
    <row r="174" spans="1:2">
      <c r="A174" s="387" t="str">
        <f t="shared" si="22"/>
        <v>Seminole State College of Florida</v>
      </c>
      <c r="B174" s="1108">
        <v>1560101</v>
      </c>
    </row>
    <row r="175" spans="1:2">
      <c r="A175" s="387" t="str">
        <f t="shared" si="22"/>
        <v>South Florida State College</v>
      </c>
      <c r="B175" s="1108">
        <v>188239</v>
      </c>
    </row>
    <row r="176" spans="1:2">
      <c r="A176" s="387" t="str">
        <f t="shared" si="22"/>
        <v>Tallahassee State College</v>
      </c>
      <c r="B176" s="1108">
        <v>1011402</v>
      </c>
    </row>
    <row r="177" spans="1:2" ht="21.75" thickBot="1">
      <c r="A177" s="388" t="str">
        <f t="shared" si="22"/>
        <v>Valencia College</v>
      </c>
      <c r="B177" s="1109">
        <v>4516182</v>
      </c>
    </row>
    <row r="178" spans="1:2" ht="24" thickBot="1">
      <c r="A178" s="389" t="s">
        <v>49</v>
      </c>
      <c r="B178" s="427">
        <f>SUM(B150:B177)</f>
        <v>30000000</v>
      </c>
    </row>
    <row r="180" spans="1:2" ht="36.75" thickBot="1">
      <c r="A180" s="1111" t="s">
        <v>715</v>
      </c>
      <c r="B180" s="1029"/>
    </row>
    <row r="181" spans="1:2" ht="21.75" thickBot="1">
      <c r="A181" s="62"/>
      <c r="B181" s="63" t="s">
        <v>754</v>
      </c>
    </row>
    <row r="182" spans="1:2" ht="21.75" thickBot="1">
      <c r="A182" s="62">
        <v>1</v>
      </c>
      <c r="B182" s="52">
        <v>2</v>
      </c>
    </row>
    <row r="183" spans="1:2" ht="54" thickBot="1">
      <c r="A183" s="1112" t="s">
        <v>694</v>
      </c>
      <c r="B183" s="1106" t="str">
        <f>B5</f>
        <v xml:space="preserve">2024-25 BASE BUDGET </v>
      </c>
    </row>
    <row r="184" spans="1:2" ht="42.75" thickBot="1">
      <c r="A184" s="290" t="s">
        <v>17</v>
      </c>
      <c r="B184" s="23" t="s">
        <v>694</v>
      </c>
    </row>
    <row r="185" spans="1:2">
      <c r="A185" s="407" t="str">
        <f t="shared" ref="A185:A212" si="23">A7</f>
        <v>Eastern Florida State College</v>
      </c>
      <c r="B185" s="1113">
        <v>1305041</v>
      </c>
    </row>
    <row r="186" spans="1:2">
      <c r="A186" s="387" t="str">
        <f t="shared" si="23"/>
        <v>Broward College</v>
      </c>
      <c r="B186" s="1108">
        <v>1431485</v>
      </c>
    </row>
    <row r="187" spans="1:2">
      <c r="A187" s="387" t="str">
        <f t="shared" si="23"/>
        <v>College of Central Florida</v>
      </c>
      <c r="B187" s="1108">
        <v>1049273</v>
      </c>
    </row>
    <row r="188" spans="1:2">
      <c r="A188" s="387" t="str">
        <f t="shared" si="23"/>
        <v>Chipola College</v>
      </c>
      <c r="B188" s="1108">
        <v>432695</v>
      </c>
    </row>
    <row r="189" spans="1:2">
      <c r="A189" s="387" t="str">
        <f t="shared" si="23"/>
        <v>Daytona State College</v>
      </c>
      <c r="B189" s="1108">
        <v>2291042</v>
      </c>
    </row>
    <row r="190" spans="1:2">
      <c r="A190" s="387" t="str">
        <f t="shared" si="23"/>
        <v>Florida SouthWestern State College</v>
      </c>
      <c r="B190" s="1108">
        <v>1383615</v>
      </c>
    </row>
    <row r="191" spans="1:2">
      <c r="A191" s="387" t="str">
        <f t="shared" si="23"/>
        <v>Florida State College at Jacksonville</v>
      </c>
      <c r="B191" s="1108">
        <v>2284275</v>
      </c>
    </row>
    <row r="192" spans="1:2">
      <c r="A192" s="387" t="str">
        <f t="shared" si="23"/>
        <v>College of the Florida Keys</v>
      </c>
      <c r="B192" s="1108">
        <v>338573</v>
      </c>
    </row>
    <row r="193" spans="1:2">
      <c r="A193" s="387" t="str">
        <f t="shared" si="23"/>
        <v>Gulf Coast State College</v>
      </c>
      <c r="B193" s="1108">
        <v>1680100</v>
      </c>
    </row>
    <row r="194" spans="1:2">
      <c r="A194" s="387" t="str">
        <f t="shared" si="23"/>
        <v>Hillsborough Community College</v>
      </c>
      <c r="B194" s="1108">
        <v>653062</v>
      </c>
    </row>
    <row r="195" spans="1:2">
      <c r="A195" s="387" t="str">
        <f t="shared" si="23"/>
        <v>Indian River State College</v>
      </c>
      <c r="B195" s="1108">
        <v>1644383</v>
      </c>
    </row>
    <row r="196" spans="1:2">
      <c r="A196" s="387" t="str">
        <f t="shared" si="23"/>
        <v>Florida Gateway College</v>
      </c>
      <c r="B196" s="1108">
        <v>1502315</v>
      </c>
    </row>
    <row r="197" spans="1:2">
      <c r="A197" s="387" t="str">
        <f t="shared" si="23"/>
        <v>Lake-Sumter State College</v>
      </c>
      <c r="B197" s="1108">
        <v>1203371</v>
      </c>
    </row>
    <row r="198" spans="1:2">
      <c r="A198" s="387" t="str">
        <f t="shared" si="23"/>
        <v>State College of Florida, Manatee-Sarasota</v>
      </c>
      <c r="B198" s="1108">
        <v>1708676</v>
      </c>
    </row>
    <row r="199" spans="1:2">
      <c r="A199" s="387" t="str">
        <f t="shared" si="23"/>
        <v>Miami Dade College</v>
      </c>
      <c r="B199" s="1108">
        <v>2347456</v>
      </c>
    </row>
    <row r="200" spans="1:2">
      <c r="A200" s="387" t="str">
        <f t="shared" si="23"/>
        <v>North Florida College</v>
      </c>
      <c r="B200" s="1108">
        <v>909979</v>
      </c>
    </row>
    <row r="201" spans="1:2">
      <c r="A201" s="387" t="str">
        <f t="shared" si="23"/>
        <v>Northwest Florida State College</v>
      </c>
      <c r="B201" s="1108">
        <v>846604</v>
      </c>
    </row>
    <row r="202" spans="1:2">
      <c r="A202" s="387" t="str">
        <f t="shared" si="23"/>
        <v>Palm Beach State College</v>
      </c>
      <c r="B202" s="1108">
        <v>1637660</v>
      </c>
    </row>
    <row r="203" spans="1:2">
      <c r="A203" s="387" t="str">
        <f t="shared" si="23"/>
        <v>Pasco-Hernando State College</v>
      </c>
      <c r="B203" s="1108">
        <v>2453045</v>
      </c>
    </row>
    <row r="204" spans="1:2">
      <c r="A204" s="387" t="str">
        <f t="shared" si="23"/>
        <v>Pensacola State College</v>
      </c>
      <c r="B204" s="1108">
        <v>1084766</v>
      </c>
    </row>
    <row r="205" spans="1:2">
      <c r="A205" s="387" t="str">
        <f t="shared" si="23"/>
        <v>Polk State College</v>
      </c>
      <c r="B205" s="1108">
        <v>1287984</v>
      </c>
    </row>
    <row r="206" spans="1:2">
      <c r="A206" s="387" t="str">
        <f t="shared" si="23"/>
        <v>St. Johns River State College</v>
      </c>
      <c r="B206" s="1108">
        <v>1161973</v>
      </c>
    </row>
    <row r="207" spans="1:2">
      <c r="A207" s="387" t="str">
        <f t="shared" si="23"/>
        <v>St. Petersburg College</v>
      </c>
      <c r="B207" s="1108">
        <v>2139506</v>
      </c>
    </row>
    <row r="208" spans="1:2">
      <c r="A208" s="387" t="str">
        <f t="shared" si="23"/>
        <v>Santa Fe College</v>
      </c>
      <c r="B208" s="1108">
        <v>1764750</v>
      </c>
    </row>
    <row r="209" spans="1:2">
      <c r="A209" s="387" t="str">
        <f t="shared" si="23"/>
        <v>Seminole State College of Florida</v>
      </c>
      <c r="B209" s="1108">
        <v>1473391</v>
      </c>
    </row>
    <row r="210" spans="1:2">
      <c r="A210" s="387" t="str">
        <f t="shared" si="23"/>
        <v>South Florida State College</v>
      </c>
      <c r="B210" s="1108">
        <v>1194691</v>
      </c>
    </row>
    <row r="211" spans="1:2">
      <c r="A211" s="387" t="str">
        <f t="shared" si="23"/>
        <v>Tallahassee State College</v>
      </c>
      <c r="B211" s="1108">
        <v>678930</v>
      </c>
    </row>
    <row r="212" spans="1:2" ht="21.75" thickBot="1">
      <c r="A212" s="388" t="str">
        <f t="shared" si="23"/>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topLeftCell="A80" colorId="22" zoomScale="90" zoomScaleNormal="90" zoomScaleSheetLayoutView="51" zoomScalePageLayoutView="60" workbookViewId="0">
      <selection activeCell="G93" sqref="G93"/>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722</v>
      </c>
      <c r="B2" s="901"/>
      <c r="C2" s="901"/>
      <c r="D2" s="901"/>
      <c r="E2" s="901"/>
      <c r="F2" s="901"/>
      <c r="G2" s="901"/>
    </row>
    <row r="3" spans="1:9" ht="20.100000000000001" customHeight="1">
      <c r="A3" s="901"/>
      <c r="B3" s="901"/>
      <c r="C3" s="901"/>
      <c r="D3" s="901"/>
      <c r="E3" s="901"/>
      <c r="F3" s="901"/>
      <c r="G3" s="901"/>
      <c r="H3" s="88"/>
    </row>
    <row r="4" spans="1:9" ht="28.35" customHeight="1">
      <c r="A4" s="1126" t="s">
        <v>710</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41</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737</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0.18466696125180448</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720</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19500</v>
      </c>
      <c r="E44" s="114">
        <f>+'EXHIBIT C'!F10</f>
        <v>24300.2235</v>
      </c>
      <c r="F44" s="115">
        <f t="shared" ref="F44:F50" si="0">IF(D44=0,"0",(E44/D44-1))</f>
        <v>0.2461653076923076</v>
      </c>
      <c r="G44" s="116" t="str">
        <f t="shared" ref="G44:G50" si="1">IF(OR(F44&gt;3%, F44&lt;-3%),"YES","NO")</f>
        <v>YES</v>
      </c>
      <c r="H44" s="88"/>
    </row>
    <row r="45" spans="1:8" ht="20.100000000000001" customHeight="1">
      <c r="C45" s="117" t="s">
        <v>126</v>
      </c>
      <c r="D45" s="650">
        <f>VLOOKUP($D$7,VLOOKUP!$A$109:$S$137,5)*30+D60</f>
        <v>75648.632645627047</v>
      </c>
      <c r="E45" s="118">
        <f>+'EXHIBIT C'!F11</f>
        <v>89037.825000000012</v>
      </c>
      <c r="F45" s="651">
        <f t="shared" si="0"/>
        <v>0.17699186206172546</v>
      </c>
      <c r="G45" s="652" t="str">
        <f t="shared" si="1"/>
        <v>YES</v>
      </c>
      <c r="H45" s="88"/>
    </row>
    <row r="46" spans="1:8" ht="20.100000000000001" customHeight="1">
      <c r="C46" s="653" t="s">
        <v>127</v>
      </c>
      <c r="D46" s="654">
        <f>VLOOKUP($D$7,VLOOKUP!$A$109:$S$137,8)*30</f>
        <v>36654.460063897757</v>
      </c>
      <c r="E46" s="655">
        <f>+'EXHIBIT C'!F12</f>
        <v>36253.420000000006</v>
      </c>
      <c r="F46" s="651">
        <f t="shared" si="0"/>
        <v>-1.0941098660262383E-2</v>
      </c>
      <c r="G46" s="652" t="str">
        <f t="shared" si="1"/>
        <v>NO</v>
      </c>
      <c r="H46" s="88"/>
    </row>
    <row r="47" spans="1:8" ht="20.100000000000001" customHeight="1">
      <c r="C47" s="653" t="s">
        <v>76</v>
      </c>
      <c r="D47" s="654">
        <f>VLOOKUP($D$7,VLOOKUP!$A$109:$S$137,17)*30</f>
        <v>3836.1714855433697</v>
      </c>
      <c r="E47" s="655">
        <f>+'EXHIBIT C'!F13</f>
        <v>4862.63</v>
      </c>
      <c r="F47" s="651">
        <f t="shared" si="0"/>
        <v>0.26757367816450439</v>
      </c>
      <c r="G47" s="652" t="str">
        <f t="shared" si="1"/>
        <v>YES</v>
      </c>
      <c r="H47" s="88"/>
    </row>
    <row r="48" spans="1:8" ht="20.100000000000001" customHeight="1">
      <c r="C48" s="653" t="s">
        <v>128</v>
      </c>
      <c r="D48" s="654">
        <f>VLOOKUP($D$7,VLOOKUP!$A$109:$S$137,11)*30</f>
        <v>2542.6621160409554</v>
      </c>
      <c r="E48" s="655">
        <f>+'EXHIBIT C'!F14</f>
        <v>1569.93</v>
      </c>
      <c r="F48" s="651">
        <f t="shared" si="0"/>
        <v>-0.38256444295302006</v>
      </c>
      <c r="G48" s="652" t="str">
        <f t="shared" si="1"/>
        <v>YES</v>
      </c>
      <c r="H48" s="88"/>
    </row>
    <row r="49" spans="3:8" ht="20.100000000000001" customHeight="1" thickBot="1">
      <c r="C49" s="656" t="s">
        <v>129</v>
      </c>
      <c r="D49" s="657">
        <f>VLOOKUP($D$7,VLOOKUP!$A$109:$S$137,14)*30</f>
        <v>480</v>
      </c>
      <c r="E49" s="658">
        <f>+'EXHIBIT C'!F15</f>
        <v>450</v>
      </c>
      <c r="F49" s="659">
        <f t="shared" si="0"/>
        <v>-6.25E-2</v>
      </c>
      <c r="G49" s="660" t="str">
        <f t="shared" si="1"/>
        <v>YES</v>
      </c>
      <c r="H49" s="88"/>
    </row>
    <row r="50" spans="3:8" ht="20.100000000000001" customHeight="1" thickBot="1">
      <c r="C50" s="119" t="s">
        <v>49</v>
      </c>
      <c r="D50" s="120">
        <f>SUM(D44:D49)</f>
        <v>138661.9263111091</v>
      </c>
      <c r="E50" s="121">
        <f>+'EXHIBIT C'!F17</f>
        <v>156474.02850000001</v>
      </c>
      <c r="F50" s="122">
        <f t="shared" si="0"/>
        <v>0.12845705135328034</v>
      </c>
      <c r="G50" s="123" t="str">
        <f t="shared" si="1"/>
        <v>YES</v>
      </c>
      <c r="H50" s="88"/>
    </row>
    <row r="51" spans="3:8" ht="46.5" customHeight="1" thickBot="1">
      <c r="C51" s="904" t="s">
        <v>130</v>
      </c>
      <c r="D51" s="905"/>
      <c r="E51" s="905"/>
      <c r="F51" s="905"/>
      <c r="G51" s="906"/>
      <c r="H51" s="88"/>
    </row>
    <row r="52" spans="3:8" ht="24.6" customHeight="1" thickBot="1">
      <c r="C52" s="828" t="s">
        <v>711</v>
      </c>
      <c r="D52" s="829"/>
      <c r="E52" s="829"/>
      <c r="F52" s="829"/>
      <c r="G52" s="830"/>
      <c r="H52" s="124"/>
    </row>
    <row r="53" spans="3:8" ht="205.5" customHeight="1" thickBot="1">
      <c r="C53" s="1086" t="s">
        <v>786</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260</v>
      </c>
      <c r="F59" s="662" t="str">
        <f t="shared" ref="F59:F65" si="2">IF(D59=0,"0",(E59/D59-1))</f>
        <v>0</v>
      </c>
      <c r="G59" s="663" t="str">
        <f>IF(OR(F59&gt;5%, F59&lt;-5%),"YES","NO")</f>
        <v>NO</v>
      </c>
    </row>
    <row r="60" spans="3:8" ht="20.100000000000001" customHeight="1">
      <c r="C60" s="117" t="s">
        <v>126</v>
      </c>
      <c r="D60" s="661">
        <f>VLOOKUP($D$7,VLOOKUP!$A$109:$S$137,6)*30</f>
        <v>2453.1787925952913</v>
      </c>
      <c r="E60" s="131">
        <f>+'EXHIBIT C'!D20</f>
        <v>2575</v>
      </c>
      <c r="F60" s="662">
        <f t="shared" si="2"/>
        <v>4.9658511549347972E-2</v>
      </c>
      <c r="G60" s="663" t="str">
        <f t="shared" ref="G60:G65" si="3">IF(OR(F60&gt;5%, F60&lt;-5%),"YES","NO")</f>
        <v>NO</v>
      </c>
      <c r="H60" s="88"/>
    </row>
    <row r="61" spans="3:8" ht="20.100000000000001" customHeight="1">
      <c r="C61" s="653" t="s">
        <v>127</v>
      </c>
      <c r="D61" s="664">
        <f>VLOOKUP($D$7,VLOOKUP!$A$109:$S$137,9)*30</f>
        <v>829.92412140575084</v>
      </c>
      <c r="E61" s="665">
        <f>+'EXHIBIT C'!D21</f>
        <v>875</v>
      </c>
      <c r="F61" s="662">
        <f t="shared" si="2"/>
        <v>5.4313252780143539E-2</v>
      </c>
      <c r="G61" s="663" t="str">
        <f t="shared" si="3"/>
        <v>YES</v>
      </c>
      <c r="H61" s="88"/>
    </row>
    <row r="62" spans="3:8" ht="20.100000000000001" customHeight="1">
      <c r="C62" s="653" t="s">
        <v>76</v>
      </c>
      <c r="D62" s="664">
        <f>VLOOKUP($D$7,VLOOKUP!$A$109:$S$137,18)*30</f>
        <v>3.8285144566301104</v>
      </c>
      <c r="E62" s="665">
        <f>+'EXHIBIT C'!D22</f>
        <v>0</v>
      </c>
      <c r="F62" s="662">
        <f t="shared" si="2"/>
        <v>-1</v>
      </c>
      <c r="G62" s="663" t="str">
        <f t="shared" si="3"/>
        <v>YES</v>
      </c>
      <c r="H62" s="88"/>
    </row>
    <row r="63" spans="3:8" ht="20.100000000000001" customHeight="1">
      <c r="C63" s="653" t="s">
        <v>128</v>
      </c>
      <c r="D63" s="664">
        <f>VLOOKUP($D$7,VLOOKUP!$A$109:$S$137,12)*30</f>
        <v>457.3378839590444</v>
      </c>
      <c r="E63" s="665">
        <f>+'EXHIBIT C'!D23</f>
        <v>285</v>
      </c>
      <c r="F63" s="662">
        <f t="shared" si="2"/>
        <v>-0.37682835820895533</v>
      </c>
      <c r="G63" s="663" t="str">
        <f t="shared" si="3"/>
        <v>YES</v>
      </c>
      <c r="H63" s="88"/>
    </row>
    <row r="64" spans="3:8" ht="20.100000000000001" customHeight="1" thickBot="1">
      <c r="C64" s="656" t="s">
        <v>129</v>
      </c>
      <c r="D64" s="666">
        <f>VLOOKUP($D$7,VLOOKUP!$A$109:$S$137,15)*30</f>
        <v>0</v>
      </c>
      <c r="E64" s="667">
        <f>+'EXHIBIT C'!D24</f>
        <v>50</v>
      </c>
      <c r="F64" s="668" t="str">
        <f t="shared" si="2"/>
        <v>0</v>
      </c>
      <c r="G64" s="669" t="str">
        <f t="shared" si="3"/>
        <v>NO</v>
      </c>
      <c r="H64" s="88"/>
    </row>
    <row r="65" spans="1:8" ht="20.100000000000001" customHeight="1" thickBot="1">
      <c r="C65" s="119" t="s">
        <v>49</v>
      </c>
      <c r="D65" s="132">
        <f>SUM(D59:D64)</f>
        <v>3744.2693124167172</v>
      </c>
      <c r="E65" s="133">
        <f>SUM(E59:E64)</f>
        <v>4045</v>
      </c>
      <c r="F65" s="134">
        <f t="shared" si="2"/>
        <v>8.0317590026444341E-2</v>
      </c>
      <c r="G65" s="135" t="str">
        <f t="shared" si="3"/>
        <v>YES</v>
      </c>
      <c r="H65" s="88"/>
    </row>
    <row r="66" spans="1:8" ht="42" customHeight="1" thickBot="1">
      <c r="C66" s="904" t="s">
        <v>135</v>
      </c>
      <c r="D66" s="905"/>
      <c r="E66" s="905"/>
      <c r="F66" s="905"/>
      <c r="G66" s="906"/>
      <c r="H66" s="88"/>
    </row>
    <row r="67" spans="1:8" ht="24.6" customHeight="1" thickBot="1">
      <c r="A67" s="98"/>
      <c r="B67" s="98"/>
      <c r="C67" s="825" t="s">
        <v>711</v>
      </c>
      <c r="D67" s="826"/>
      <c r="E67" s="826"/>
      <c r="F67" s="826"/>
      <c r="G67" s="827"/>
      <c r="H67" s="88"/>
    </row>
    <row r="68" spans="1:8" ht="227.25" customHeight="1" thickBot="1">
      <c r="A68" s="98"/>
      <c r="B68" s="98"/>
      <c r="C68" s="1089" t="s">
        <v>782</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43580224.848735243</v>
      </c>
      <c r="E84" s="1127">
        <f>+'EXHIBIT D'!G76</f>
        <v>43580224.848735243</v>
      </c>
      <c r="F84" s="1127">
        <f>D84-E84</f>
        <v>0</v>
      </c>
      <c r="G84" s="88"/>
      <c r="H84" s="88"/>
    </row>
    <row r="85" spans="1:8" ht="20.100000000000001" customHeight="1">
      <c r="A85" s="98"/>
      <c r="B85" s="98"/>
      <c r="C85" s="672" t="s">
        <v>150</v>
      </c>
      <c r="D85" s="671">
        <f>VLOOKUP($D$7,VLOOKUP!$A$150:$B$178,2)</f>
        <v>612408</v>
      </c>
      <c r="E85" s="1127">
        <f>'EXHIBIT D'!G78</f>
        <v>612408</v>
      </c>
      <c r="F85" s="1127">
        <f>D85-E85</f>
        <v>0</v>
      </c>
      <c r="G85" s="88"/>
      <c r="H85" s="88"/>
    </row>
    <row r="86" spans="1:8" ht="20.100000000000001" customHeight="1">
      <c r="A86" s="98"/>
      <c r="B86" s="98"/>
      <c r="C86" s="672" t="s">
        <v>151</v>
      </c>
      <c r="D86" s="671">
        <f>VLOOKUP($D$7,VLOOKUP!$A$7:$E$35,3)</f>
        <v>6479015.1512647606</v>
      </c>
      <c r="E86" s="1127">
        <f>'EXHIBIT D'!G82</f>
        <v>6479015.1512647606</v>
      </c>
      <c r="F86" s="1127">
        <f>D86-E86</f>
        <v>0</v>
      </c>
      <c r="G86" s="88"/>
      <c r="H86" s="88"/>
    </row>
    <row r="87" spans="1:8" ht="20.100000000000001" customHeight="1" thickBot="1">
      <c r="A87" s="97"/>
      <c r="B87" s="97"/>
      <c r="C87" s="143" t="s">
        <v>694</v>
      </c>
      <c r="D87" s="671">
        <f>VLOOKUP($D$7,VLOOKUP!$A$185:$B$213,2)</f>
        <v>1287984</v>
      </c>
      <c r="E87" s="1128">
        <f>'EXHIBIT D'!G77</f>
        <v>1287984</v>
      </c>
      <c r="F87" s="1127">
        <f>D87-E87</f>
        <v>0</v>
      </c>
      <c r="G87" s="88"/>
      <c r="H87" s="88"/>
    </row>
    <row r="88" spans="1:8" ht="20.100000000000001" customHeight="1" thickBot="1">
      <c r="A88" s="97"/>
      <c r="B88" s="97"/>
      <c r="C88" s="144" t="s">
        <v>152</v>
      </c>
      <c r="D88" s="145">
        <f>SUM(D84:D87)</f>
        <v>51959632</v>
      </c>
      <c r="E88" s="145">
        <f>SUM(E84:E87)</f>
        <v>51959632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738</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16791374</v>
      </c>
      <c r="D101" s="819" t="s">
        <v>739</v>
      </c>
      <c r="E101" s="819"/>
      <c r="F101" s="819"/>
      <c r="G101" s="88"/>
      <c r="H101" s="88"/>
    </row>
    <row r="102" spans="1:8" ht="20.100000000000001" customHeight="1">
      <c r="A102" s="95"/>
      <c r="B102" s="95"/>
      <c r="C102" s="674">
        <f>'EXHIBIT D'!G267-'EXHIBIT D'!G253-'EXHIBIT D'!G265</f>
        <v>16791374</v>
      </c>
      <c r="D102" s="821" t="s">
        <v>740</v>
      </c>
      <c r="E102" s="821"/>
      <c r="F102" s="821"/>
      <c r="G102" s="88"/>
      <c r="H102" s="88"/>
    </row>
    <row r="103" spans="1:8" ht="66.599999999999994" customHeight="1">
      <c r="A103" s="151"/>
      <c r="B103" s="151"/>
      <c r="C103" s="675">
        <f>C101-C102</f>
        <v>0</v>
      </c>
      <c r="D103" s="909" t="s">
        <v>703</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708</v>
      </c>
      <c r="D106" s="902"/>
      <c r="E106" s="902"/>
      <c r="F106" s="902"/>
      <c r="G106" s="902"/>
      <c r="H106" s="820"/>
    </row>
    <row r="107" spans="1:8" ht="20.100000000000001" customHeight="1">
      <c r="A107" s="151"/>
      <c r="B107" s="151"/>
    </row>
    <row r="108" spans="1:8" ht="24.75" customHeight="1">
      <c r="A108" s="151"/>
      <c r="B108" s="151"/>
      <c r="C108" s="154">
        <f>'EXHIBIT A'!E14</f>
        <v>4120567</v>
      </c>
      <c r="D108" s="17" t="s">
        <v>741</v>
      </c>
    </row>
    <row r="109" spans="1:8" ht="26.25" customHeight="1">
      <c r="A109" s="151"/>
      <c r="B109" s="151"/>
      <c r="C109" s="676">
        <f>'EXHIBIT A'!E36</f>
        <v>4120567</v>
      </c>
      <c r="D109" s="17" t="s">
        <v>742</v>
      </c>
    </row>
    <row r="110" spans="1:8" ht="26.1" customHeight="1">
      <c r="A110" s="151"/>
      <c r="B110" s="151"/>
      <c r="C110" s="677">
        <f>C108-C109</f>
        <v>0</v>
      </c>
      <c r="D110" s="89" t="s">
        <v>160</v>
      </c>
      <c r="E110" s="89"/>
      <c r="F110" s="89"/>
      <c r="G110" s="89"/>
    </row>
    <row r="111" spans="1:8" ht="20.100000000000001" customHeight="1">
      <c r="A111" s="151"/>
      <c r="B111" s="151"/>
      <c r="C111" s="154"/>
    </row>
    <row r="112" spans="1:8" ht="26.1" customHeight="1">
      <c r="A112" s="151"/>
      <c r="B112" s="151"/>
      <c r="C112" s="675">
        <f>'EXHIBIT D'!G187</f>
        <v>0</v>
      </c>
      <c r="D112" s="148" t="s">
        <v>161</v>
      </c>
      <c r="E112" s="92"/>
      <c r="F112" s="92"/>
    </row>
    <row r="113" spans="1:8" ht="20.100000000000001" customHeight="1"/>
    <row r="114" spans="1:8" ht="38.450000000000003" customHeight="1">
      <c r="C114" s="1130">
        <f>C110+C112</f>
        <v>0</v>
      </c>
      <c r="D114" s="909" t="s">
        <v>704</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91.790019955989294</v>
      </c>
      <c r="D119" s="17" t="s">
        <v>81</v>
      </c>
    </row>
    <row r="120" spans="1:8" ht="20.100000000000001" customHeight="1">
      <c r="C120" s="157"/>
    </row>
    <row r="121" spans="1:8" ht="20.100000000000001" customHeight="1">
      <c r="C121" s="158">
        <f>IF('EXHIBIT G'!D119=0,"No Credit Hours or Not Applicable",('EXHIBIT G'!D119/'EXHIBIT C'!D19))</f>
        <v>289.31153846153848</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705</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706</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707</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712</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723</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Polk State College</v>
      </c>
      <c r="D8" s="836"/>
      <c r="E8" s="836"/>
      <c r="F8" s="283"/>
      <c r="G8" s="283"/>
    </row>
    <row r="9" spans="2:7" ht="25.35" customHeight="1"/>
    <row r="10" spans="2:7" ht="41.45" customHeight="1">
      <c r="E10" s="577" t="s">
        <v>173</v>
      </c>
    </row>
    <row r="11" spans="2:7" ht="25.35" customHeight="1">
      <c r="B11" s="28" t="s">
        <v>728</v>
      </c>
      <c r="D11" s="28"/>
      <c r="E11" s="161"/>
    </row>
    <row r="12" spans="2:7" ht="25.35" customHeight="1">
      <c r="B12" s="28"/>
      <c r="C12" s="28"/>
      <c r="D12" s="28"/>
    </row>
    <row r="13" spans="2:7" ht="25.35" customHeight="1">
      <c r="B13" s="17" t="s">
        <v>729</v>
      </c>
      <c r="C13" s="28"/>
      <c r="D13" s="28"/>
      <c r="E13" s="1135">
        <f>16791374</f>
        <v>16791374</v>
      </c>
    </row>
    <row r="14" spans="2:7" ht="25.35" customHeight="1">
      <c r="B14" s="17" t="s">
        <v>174</v>
      </c>
      <c r="D14" s="28"/>
      <c r="E14" s="1136">
        <v>4120567</v>
      </c>
    </row>
    <row r="15" spans="2:7" ht="25.35" customHeight="1">
      <c r="B15" s="28"/>
      <c r="D15" s="28"/>
      <c r="E15" s="162"/>
    </row>
    <row r="16" spans="2:7" ht="25.35" customHeight="1">
      <c r="B16" s="17" t="s">
        <v>730</v>
      </c>
      <c r="C16" s="28"/>
      <c r="D16" s="28"/>
      <c r="E16" s="578">
        <f>+E14+E13</f>
        <v>20911941</v>
      </c>
    </row>
    <row r="17" spans="2:7" ht="25.35" customHeight="1">
      <c r="B17" s="28"/>
      <c r="C17" s="28"/>
      <c r="D17" s="28"/>
      <c r="E17" s="163"/>
    </row>
    <row r="18" spans="2:7" ht="25.35" customHeight="1">
      <c r="B18" s="17" t="s">
        <v>175</v>
      </c>
      <c r="C18" s="28"/>
      <c r="D18" s="28"/>
      <c r="E18" s="173">
        <f>+'EXHIBIT D'!G143-SUM(+'EXHIBIT D'!G133+'EXHIBIT D'!G134)</f>
        <v>70015932</v>
      </c>
      <c r="G18" s="138"/>
    </row>
    <row r="19" spans="2:7" ht="25.35" customHeight="1">
      <c r="B19" s="17" t="s">
        <v>176</v>
      </c>
      <c r="D19" s="28"/>
      <c r="E19" s="578">
        <f>+'EXHIBIT D'!G133+'EXHIBIT D'!G134</f>
        <v>0</v>
      </c>
    </row>
    <row r="20" spans="2:7" ht="25.35" customHeight="1">
      <c r="B20" s="28"/>
      <c r="D20" s="28"/>
      <c r="E20" s="168"/>
    </row>
    <row r="21" spans="2:7" ht="25.35" customHeight="1">
      <c r="B21" s="17" t="s">
        <v>177</v>
      </c>
      <c r="C21" s="28"/>
      <c r="D21" s="28"/>
      <c r="E21" s="579">
        <f>+E19+E18</f>
        <v>70015932</v>
      </c>
    </row>
    <row r="22" spans="2:7" ht="25.35" customHeight="1">
      <c r="B22" s="28"/>
      <c r="C22" s="28"/>
      <c r="D22" s="28"/>
      <c r="E22" s="168"/>
    </row>
    <row r="23" spans="2:7" ht="25.35" customHeight="1">
      <c r="B23" s="28" t="s">
        <v>178</v>
      </c>
      <c r="C23" s="28"/>
      <c r="D23" s="28"/>
      <c r="E23" s="579">
        <f>+E21+E16</f>
        <v>90927873</v>
      </c>
    </row>
    <row r="24" spans="2:7" ht="25.35" customHeight="1">
      <c r="B24" s="28"/>
      <c r="C24" s="28"/>
      <c r="D24" s="28"/>
      <c r="E24" s="168"/>
    </row>
    <row r="25" spans="2:7" ht="25.35" customHeight="1">
      <c r="B25" s="17" t="s">
        <v>179</v>
      </c>
      <c r="C25" s="28"/>
      <c r="D25" s="28"/>
      <c r="E25" s="174">
        <f>'EXHIBIT D'!G249-SUM(+'EXHIBIT D'!G223+'EXHIBIT D'!G224)</f>
        <v>68715932</v>
      </c>
    </row>
    <row r="26" spans="2:7" ht="25.35" customHeight="1">
      <c r="B26" s="17" t="s">
        <v>180</v>
      </c>
      <c r="D26" s="28"/>
      <c r="E26" s="578">
        <f>'EXHIBIT D'!G223+'EXHIBIT D'!G224</f>
        <v>1300000</v>
      </c>
    </row>
    <row r="27" spans="2:7" ht="25.35" customHeight="1">
      <c r="B27" s="28"/>
      <c r="D27" s="28"/>
      <c r="E27" s="168"/>
    </row>
    <row r="28" spans="2:7" ht="25.35" customHeight="1">
      <c r="B28" s="28" t="s">
        <v>181</v>
      </c>
      <c r="C28" s="28"/>
      <c r="D28" s="28"/>
      <c r="E28" s="580">
        <f>+E26+E25</f>
        <v>70015932</v>
      </c>
    </row>
    <row r="29" spans="2:7" ht="25.35" customHeight="1">
      <c r="B29" s="28"/>
      <c r="C29" s="28"/>
      <c r="D29" s="28"/>
      <c r="E29" s="164"/>
    </row>
    <row r="30" spans="2:7" ht="25.35" customHeight="1">
      <c r="B30" s="28" t="s">
        <v>731</v>
      </c>
      <c r="C30" s="28"/>
      <c r="D30" s="28"/>
      <c r="E30" s="164"/>
    </row>
    <row r="31" spans="2:7" ht="25.35" customHeight="1">
      <c r="B31" s="28"/>
      <c r="C31" s="28"/>
      <c r="D31" s="28"/>
      <c r="E31" s="164"/>
    </row>
    <row r="32" spans="2:7" ht="25.35" customHeight="1">
      <c r="B32" s="17" t="s">
        <v>182</v>
      </c>
      <c r="C32" s="28"/>
      <c r="D32" s="165">
        <f>+E23-E28</f>
        <v>20911941</v>
      </c>
      <c r="E32" s="164"/>
    </row>
    <row r="33" spans="2:10" ht="25.35" customHeight="1">
      <c r="B33" s="17" t="s">
        <v>183</v>
      </c>
      <c r="C33" s="28"/>
      <c r="D33" s="581">
        <f>+'EXHIBIT D'!G187</f>
        <v>0</v>
      </c>
      <c r="E33" s="164"/>
    </row>
    <row r="34" spans="2:10" ht="25.35" customHeight="1">
      <c r="B34" s="28"/>
      <c r="D34" s="28"/>
      <c r="E34" s="164"/>
      <c r="J34" s="166"/>
    </row>
    <row r="35" spans="2:10" ht="25.35" customHeight="1">
      <c r="B35" s="17" t="s">
        <v>732</v>
      </c>
      <c r="C35" s="28"/>
      <c r="D35" s="28"/>
      <c r="E35" s="167">
        <f>+D32+D33</f>
        <v>20911941</v>
      </c>
    </row>
    <row r="36" spans="2:10" ht="25.35" customHeight="1">
      <c r="B36" s="17" t="s">
        <v>733</v>
      </c>
      <c r="C36" s="28"/>
      <c r="D36" s="28"/>
      <c r="E36" s="579">
        <f>-'EXHIBIT D'!G265</f>
        <v>4120567</v>
      </c>
      <c r="J36" s="48"/>
    </row>
    <row r="37" spans="2:10" ht="25.35" customHeight="1">
      <c r="D37" s="28"/>
      <c r="E37" s="167"/>
    </row>
    <row r="38" spans="2:10" ht="25.35" customHeight="1">
      <c r="B38" s="28" t="s">
        <v>734</v>
      </c>
      <c r="D38" s="28"/>
      <c r="E38" s="578">
        <f>+E35-E36</f>
        <v>16791374</v>
      </c>
    </row>
    <row r="39" spans="2:10" ht="25.35" customHeight="1">
      <c r="B39" s="28"/>
      <c r="C39" s="28"/>
      <c r="D39" s="28"/>
      <c r="E39" s="168"/>
    </row>
    <row r="40" spans="2:10" ht="25.35" customHeight="1">
      <c r="B40" s="17" t="s">
        <v>735</v>
      </c>
      <c r="C40" s="28"/>
      <c r="D40" s="28"/>
      <c r="E40" s="580">
        <f>'EXHIBIT D'!G254+'EXHIBIT D'!G255+'EXHIBIT D'!G256+'EXHIBIT D'!G257+'EXHIBIT D'!G258+'EXHIBIT D'!G259+'EXHIBIT D'!G260+'EXHIBIT D'!G261</f>
        <v>16791374</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736</v>
      </c>
      <c r="C44" s="28"/>
      <c r="D44" s="28"/>
      <c r="E44" s="582">
        <f>+E40/E23</f>
        <v>0.18466696125180448</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lQkW6WPE5oS1Ynj7gJ7CBSc68oOU5igAh/JsWmJvzHB9lM4HAgkhzD+XbceVZu/XHi6i+L5Z7WC2N3wXcFf+hQ==" saltValue="CyH+2mAo2pLAWMMLPO3b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60" zoomScaleNormal="6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724</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Polk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4.59</v>
      </c>
      <c r="D14" s="962">
        <v>9.18</v>
      </c>
      <c r="E14" s="962">
        <v>12.74</v>
      </c>
      <c r="F14" s="962">
        <v>4.59</v>
      </c>
      <c r="G14" s="679">
        <f>SUM(B14:F14)</f>
        <v>122.89</v>
      </c>
      <c r="H14" s="365">
        <f>G14*30</f>
        <v>3686.7</v>
      </c>
    </row>
    <row r="15" spans="1:18" s="17" customFormat="1" ht="20.100000000000001" customHeight="1">
      <c r="A15" s="28" t="s">
        <v>201</v>
      </c>
      <c r="B15" s="963">
        <v>82.78</v>
      </c>
      <c r="C15" s="963">
        <v>4.1399999999999997</v>
      </c>
      <c r="D15" s="963">
        <v>8.2799999999999994</v>
      </c>
      <c r="E15" s="963">
        <v>11.88</v>
      </c>
      <c r="F15" s="963">
        <v>4.1399999999999997</v>
      </c>
      <c r="G15" s="679">
        <f>SUM(B15:F15)</f>
        <v>111.22</v>
      </c>
      <c r="H15" s="338">
        <f>G15*30</f>
        <v>3336.6</v>
      </c>
    </row>
    <row r="16" spans="1:18" s="17" customFormat="1" ht="20.100000000000001" customHeight="1" thickBot="1">
      <c r="A16" s="28" t="s">
        <v>76</v>
      </c>
      <c r="B16" s="964">
        <v>73.400000000000006</v>
      </c>
      <c r="C16" s="964">
        <v>0</v>
      </c>
      <c r="D16" s="965"/>
      <c r="E16" s="964">
        <v>3.67</v>
      </c>
      <c r="F16" s="964">
        <v>3.67</v>
      </c>
      <c r="G16" s="339">
        <f>SUM(B16:F16)</f>
        <v>80.740000000000009</v>
      </c>
      <c r="H16" s="680">
        <f>G16*30</f>
        <v>2422.2000000000003</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0</v>
      </c>
      <c r="C20" s="320"/>
      <c r="D20" s="320"/>
      <c r="E20" s="320"/>
      <c r="F20" s="320"/>
      <c r="G20" s="341">
        <f>B20</f>
        <v>0</v>
      </c>
      <c r="H20" s="566">
        <f>G20*3</f>
        <v>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289.31</v>
      </c>
      <c r="D29" s="962">
        <v>19.059999999999999</v>
      </c>
      <c r="E29" s="536">
        <f>D14</f>
        <v>9.18</v>
      </c>
      <c r="F29" s="962">
        <v>40.299999999999997</v>
      </c>
      <c r="G29" s="962">
        <v>19.059999999999999</v>
      </c>
      <c r="H29" s="346">
        <f>SUM(B29:G29)</f>
        <v>468.70000000000005</v>
      </c>
      <c r="I29" s="359">
        <f>H29*30</f>
        <v>14061.000000000002</v>
      </c>
    </row>
    <row r="30" spans="1:11" s="17" customFormat="1" ht="20.100000000000001" customHeight="1">
      <c r="A30" s="28" t="str">
        <f t="shared" si="0"/>
        <v>LOWER LEVEL - CREDIT (A &amp; P, PSV, DEVELOPMENTAL EDUCATION AND EPI)</v>
      </c>
      <c r="B30" s="683">
        <f t="shared" si="0"/>
        <v>82.78</v>
      </c>
      <c r="C30" s="966">
        <v>248.33</v>
      </c>
      <c r="D30" s="966">
        <v>16.559999999999999</v>
      </c>
      <c r="E30" s="684">
        <f>D15</f>
        <v>8.2799999999999994</v>
      </c>
      <c r="F30" s="966">
        <v>35.549999999999997</v>
      </c>
      <c r="G30" s="966">
        <v>16.559999999999999</v>
      </c>
      <c r="H30" s="679">
        <f>SUM(B30:G30)</f>
        <v>408.06</v>
      </c>
      <c r="I30" s="338">
        <f>H30*30</f>
        <v>12241.8</v>
      </c>
    </row>
    <row r="31" spans="1:11" s="17" customFormat="1" ht="20.100000000000001" customHeight="1">
      <c r="A31" s="28" t="str">
        <f t="shared" si="0"/>
        <v>CAREER CERTIFICATE AND APPLIED TECHNOLOGY DIPLOMA</v>
      </c>
      <c r="B31" s="1148">
        <f t="shared" si="0"/>
        <v>73.400000000000006</v>
      </c>
      <c r="C31" s="963">
        <v>220.19</v>
      </c>
      <c r="D31" s="963">
        <v>0</v>
      </c>
      <c r="E31" s="1149"/>
      <c r="F31" s="963">
        <v>14.68</v>
      </c>
      <c r="G31" s="963">
        <v>14.68</v>
      </c>
      <c r="H31" s="1150">
        <f>SUM(B31:G31)</f>
        <v>322.95000000000005</v>
      </c>
      <c r="I31" s="1150">
        <f>H31*30</f>
        <v>9688.5000000000018</v>
      </c>
    </row>
    <row r="32" spans="1:11" s="17" customFormat="1" ht="20.100000000000001" customHeight="1" thickBot="1">
      <c r="A32" s="28" t="s">
        <v>776</v>
      </c>
      <c r="B32" s="1166">
        <v>0</v>
      </c>
      <c r="C32" s="1163">
        <v>0</v>
      </c>
      <c r="D32" s="1163">
        <v>0</v>
      </c>
      <c r="E32" s="1164"/>
      <c r="F32" s="1163">
        <v>0</v>
      </c>
      <c r="G32" s="1163">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0</v>
      </c>
      <c r="C36" s="320"/>
      <c r="D36" s="320"/>
      <c r="E36" s="320"/>
      <c r="F36" s="320"/>
      <c r="G36" s="320"/>
      <c r="H36" s="350">
        <f>B36</f>
        <v>0</v>
      </c>
      <c r="I36" s="687">
        <f>H36*3</f>
        <v>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775</v>
      </c>
      <c r="B41" s="915"/>
      <c r="C41" s="915"/>
      <c r="D41" s="915"/>
      <c r="E41" s="915"/>
      <c r="F41" s="915"/>
      <c r="G41" s="915"/>
      <c r="H41" s="915"/>
      <c r="I41" s="915"/>
      <c r="J41" s="175"/>
    </row>
    <row r="42" spans="1:11" ht="20.25" customHeight="1">
      <c r="A42" s="17" t="s">
        <v>777</v>
      </c>
      <c r="B42" s="177"/>
      <c r="C42" s="177"/>
      <c r="D42" s="177"/>
      <c r="E42" s="177"/>
      <c r="F42" s="177"/>
      <c r="G42" s="177"/>
      <c r="H42" s="177"/>
      <c r="I42" s="177"/>
    </row>
    <row r="43" spans="1:11" ht="20.25" customHeight="1">
      <c r="A43" s="17" t="s">
        <v>778</v>
      </c>
      <c r="B43" s="177"/>
      <c r="C43" s="177"/>
      <c r="D43" s="177"/>
      <c r="E43" s="177"/>
      <c r="F43" s="177"/>
      <c r="G43" s="177"/>
      <c r="H43" s="177"/>
      <c r="I43" s="177"/>
    </row>
    <row r="44" spans="1:11" ht="20.25" customHeight="1">
      <c r="A44" s="17" t="s">
        <v>779</v>
      </c>
      <c r="B44" s="177"/>
      <c r="C44" s="177"/>
      <c r="D44" s="177"/>
      <c r="E44" s="177"/>
      <c r="F44" s="177"/>
      <c r="G44" s="177"/>
      <c r="H44" s="177"/>
      <c r="I44" s="177"/>
    </row>
    <row r="45" spans="1:11" ht="20.25" customHeight="1">
      <c r="A45" s="17" t="s">
        <v>780</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NWujzqRZ3llkkz6Dqy60mKZExp/Uul5GDv4ftxKGpB8wNLOVwPfn1W637eQzxD5e14FNdVC25b9mq77LCPnpNw==" saltValue="Jz1sj3DKAFT7h6UcqvI2d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725</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Polk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f>23592.45*1.03</f>
        <v>24300.2235</v>
      </c>
      <c r="E10" s="539">
        <v>0</v>
      </c>
      <c r="F10" s="540">
        <f t="shared" ref="F10:F15" si="0">+D10-E10</f>
        <v>24300.2235</v>
      </c>
      <c r="G10" s="540">
        <f>'EXHIBIT B'!B14</f>
        <v>91.79</v>
      </c>
      <c r="H10" s="541">
        <f t="shared" ref="H10:H15" si="1">ROUND(+F10*G10,0)</f>
        <v>2230518</v>
      </c>
    </row>
    <row r="11" spans="1:9" ht="20.100000000000001" customHeight="1">
      <c r="A11" s="690" t="s">
        <v>194</v>
      </c>
      <c r="B11" s="690" t="s">
        <v>126</v>
      </c>
      <c r="C11" s="691" t="s">
        <v>221</v>
      </c>
      <c r="D11" s="689">
        <f>117757.5*1.03</f>
        <v>121290.22500000001</v>
      </c>
      <c r="E11" s="689">
        <f>31620*1.02</f>
        <v>32252.400000000001</v>
      </c>
      <c r="F11" s="692">
        <f t="shared" si="0"/>
        <v>89037.825000000012</v>
      </c>
      <c r="G11" s="692">
        <f>+'EXHIBIT B'!B15</f>
        <v>82.78</v>
      </c>
      <c r="H11" s="693">
        <f t="shared" si="1"/>
        <v>7370551</v>
      </c>
    </row>
    <row r="12" spans="1:9" ht="20.100000000000001" customHeight="1">
      <c r="A12" s="690" t="s">
        <v>194</v>
      </c>
      <c r="B12" s="690" t="s">
        <v>127</v>
      </c>
      <c r="C12" s="691" t="s">
        <v>222</v>
      </c>
      <c r="D12" s="689">
        <f>40246*1.03</f>
        <v>41453.380000000005</v>
      </c>
      <c r="E12" s="689">
        <f>5098*1.02</f>
        <v>5199.96</v>
      </c>
      <c r="F12" s="692">
        <f t="shared" si="0"/>
        <v>36253.420000000006</v>
      </c>
      <c r="G12" s="692">
        <f>+'EXHIBIT B'!B15</f>
        <v>82.78</v>
      </c>
      <c r="H12" s="693">
        <f t="shared" si="1"/>
        <v>3001058</v>
      </c>
    </row>
    <row r="13" spans="1:9" ht="20.100000000000001" customHeight="1">
      <c r="A13" s="690" t="s">
        <v>194</v>
      </c>
      <c r="B13" s="690" t="s">
        <v>76</v>
      </c>
      <c r="C13" s="691" t="s">
        <v>223</v>
      </c>
      <c r="D13" s="694">
        <f>4721*1.03</f>
        <v>4862.63</v>
      </c>
      <c r="E13" s="694">
        <v>0</v>
      </c>
      <c r="F13" s="692">
        <f t="shared" si="0"/>
        <v>4862.63</v>
      </c>
      <c r="G13" s="692">
        <f>+'EXHIBIT B'!B16</f>
        <v>73.400000000000006</v>
      </c>
      <c r="H13" s="693">
        <f t="shared" si="1"/>
        <v>356917</v>
      </c>
    </row>
    <row r="14" spans="1:9" ht="20.100000000000001" customHeight="1">
      <c r="A14" s="690" t="s">
        <v>194</v>
      </c>
      <c r="B14" s="690" t="s">
        <v>128</v>
      </c>
      <c r="C14" s="691" t="s">
        <v>224</v>
      </c>
      <c r="D14" s="689">
        <f>2769*1.03</f>
        <v>2852.07</v>
      </c>
      <c r="E14" s="689">
        <f>1257*1.02</f>
        <v>1282.1400000000001</v>
      </c>
      <c r="F14" s="692">
        <f t="shared" si="0"/>
        <v>1569.93</v>
      </c>
      <c r="G14" s="692">
        <f>+'EXHIBIT B'!B15</f>
        <v>82.78</v>
      </c>
      <c r="H14" s="693">
        <f t="shared" si="1"/>
        <v>129959</v>
      </c>
    </row>
    <row r="15" spans="1:9" ht="20.100000000000001" customHeight="1" thickBot="1">
      <c r="A15" s="695" t="s">
        <v>194</v>
      </c>
      <c r="B15" s="695" t="s">
        <v>129</v>
      </c>
      <c r="C15" s="696">
        <v>40160</v>
      </c>
      <c r="D15" s="697">
        <v>450</v>
      </c>
      <c r="E15" s="697">
        <v>0</v>
      </c>
      <c r="F15" s="698">
        <f t="shared" si="0"/>
        <v>450</v>
      </c>
      <c r="G15" s="698">
        <f>+'EXHIBIT B'!B15</f>
        <v>82.78</v>
      </c>
      <c r="H15" s="699">
        <f t="shared" si="1"/>
        <v>37251</v>
      </c>
    </row>
    <row r="16" spans="1:9" ht="24.95" customHeight="1" thickBot="1">
      <c r="A16" s="296"/>
      <c r="B16" s="296"/>
      <c r="C16" s="296"/>
      <c r="D16" s="297"/>
      <c r="E16" s="297"/>
      <c r="F16" s="298"/>
      <c r="G16" s="298"/>
      <c r="H16" s="299"/>
    </row>
    <row r="17" spans="1:9" ht="24.95" customHeight="1" thickBot="1">
      <c r="A17" s="300"/>
      <c r="B17" s="301" t="s">
        <v>225</v>
      </c>
      <c r="C17" s="301"/>
      <c r="D17" s="302">
        <f>SUM(D10:D15)</f>
        <v>195208.52850000001</v>
      </c>
      <c r="E17" s="302">
        <f>SUM(E10:E15)</f>
        <v>38734.5</v>
      </c>
      <c r="F17" s="303">
        <f>SUM(F10:F15)</f>
        <v>156474.02850000001</v>
      </c>
      <c r="G17" s="303"/>
      <c r="H17" s="304">
        <f>SUM(H10:H15)</f>
        <v>13126254</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260</v>
      </c>
      <c r="E19" s="701">
        <f>'EXHIBIT B'!C29</f>
        <v>289.31</v>
      </c>
      <c r="F19" s="702">
        <f t="shared" ref="F19:F25" si="2">ROUND(+D19*E19,0)</f>
        <v>75221</v>
      </c>
      <c r="G19" s="306"/>
      <c r="H19" s="306"/>
    </row>
    <row r="20" spans="1:9" ht="20.100000000000001" customHeight="1">
      <c r="A20" s="641" t="s">
        <v>209</v>
      </c>
      <c r="B20" s="641" t="s">
        <v>126</v>
      </c>
      <c r="C20" s="703" t="s">
        <v>228</v>
      </c>
      <c r="D20" s="710">
        <v>2575</v>
      </c>
      <c r="E20" s="704">
        <f>+'EXHIBIT B'!C30</f>
        <v>248.33</v>
      </c>
      <c r="F20" s="705">
        <f t="shared" si="2"/>
        <v>639450</v>
      </c>
      <c r="G20" s="48"/>
      <c r="H20" s="48"/>
    </row>
    <row r="21" spans="1:9" ht="20.100000000000001" customHeight="1">
      <c r="A21" s="641" t="s">
        <v>209</v>
      </c>
      <c r="B21" s="641" t="s">
        <v>127</v>
      </c>
      <c r="C21" s="703" t="s">
        <v>229</v>
      </c>
      <c r="D21" s="710">
        <v>875</v>
      </c>
      <c r="E21" s="704">
        <f>+'EXHIBIT B'!C30</f>
        <v>248.33</v>
      </c>
      <c r="F21" s="705">
        <f t="shared" si="2"/>
        <v>217289</v>
      </c>
      <c r="G21" s="48"/>
      <c r="H21" s="48"/>
    </row>
    <row r="22" spans="1:9" ht="20.100000000000001" customHeight="1">
      <c r="A22" s="641" t="s">
        <v>209</v>
      </c>
      <c r="B22" s="641" t="s">
        <v>76</v>
      </c>
      <c r="C22" s="703" t="s">
        <v>230</v>
      </c>
      <c r="D22" s="710">
        <v>0</v>
      </c>
      <c r="E22" s="704">
        <f>+'EXHIBIT B'!C31</f>
        <v>220.19</v>
      </c>
      <c r="F22" s="705">
        <f t="shared" si="2"/>
        <v>0</v>
      </c>
      <c r="G22" s="48"/>
      <c r="H22" s="48"/>
    </row>
    <row r="23" spans="1:9" ht="20.100000000000001" customHeight="1">
      <c r="A23" s="641" t="s">
        <v>209</v>
      </c>
      <c r="B23" s="641" t="s">
        <v>128</v>
      </c>
      <c r="C23" s="703" t="s">
        <v>231</v>
      </c>
      <c r="D23" s="710">
        <v>285</v>
      </c>
      <c r="E23" s="704">
        <f>+'EXHIBIT B'!C30</f>
        <v>248.33</v>
      </c>
      <c r="F23" s="705">
        <f t="shared" si="2"/>
        <v>70774</v>
      </c>
      <c r="G23" s="48"/>
      <c r="H23" s="48"/>
    </row>
    <row r="24" spans="1:9" ht="20.100000000000001" customHeight="1">
      <c r="A24" s="1057" t="s">
        <v>209</v>
      </c>
      <c r="B24" s="1057" t="s">
        <v>129</v>
      </c>
      <c r="C24" s="1153">
        <v>40360</v>
      </c>
      <c r="D24" s="1154">
        <v>50</v>
      </c>
      <c r="E24" s="1155">
        <f>+'EXHIBIT B'!C30</f>
        <v>248.33</v>
      </c>
      <c r="F24" s="1156">
        <f t="shared" si="2"/>
        <v>12417</v>
      </c>
      <c r="G24" s="48"/>
      <c r="H24" s="48"/>
    </row>
    <row r="25" spans="1:9" ht="20.100000000000001" customHeight="1" thickBot="1">
      <c r="A25" s="383" t="s">
        <v>209</v>
      </c>
      <c r="B25" s="383" t="s">
        <v>773</v>
      </c>
      <c r="C25" s="1151" t="s">
        <v>774</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4045</v>
      </c>
      <c r="E27" s="708"/>
      <c r="F27" s="709">
        <f>SUM(F19:F25)</f>
        <v>1015151</v>
      </c>
      <c r="G27" s="310"/>
      <c r="H27" s="310"/>
    </row>
    <row r="28" spans="1:9" ht="20.100000000000001" customHeight="1" thickBot="1">
      <c r="A28" s="311" t="s">
        <v>232</v>
      </c>
      <c r="B28" s="311"/>
      <c r="C28" s="311"/>
      <c r="D28" s="311"/>
      <c r="E28" s="311"/>
      <c r="F28" s="312"/>
      <c r="G28" s="542"/>
      <c r="H28" s="313">
        <f>H17+F27</f>
        <v>14141405</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0</v>
      </c>
      <c r="E34" s="710">
        <v>0</v>
      </c>
      <c r="F34" s="704">
        <f>D34-E34</f>
        <v>0</v>
      </c>
      <c r="G34" s="704">
        <f>'EXHIBIT B'!B20</f>
        <v>0</v>
      </c>
      <c r="H34" s="705">
        <f>ROUND(+F34*G34,0)</f>
        <v>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0</v>
      </c>
      <c r="E37" s="316">
        <f>SUM(E33:E36)</f>
        <v>0</v>
      </c>
      <c r="F37" s="317">
        <f>D37-E37</f>
        <v>0</v>
      </c>
      <c r="G37" s="317"/>
      <c r="H37" s="318">
        <f>SUM(H33:H36)</f>
        <v>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14141405</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714</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783</v>
      </c>
      <c r="B55" s="968">
        <v>1300000</v>
      </c>
      <c r="C55" s="1133" t="s">
        <v>784</v>
      </c>
      <c r="D55" s="1134"/>
      <c r="E55" s="970" t="s">
        <v>785</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1300000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c r="B64" s="969">
        <v>0</v>
      </c>
      <c r="C64" s="970"/>
      <c r="D64" s="971"/>
      <c r="E64" s="970"/>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0</v>
      </c>
      <c r="C70" s="980"/>
      <c r="D70" s="981"/>
      <c r="E70" s="980"/>
      <c r="F70" s="981"/>
    </row>
    <row r="71" spans="1:6" ht="24.95" customHeight="1" thickBot="1">
      <c r="A71" s="290" t="s">
        <v>257</v>
      </c>
      <c r="B71" s="291">
        <f>+B70+B61</f>
        <v>1300000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k/Vvy6k/3s63BfkBBXb7GLGuy5Bm0e2uGoaI4YNJ6Nr97RLRcx3MBn9zCY/vd3ywgVP8jnGbjuvWiiJDlelfFQ==" saltValue="2owcE66LdJaVounptJJHu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Polk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773</v>
      </c>
      <c r="C28" s="420" t="s">
        <v>774</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qSTIfc+E63SfKhV/HmOZ3VLgPdHTR86PbVGGSHySNSxdzEL81KGmZ9jSUHOglzKL3BRDaFKq+z3ok+TYfjY1fQ==" saltValue="GZKsVcgaTxqHUW+M8rm+k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80" zoomScaleNormal="8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Polk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726</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2230518</v>
      </c>
    </row>
    <row r="13" spans="1:8" ht="20.100000000000001" customHeight="1">
      <c r="A13" s="492" t="s">
        <v>194</v>
      </c>
      <c r="B13" s="182"/>
      <c r="C13" s="175" t="s">
        <v>126</v>
      </c>
      <c r="D13" s="182"/>
      <c r="E13" s="182"/>
      <c r="F13" s="187" t="s">
        <v>221</v>
      </c>
      <c r="G13" s="186">
        <f>+'EXHIBIT C'!H11+'EXHIBIT C(2)'!E14</f>
        <v>7370551</v>
      </c>
    </row>
    <row r="14" spans="1:8" ht="20.100000000000001" customHeight="1">
      <c r="A14" s="492" t="s">
        <v>194</v>
      </c>
      <c r="B14" s="182"/>
      <c r="C14" s="182" t="s">
        <v>127</v>
      </c>
      <c r="D14" s="182"/>
      <c r="E14" s="182"/>
      <c r="F14" s="187" t="s">
        <v>222</v>
      </c>
      <c r="G14" s="513">
        <f>+'EXHIBIT C'!H12+'EXHIBIT C(2)'!E15</f>
        <v>3001058</v>
      </c>
    </row>
    <row r="15" spans="1:8" ht="20.100000000000001" customHeight="1">
      <c r="A15" s="492" t="s">
        <v>194</v>
      </c>
      <c r="B15" s="182"/>
      <c r="C15" s="188" t="s">
        <v>274</v>
      </c>
      <c r="D15" s="182"/>
      <c r="E15" s="182"/>
      <c r="F15" s="187" t="s">
        <v>223</v>
      </c>
      <c r="G15" s="513">
        <f>+'EXHIBIT C'!H13+'EXHIBIT C(2)'!E16</f>
        <v>356917</v>
      </c>
    </row>
    <row r="16" spans="1:8" ht="20.100000000000001" customHeight="1">
      <c r="A16" s="492" t="s">
        <v>194</v>
      </c>
      <c r="B16" s="182"/>
      <c r="C16" s="188" t="s">
        <v>275</v>
      </c>
      <c r="D16" s="182"/>
      <c r="E16" s="182"/>
      <c r="F16" s="187" t="s">
        <v>224</v>
      </c>
      <c r="G16" s="514">
        <f>+'EXHIBIT C'!H14+'EXHIBIT C(2)'!E17</f>
        <v>129959</v>
      </c>
    </row>
    <row r="17" spans="1:7" ht="20.100000000000001" customHeight="1">
      <c r="A17" s="492" t="s">
        <v>194</v>
      </c>
      <c r="B17" s="182"/>
      <c r="C17" s="175" t="s">
        <v>129</v>
      </c>
      <c r="D17" s="182"/>
      <c r="E17" s="182"/>
      <c r="F17" s="185">
        <v>40160</v>
      </c>
      <c r="G17" s="514">
        <f>+'EXHIBIT C'!H15+'EXHIBIT C(2)'!E18</f>
        <v>37251</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13126254</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75221</v>
      </c>
    </row>
    <row r="22" spans="1:7" ht="20.100000000000001" customHeight="1">
      <c r="A22" s="492" t="s">
        <v>209</v>
      </c>
      <c r="B22" s="182"/>
      <c r="C22" s="175" t="s">
        <v>126</v>
      </c>
      <c r="D22" s="182"/>
      <c r="E22" s="182"/>
      <c r="F22" s="187" t="s">
        <v>228</v>
      </c>
      <c r="G22" s="191">
        <f>+'EXHIBIT C'!F20+'EXHIBIT C(2)'!E23</f>
        <v>639450</v>
      </c>
    </row>
    <row r="23" spans="1:7" ht="20.100000000000001" customHeight="1">
      <c r="A23" s="492" t="s">
        <v>209</v>
      </c>
      <c r="B23" s="182"/>
      <c r="C23" s="182" t="s">
        <v>127</v>
      </c>
      <c r="D23" s="182"/>
      <c r="E23" s="182"/>
      <c r="F23" s="187" t="s">
        <v>229</v>
      </c>
      <c r="G23" s="196">
        <f>+'EXHIBIT C'!F21+'EXHIBIT C(2)'!E24</f>
        <v>217289</v>
      </c>
    </row>
    <row r="24" spans="1:7" ht="20.100000000000001" customHeight="1">
      <c r="A24" s="492" t="s">
        <v>209</v>
      </c>
      <c r="B24" s="182"/>
      <c r="C24" s="188" t="s">
        <v>274</v>
      </c>
      <c r="D24" s="182"/>
      <c r="E24" s="182"/>
      <c r="F24" s="187" t="s">
        <v>230</v>
      </c>
      <c r="G24" s="196">
        <f>+'EXHIBIT C'!F22+'EXHIBIT C(2)'!E25</f>
        <v>0</v>
      </c>
    </row>
    <row r="25" spans="1:7" ht="20.100000000000001" customHeight="1">
      <c r="A25" s="492" t="s">
        <v>209</v>
      </c>
      <c r="B25" s="182"/>
      <c r="C25" s="188" t="s">
        <v>275</v>
      </c>
      <c r="D25" s="182"/>
      <c r="E25" s="182"/>
      <c r="F25" s="187" t="s">
        <v>231</v>
      </c>
      <c r="G25" s="196">
        <f>+'EXHIBIT C'!F23+'EXHIBIT C(2)'!E26</f>
        <v>70774</v>
      </c>
    </row>
    <row r="26" spans="1:7" ht="20.100000000000001" customHeight="1">
      <c r="A26" s="492" t="s">
        <v>209</v>
      </c>
      <c r="B26" s="182"/>
      <c r="C26" s="175" t="s">
        <v>129</v>
      </c>
      <c r="D26" s="182"/>
      <c r="E26" s="182"/>
      <c r="F26" s="185">
        <v>40360</v>
      </c>
      <c r="G26" s="196">
        <f>+'EXHIBIT C'!F24+'EXHIBIT C(2)'!E27</f>
        <v>12417</v>
      </c>
    </row>
    <row r="27" spans="1:7" ht="20.100000000000001" customHeight="1">
      <c r="A27" s="492" t="s">
        <v>209</v>
      </c>
      <c r="B27" s="182"/>
      <c r="C27" s="175" t="s">
        <v>773</v>
      </c>
      <c r="D27" s="182"/>
      <c r="E27" s="182"/>
      <c r="F27" s="185" t="s">
        <v>774</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SUM(G21:G27)</f>
        <v>1015151</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14141405</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0</v>
      </c>
    </row>
    <row r="48" spans="1:7" ht="20.100000000000001" customHeight="1">
      <c r="A48" s="492" t="s">
        <v>287</v>
      </c>
      <c r="B48" s="197"/>
      <c r="C48" s="197"/>
      <c r="D48" s="197"/>
      <c r="E48" s="197"/>
      <c r="F48" s="198" t="s">
        <v>288</v>
      </c>
      <c r="G48" s="442">
        <v>0</v>
      </c>
    </row>
    <row r="49" spans="1:7" ht="20.100000000000001" customHeight="1">
      <c r="A49" s="492" t="s">
        <v>289</v>
      </c>
      <c r="C49" s="197"/>
      <c r="D49" s="197"/>
      <c r="E49" s="197"/>
      <c r="F49" s="198" t="s">
        <v>290</v>
      </c>
      <c r="G49" s="442">
        <v>0</v>
      </c>
    </row>
    <row r="50" spans="1:7" ht="20.100000000000001" customHeight="1">
      <c r="A50" s="492" t="s">
        <v>291</v>
      </c>
      <c r="B50" s="182"/>
      <c r="C50" s="182"/>
      <c r="D50" s="182"/>
      <c r="E50" s="182"/>
      <c r="F50" s="187" t="s">
        <v>292</v>
      </c>
      <c r="G50" s="442">
        <v>0</v>
      </c>
    </row>
    <row r="51" spans="1:7" ht="20.100000000000001" customHeight="1">
      <c r="A51" s="492" t="s">
        <v>293</v>
      </c>
      <c r="B51" s="182"/>
      <c r="C51" s="182"/>
      <c r="D51" s="182"/>
      <c r="E51" s="182"/>
      <c r="F51" s="187" t="s">
        <v>294</v>
      </c>
      <c r="G51" s="442">
        <v>595000</v>
      </c>
    </row>
    <row r="52" spans="1:7" ht="20.100000000000001" customHeight="1">
      <c r="A52" s="492" t="s">
        <v>295</v>
      </c>
      <c r="B52" s="182"/>
      <c r="C52" s="182"/>
      <c r="D52" s="182"/>
      <c r="E52" s="182"/>
      <c r="F52" s="185">
        <v>40450</v>
      </c>
      <c r="G52" s="442">
        <v>0</v>
      </c>
    </row>
    <row r="53" spans="1:7" ht="20.100000000000001" customHeight="1">
      <c r="A53" s="492" t="s">
        <v>296</v>
      </c>
      <c r="B53" s="182"/>
      <c r="C53" s="182"/>
      <c r="D53" s="182"/>
      <c r="E53" s="182"/>
      <c r="F53" s="187" t="s">
        <v>297</v>
      </c>
      <c r="G53" s="442">
        <v>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0</v>
      </c>
    </row>
    <row r="57" spans="1:7" ht="20.100000000000001" customHeight="1">
      <c r="A57" s="492" t="s">
        <v>304</v>
      </c>
      <c r="B57" s="182"/>
      <c r="C57" s="182"/>
      <c r="D57" s="182"/>
      <c r="E57" s="182"/>
      <c r="F57" s="187" t="s">
        <v>305</v>
      </c>
      <c r="G57" s="442">
        <v>26750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67950</v>
      </c>
    </row>
    <row r="60" spans="1:7" ht="20.100000000000001" customHeight="1">
      <c r="A60" s="492" t="s">
        <v>310</v>
      </c>
      <c r="B60" s="182"/>
      <c r="C60" s="182"/>
      <c r="D60" s="182"/>
      <c r="E60" s="182"/>
      <c r="F60" s="187" t="s">
        <v>311</v>
      </c>
      <c r="G60" s="442">
        <v>168000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14999105</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725000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725000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43580224.848735243</v>
      </c>
    </row>
    <row r="77" spans="1:7" ht="20.100000000000001" customHeight="1">
      <c r="A77" s="492" t="s">
        <v>695</v>
      </c>
      <c r="B77" s="182"/>
      <c r="C77" s="182"/>
      <c r="D77" s="182"/>
      <c r="E77" s="182"/>
      <c r="F77" s="185">
        <v>42130</v>
      </c>
      <c r="G77" s="516">
        <v>1287984</v>
      </c>
    </row>
    <row r="78" spans="1:7" ht="20.100000000000001" customHeight="1">
      <c r="A78" s="494" t="s">
        <v>328</v>
      </c>
      <c r="B78" s="495"/>
      <c r="C78" s="495"/>
      <c r="D78" s="495"/>
      <c r="E78" s="495"/>
      <c r="F78" s="201" t="s">
        <v>329</v>
      </c>
      <c r="G78" s="517">
        <v>612408</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4125</v>
      </c>
    </row>
    <row r="81" spans="1:10" ht="20.100000000000001" customHeight="1">
      <c r="A81" s="492" t="s">
        <v>713</v>
      </c>
      <c r="B81" s="182"/>
      <c r="C81" s="182"/>
      <c r="D81" s="182"/>
      <c r="E81" s="182"/>
      <c r="F81" s="187" t="s">
        <v>334</v>
      </c>
      <c r="G81" s="516">
        <v>0</v>
      </c>
    </row>
    <row r="82" spans="1:10" ht="20.100000000000001" customHeight="1">
      <c r="A82" s="492" t="s">
        <v>335</v>
      </c>
      <c r="B82" s="182"/>
      <c r="C82" s="182"/>
      <c r="D82" s="182"/>
      <c r="E82" s="182"/>
      <c r="F82" s="187" t="s">
        <v>336</v>
      </c>
      <c r="G82" s="515">
        <f>'CHECK SHEET'!D86</f>
        <v>6479015.1512647606</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51963757</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1065375</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1065375</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445500</v>
      </c>
    </row>
    <row r="111" spans="1:7" ht="20.100000000000001" customHeight="1">
      <c r="A111" s="492" t="s">
        <v>362</v>
      </c>
      <c r="B111" s="182"/>
      <c r="C111" s="182"/>
      <c r="D111" s="182"/>
      <c r="E111" s="182"/>
      <c r="F111" s="187" t="s">
        <v>363</v>
      </c>
      <c r="G111" s="443">
        <v>130000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575500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625000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0</v>
      </c>
    </row>
    <row r="127" spans="1:7" ht="20.100000000000001" customHeight="1">
      <c r="A127" s="492" t="s">
        <v>381</v>
      </c>
      <c r="B127" s="182"/>
      <c r="C127" s="182"/>
      <c r="D127" s="182"/>
      <c r="E127" s="182"/>
      <c r="F127" s="187" t="s">
        <v>382</v>
      </c>
      <c r="G127" s="443">
        <v>62195</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687195</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697</v>
      </c>
      <c r="B134" s="182"/>
      <c r="C134" s="182"/>
      <c r="D134" s="501"/>
      <c r="E134" s="197"/>
      <c r="F134" s="1165">
        <v>49200</v>
      </c>
      <c r="G134" s="443">
        <v>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689</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70015932</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1622207</v>
      </c>
    </row>
    <row r="148" spans="1:7" ht="20.100000000000001" customHeight="1">
      <c r="A148" s="492" t="s">
        <v>399</v>
      </c>
      <c r="F148" s="187" t="s">
        <v>400</v>
      </c>
      <c r="G148" s="447">
        <f>623456+680000</f>
        <v>1303456</v>
      </c>
    </row>
    <row r="149" spans="1:7" ht="20.100000000000001" customHeight="1">
      <c r="A149" s="492" t="s">
        <v>401</v>
      </c>
      <c r="F149" s="187" t="s">
        <v>402</v>
      </c>
      <c r="G149" s="447">
        <f>1727830+345000+385000+85000</f>
        <v>2542830</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f>10991530+111719</f>
        <v>11103249</v>
      </c>
    </row>
    <row r="153" spans="1:7" ht="20.100000000000001" customHeight="1">
      <c r="A153" s="492" t="s">
        <v>409</v>
      </c>
      <c r="B153" s="182"/>
      <c r="C153" s="182"/>
      <c r="D153" s="182"/>
      <c r="E153" s="182"/>
      <c r="F153" s="187" t="s">
        <v>410</v>
      </c>
      <c r="G153" s="447">
        <v>2576657</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8937842</v>
      </c>
    </row>
    <row r="163" spans="1:7" ht="20.100000000000001" customHeight="1">
      <c r="A163" s="492" t="s">
        <v>428</v>
      </c>
      <c r="B163" s="182"/>
      <c r="C163" s="182"/>
      <c r="D163" s="182"/>
      <c r="E163" s="182"/>
      <c r="F163" s="187" t="s">
        <v>429</v>
      </c>
      <c r="G163" s="447">
        <v>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0</v>
      </c>
    </row>
    <row r="166" spans="1:7" ht="20.100000000000001" customHeight="1">
      <c r="A166" s="492" t="s">
        <v>434</v>
      </c>
      <c r="B166" s="182"/>
      <c r="C166" s="182"/>
      <c r="D166" s="182"/>
      <c r="E166" s="182"/>
      <c r="F166" s="187" t="s">
        <v>435</v>
      </c>
      <c r="G166" s="447">
        <v>44075</v>
      </c>
    </row>
    <row r="167" spans="1:7" ht="20.100000000000001" customHeight="1">
      <c r="A167" s="492" t="s">
        <v>436</v>
      </c>
      <c r="B167" s="182"/>
      <c r="C167" s="182"/>
      <c r="D167" s="182"/>
      <c r="E167" s="182"/>
      <c r="F167" s="187" t="s">
        <v>437</v>
      </c>
      <c r="G167" s="447">
        <f>4426761+472500+300000</f>
        <v>5199261</v>
      </c>
    </row>
    <row r="168" spans="1:7" ht="20.100000000000001" customHeight="1">
      <c r="A168" s="492" t="s">
        <v>438</v>
      </c>
      <c r="B168" s="182"/>
      <c r="C168" s="182"/>
      <c r="D168" s="182"/>
      <c r="E168" s="182"/>
      <c r="F168" s="187" t="s">
        <v>439</v>
      </c>
      <c r="G168" s="447">
        <v>82116</v>
      </c>
    </row>
    <row r="169" spans="1:7" ht="20.100000000000001" customHeight="1">
      <c r="A169" s="492" t="s">
        <v>440</v>
      </c>
      <c r="B169" s="182"/>
      <c r="C169" s="182"/>
      <c r="D169" s="182"/>
      <c r="E169" s="182"/>
      <c r="F169" s="187" t="s">
        <v>441</v>
      </c>
      <c r="G169" s="447">
        <v>303864</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0</v>
      </c>
    </row>
    <row r="172" spans="1:7" ht="20.100000000000001" customHeight="1">
      <c r="A172" s="492" t="s">
        <v>446</v>
      </c>
      <c r="B172" s="182"/>
      <c r="C172" s="182"/>
      <c r="D172" s="182"/>
      <c r="E172" s="182"/>
      <c r="F172" s="185">
        <v>56001</v>
      </c>
      <c r="G172" s="447">
        <v>4150062</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19320</v>
      </c>
    </row>
    <row r="177" spans="1:7" ht="20.100000000000001" customHeight="1">
      <c r="A177" s="500" t="s">
        <v>453</v>
      </c>
      <c r="F177" s="205" t="s">
        <v>454</v>
      </c>
      <c r="G177" s="447">
        <v>183070</v>
      </c>
    </row>
    <row r="178" spans="1:7" ht="20.100000000000001" customHeight="1">
      <c r="A178" s="492" t="s">
        <v>455</v>
      </c>
      <c r="B178" s="182"/>
      <c r="C178" s="182"/>
      <c r="D178" s="182"/>
      <c r="E178" s="182"/>
      <c r="F178" s="187" t="s">
        <v>456</v>
      </c>
      <c r="G178" s="447">
        <v>661000</v>
      </c>
    </row>
    <row r="179" spans="1:7" ht="20.100000000000001" customHeight="1">
      <c r="A179" s="492" t="s">
        <v>457</v>
      </c>
      <c r="B179" s="182"/>
      <c r="C179" s="182"/>
      <c r="D179" s="182"/>
      <c r="E179" s="182"/>
      <c r="F179" s="187" t="s">
        <v>458</v>
      </c>
      <c r="G179" s="447">
        <v>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2962769</v>
      </c>
    </row>
    <row r="186" spans="1:7" ht="20.100000000000001" customHeight="1">
      <c r="A186" s="492" t="s">
        <v>471</v>
      </c>
      <c r="B186" s="182"/>
      <c r="C186" s="182"/>
      <c r="D186" s="182"/>
      <c r="E186" s="182"/>
      <c r="F186" s="187" t="s">
        <v>472</v>
      </c>
      <c r="G186" s="447">
        <v>4236059</v>
      </c>
    </row>
    <row r="187" spans="1:7" ht="20.100000000000001" customHeight="1">
      <c r="A187" s="492" t="s">
        <v>473</v>
      </c>
      <c r="B187" s="182"/>
      <c r="C187" s="182"/>
      <c r="D187" s="182"/>
      <c r="E187" s="182"/>
      <c r="F187" s="187" t="s">
        <v>474</v>
      </c>
      <c r="G187" s="447">
        <v>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f>5531353-542380</f>
        <v>4988973</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50916810</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280104</v>
      </c>
    </row>
    <row r="200" spans="1:7" ht="20.100000000000001" customHeight="1">
      <c r="A200" s="492" t="s">
        <v>490</v>
      </c>
      <c r="B200" s="182"/>
      <c r="C200" s="182"/>
      <c r="D200" s="182"/>
      <c r="E200" s="182"/>
      <c r="F200" s="187" t="s">
        <v>491</v>
      </c>
      <c r="G200" s="447">
        <v>86065</v>
      </c>
    </row>
    <row r="201" spans="1:7" ht="20.100000000000001" customHeight="1">
      <c r="A201" s="492" t="s">
        <v>492</v>
      </c>
      <c r="B201" s="182"/>
      <c r="C201" s="182"/>
      <c r="D201" s="182"/>
      <c r="E201" s="182"/>
      <c r="F201" s="187" t="s">
        <v>493</v>
      </c>
      <c r="G201" s="447">
        <v>365766</v>
      </c>
    </row>
    <row r="202" spans="1:7" ht="20.100000000000001" customHeight="1">
      <c r="A202" s="492" t="s">
        <v>494</v>
      </c>
      <c r="B202" s="182"/>
      <c r="C202" s="182"/>
      <c r="D202" s="182"/>
      <c r="E202" s="182"/>
      <c r="F202" s="187" t="s">
        <v>495</v>
      </c>
      <c r="G202" s="447">
        <v>185965</v>
      </c>
    </row>
    <row r="203" spans="1:7" ht="20.100000000000001" customHeight="1">
      <c r="A203" s="492" t="s">
        <v>496</v>
      </c>
      <c r="B203" s="182"/>
      <c r="C203" s="182"/>
      <c r="D203" s="182"/>
      <c r="E203" s="182"/>
      <c r="F203" s="187" t="s">
        <v>497</v>
      </c>
      <c r="G203" s="447">
        <v>630964</v>
      </c>
    </row>
    <row r="204" spans="1:7" ht="20.100000000000001" customHeight="1">
      <c r="A204" s="492" t="s">
        <v>498</v>
      </c>
      <c r="B204" s="182"/>
      <c r="C204" s="182"/>
      <c r="D204" s="182"/>
      <c r="E204" s="182"/>
      <c r="F204" s="187" t="s">
        <v>499</v>
      </c>
      <c r="G204" s="447">
        <v>172945</v>
      </c>
    </row>
    <row r="205" spans="1:7" ht="20.100000000000001" customHeight="1">
      <c r="A205" s="492" t="s">
        <v>688</v>
      </c>
      <c r="B205" s="182"/>
      <c r="C205" s="182"/>
      <c r="D205" s="182"/>
      <c r="E205" s="182"/>
      <c r="F205" s="1006">
        <v>63100</v>
      </c>
      <c r="G205" s="447">
        <v>0</v>
      </c>
    </row>
    <row r="206" spans="1:7" ht="20.100000000000001" customHeight="1">
      <c r="A206" s="492" t="s">
        <v>500</v>
      </c>
      <c r="B206" s="182"/>
      <c r="C206" s="182"/>
      <c r="D206" s="182"/>
      <c r="E206" s="182"/>
      <c r="F206" s="187" t="s">
        <v>501</v>
      </c>
      <c r="G206" s="447">
        <v>1461000</v>
      </c>
    </row>
    <row r="207" spans="1:7" ht="20.100000000000001" customHeight="1">
      <c r="A207" s="492" t="s">
        <v>502</v>
      </c>
      <c r="B207" s="182"/>
      <c r="C207" s="182"/>
      <c r="D207" s="182"/>
      <c r="E207" s="182"/>
      <c r="F207" s="187" t="s">
        <v>503</v>
      </c>
      <c r="G207" s="447">
        <v>2200000</v>
      </c>
    </row>
    <row r="208" spans="1:7" ht="20.100000000000001" customHeight="1">
      <c r="A208" s="492" t="s">
        <v>504</v>
      </c>
      <c r="B208" s="182"/>
      <c r="C208" s="182"/>
      <c r="D208" s="182"/>
      <c r="E208" s="182"/>
      <c r="F208" s="187" t="s">
        <v>505</v>
      </c>
      <c r="G208" s="447">
        <v>8452529</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625000</v>
      </c>
    </row>
    <row r="212" spans="1:7" ht="20.100000000000001" customHeight="1">
      <c r="A212" s="492" t="s">
        <v>511</v>
      </c>
      <c r="B212" s="182"/>
      <c r="C212" s="182"/>
      <c r="D212" s="182"/>
      <c r="E212" s="182"/>
      <c r="F212" s="187" t="s">
        <v>512</v>
      </c>
      <c r="G212" s="447">
        <v>505750</v>
      </c>
    </row>
    <row r="213" spans="1:7" ht="20.100000000000001" customHeight="1">
      <c r="A213" s="492" t="s">
        <v>513</v>
      </c>
      <c r="F213" s="205" t="s">
        <v>514</v>
      </c>
      <c r="G213" s="447">
        <v>905000</v>
      </c>
    </row>
    <row r="214" spans="1:7" ht="20.100000000000001" customHeight="1">
      <c r="A214" s="492" t="s">
        <v>515</v>
      </c>
      <c r="B214" s="182"/>
      <c r="C214" s="182"/>
      <c r="D214" s="182"/>
      <c r="E214" s="182"/>
      <c r="F214" s="187" t="s">
        <v>516</v>
      </c>
      <c r="G214" s="447">
        <v>0</v>
      </c>
    </row>
    <row r="215" spans="1:7" ht="20.100000000000001" customHeight="1">
      <c r="A215" s="492" t="s">
        <v>517</v>
      </c>
      <c r="B215" s="182"/>
      <c r="C215" s="182"/>
      <c r="D215" s="182"/>
      <c r="E215" s="182"/>
      <c r="F215" s="187" t="s">
        <v>518</v>
      </c>
      <c r="G215" s="447">
        <v>0</v>
      </c>
    </row>
    <row r="216" spans="1:7" ht="20.100000000000001" customHeight="1">
      <c r="A216" s="492" t="s">
        <v>519</v>
      </c>
      <c r="B216" s="182"/>
      <c r="C216" s="182"/>
      <c r="D216" s="182"/>
      <c r="E216" s="182"/>
      <c r="F216" s="187" t="s">
        <v>520</v>
      </c>
      <c r="G216" s="447">
        <v>185102</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698</v>
      </c>
      <c r="B223" s="182"/>
      <c r="C223" s="182"/>
      <c r="D223" s="211"/>
      <c r="E223" s="182"/>
      <c r="F223" s="1097">
        <v>69100</v>
      </c>
      <c r="G223" s="447">
        <v>0</v>
      </c>
    </row>
    <row r="224" spans="1:7" ht="20.100000000000001" customHeight="1">
      <c r="A224" s="503" t="s">
        <v>699</v>
      </c>
      <c r="B224" s="212"/>
      <c r="C224" s="212"/>
      <c r="D224" s="213"/>
      <c r="E224" s="212"/>
      <c r="F224" s="1096">
        <v>69200</v>
      </c>
      <c r="G224" s="447">
        <v>1300000</v>
      </c>
    </row>
    <row r="225" spans="1:9" ht="20.100000000000001" customHeight="1">
      <c r="A225" s="492" t="s">
        <v>533</v>
      </c>
      <c r="B225" s="182"/>
      <c r="C225" s="182"/>
      <c r="D225" s="182"/>
      <c r="E225" s="182"/>
      <c r="F225" s="187" t="s">
        <v>534</v>
      </c>
      <c r="G225" s="447">
        <v>1292932</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18649122</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250000</v>
      </c>
    </row>
    <row r="234" spans="1:9" ht="20.100000000000001" customHeight="1">
      <c r="A234" s="492" t="s">
        <v>542</v>
      </c>
      <c r="B234" s="182"/>
      <c r="C234" s="182"/>
      <c r="D234" s="182"/>
      <c r="E234" s="182"/>
      <c r="F234" s="187" t="s">
        <v>543</v>
      </c>
      <c r="G234" s="447">
        <v>0</v>
      </c>
    </row>
    <row r="235" spans="1:9" ht="20.100000000000001" customHeight="1">
      <c r="A235" s="492" t="s">
        <v>544</v>
      </c>
      <c r="B235" s="182"/>
      <c r="C235" s="182"/>
      <c r="D235" s="182"/>
      <c r="E235" s="182"/>
      <c r="F235" s="187" t="s">
        <v>545</v>
      </c>
      <c r="G235" s="447">
        <v>0</v>
      </c>
    </row>
    <row r="236" spans="1:9" ht="20.100000000000001" customHeight="1">
      <c r="A236" s="492" t="s">
        <v>546</v>
      </c>
      <c r="B236" s="182"/>
      <c r="C236" s="182"/>
      <c r="D236" s="182"/>
      <c r="E236" s="182"/>
      <c r="F236" s="1052" t="s">
        <v>547</v>
      </c>
      <c r="G236" s="447">
        <v>200000</v>
      </c>
    </row>
    <row r="237" spans="1:9" ht="20.100000000000001" customHeight="1">
      <c r="A237" s="492" t="s">
        <v>690</v>
      </c>
      <c r="B237" s="182"/>
      <c r="C237" s="182"/>
      <c r="D237" s="182"/>
      <c r="E237" s="182"/>
      <c r="F237" s="1052">
        <v>73001</v>
      </c>
      <c r="G237" s="447">
        <v>0</v>
      </c>
    </row>
    <row r="238" spans="1:9" ht="20.100000000000001" customHeight="1">
      <c r="A238" s="492" t="s">
        <v>691</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687</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450000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70015932</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5000000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0</v>
      </c>
    </row>
    <row r="261" spans="1:12" ht="20.100000000000001" customHeight="1">
      <c r="A261" s="492" t="s">
        <v>569</v>
      </c>
      <c r="B261" s="182"/>
      <c r="C261" s="182"/>
      <c r="D261" s="182"/>
      <c r="E261" s="182"/>
      <c r="F261" s="199">
        <v>31100</v>
      </c>
      <c r="G261" s="611">
        <f>9860574+1930800</f>
        <v>11791374</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16791374</v>
      </c>
    </row>
    <row r="264" spans="1:12" ht="20.100000000000001" customHeight="1">
      <c r="A264" s="493"/>
      <c r="B264" s="182"/>
      <c r="C264" s="182"/>
      <c r="D264" s="182"/>
      <c r="E264" s="182"/>
      <c r="F264" s="199"/>
      <c r="G264" s="215"/>
    </row>
    <row r="265" spans="1:12" ht="20.100000000000001" customHeight="1" thickBot="1">
      <c r="A265" s="504" t="s">
        <v>781</v>
      </c>
      <c r="F265" s="205">
        <v>30800</v>
      </c>
      <c r="G265" s="448">
        <v>-4120567</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12670807</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B/Bg+dkC2iu9ueBA069R88KJH61Hl/eFyeaw5nEGSrikvpHUYVkJ3iGx9eoqPa0a4MOS1/+3SAP7XyPX2Rgcyg==" saltValue="y6UTySj5O9ujIL3PHfvsK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1" manualBreakCount="1">
    <brk id="143" max="6" man="1"/>
  </rowBreaks>
  <ignoredErrors>
    <ignoredError sqref="A246:A250 F138:F139 F124:F127 F118 F110:F114 F11:F17 F191:F193 F28:F34 A228:H228 F158:F171 F147:F156 A258:A262 B243:H246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numberStoredAsText="1"/>
    <ignoredError sqref="G86 G76 G82 G143" evalError="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2024-06-24T18:27:03Z</cp:lastPrinted>
  <dcterms:created xsi:type="dcterms:W3CDTF">2005-03-22T15:46:43Z</dcterms:created>
  <dcterms:modified xsi:type="dcterms:W3CDTF">2024-08-20T14:41:33Z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