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Northwest\"/>
    </mc:Choice>
  </mc:AlternateContent>
  <xr:revisionPtr revIDLastSave="0" documentId="8_{B83F114B-4E75-4A61-BD10-47F90DDAA464}"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Sheet2" sheetId="32" state="hidden" r:id="rId10"/>
    <sheet name="EXHIBIT E" sheetId="8" r:id="rId11"/>
    <sheet name="EXHIBIT F" sheetId="26" state="hidden" r:id="rId12"/>
    <sheet name="EXHIBIT G" sheetId="15" r:id="rId13"/>
    <sheet name="FEE AUDIT - TUITION AND FEES" sheetId="22" state="hidden" r:id="rId14"/>
    <sheet name="DISCRETIONARY FEE PERCENTAGES" sheetId="18" state="hidden" r:id="rId15"/>
    <sheet name="_56F9DC9755BA473782653E2940F9" sheetId="27" state="veryHidden" r:id="rId16"/>
  </sheets>
  <externalReferences>
    <externalReference r:id="rId17"/>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2" hidden="1">'EXHIBIT G'!$C$117:$C$129</definedName>
    <definedName name="ACCOUNT_TITLE">'EXHIBIT D'!$B$9</definedName>
    <definedName name="ADDITIONAL__REDUCED_BUDGETED_FEE_REVENUES">'EXHIBIT C(2)'!$E$12</definedName>
    <definedName name="ADDITIONAL_2__CALCULATION">'CHECK SHEET'!#REF!</definedName>
    <definedName name="ADULT" localSheetId="13">#REF!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4">'[1]VOC PREP'!$A$4:$O$54</definedName>
    <definedName name="CREDIT" localSheetId="13">#REF!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4">'DISCRETIONARY FEE PERCENTAGES'!#REF!</definedName>
    <definedName name="NOTES" localSheetId="13">#REF!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4">'DISCRETIONARY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10">'EXHIBIT E'!$A$1:$E$21</definedName>
    <definedName name="_xlnm.Print_Area" localSheetId="11">'EXHIBIT F'!$A$1:$B$50</definedName>
    <definedName name="_xlnm.Print_Area" localSheetId="12">'EXHIBIT G'!$A$1:$F$137</definedName>
    <definedName name="_xlnm.Print_Area" localSheetId="13">'FEE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2">'EXHIBIT G'!$1:$4</definedName>
    <definedName name="PROGRAMS">'EXHIBIT B'!$A$13</definedName>
    <definedName name="PSAV" localSheetId="13">#REF!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10" hidden="1">'EXHIBIT E'!$A$1:$F$23</definedName>
    <definedName name="Z_8CA1AA3C_D3A6_493D_93EE_74DE1406A5FE_.wvu.PrintArea" localSheetId="12"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1" i="32" l="1"/>
  <c r="G265" i="32" s="1"/>
  <c r="G245" i="32"/>
  <c r="G227" i="32"/>
  <c r="G171" i="32"/>
  <c r="G193" i="32" s="1"/>
  <c r="G247" i="32" s="1"/>
  <c r="G139" i="32"/>
  <c r="G127" i="32"/>
  <c r="G118" i="32"/>
  <c r="G114" i="32"/>
  <c r="G104" i="32"/>
  <c r="G95" i="32"/>
  <c r="G80" i="32"/>
  <c r="G76" i="32"/>
  <c r="G74" i="32"/>
  <c r="G84" i="32" s="1"/>
  <c r="G70" i="32"/>
  <c r="G39" i="32"/>
  <c r="G38" i="32"/>
  <c r="G32" i="32"/>
  <c r="G31" i="32"/>
  <c r="G25" i="32"/>
  <c r="G24" i="32"/>
  <c r="G23" i="32"/>
  <c r="G22" i="32"/>
  <c r="G21" i="32"/>
  <c r="G20" i="32"/>
  <c r="G19" i="32"/>
  <c r="G27" i="32" s="1"/>
  <c r="G15" i="32"/>
  <c r="G14" i="32"/>
  <c r="G13" i="32"/>
  <c r="G12" i="32"/>
  <c r="G11" i="32"/>
  <c r="G10" i="32"/>
  <c r="G17" i="32" l="1"/>
  <c r="G173" i="7" l="1"/>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G32" i="7" l="1"/>
  <c r="G30" i="32"/>
  <c r="G39" i="7"/>
  <c r="G37" i="32"/>
  <c r="C93" i="3"/>
  <c r="H11" i="6"/>
  <c r="G13" i="7" s="1"/>
  <c r="H36" i="5"/>
  <c r="I36" i="5" s="1"/>
  <c r="G21" i="7"/>
  <c r="G29" i="7" s="1"/>
  <c r="F27" i="6"/>
  <c r="H38" i="5"/>
  <c r="I38" i="5" s="1"/>
  <c r="H39" i="5"/>
  <c r="I39" i="5" s="1"/>
  <c r="H15" i="6"/>
  <c r="G17" i="7" s="1"/>
  <c r="F37" i="6"/>
  <c r="H14" i="6"/>
  <c r="G16" i="7" s="1"/>
  <c r="C74" i="3"/>
  <c r="H35" i="6"/>
  <c r="G33" i="7" s="1"/>
  <c r="E40" i="6"/>
  <c r="F40" i="6" s="1"/>
  <c r="H33" i="6"/>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4" i="6" l="1"/>
  <c r="G36" i="32"/>
  <c r="G41" i="32" s="1"/>
  <c r="G31" i="7"/>
  <c r="G36" i="7" s="1"/>
  <c r="G29" i="32"/>
  <c r="G34" i="32" s="1"/>
  <c r="G43" i="32" s="1"/>
  <c r="G62" i="32" s="1"/>
  <c r="G141" i="32" s="1"/>
  <c r="F46" i="3"/>
  <c r="G46" i="3" s="1"/>
  <c r="H37" i="6"/>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5" i="6" l="1"/>
  <c r="G45" i="7"/>
  <c r="G64" i="7" s="1"/>
  <c r="G143" i="7" s="1"/>
  <c r="E18" i="4" s="1"/>
  <c r="E21" i="4" s="1"/>
  <c r="E23" i="4" s="1"/>
  <c r="E44" i="4" s="1"/>
  <c r="C17" i="3" s="1"/>
  <c r="H47" i="6"/>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tc={E43269A4-60DF-45E9-84F2-D6385BE97A7D}</author>
    <author>tc={3D7B72AD-00D7-47D5-B215-8223D82C02A7}</author>
    <author>tc={157DF26C-0972-4BB5-AC46-0BBCAE081082}</author>
  </authors>
  <commentList>
    <comment ref="G76" authorId="0" shapeId="0" xr:uid="{E43269A4-60DF-45E9-84F2-D6385BE97A7D}">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79" authorId="1" shapeId="0" xr:uid="{3D7B72AD-00D7-47D5-B215-8223D82C02A7}">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3" authorId="2" shapeId="0" xr:uid="{157DF26C-0972-4BB5-AC46-0BBCAE081082}">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<sst xmlns="http://schemas.openxmlformats.org/spreadsheetml/2006/main" count="1688" uniqueCount="794">
  <si>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</si>
  <si>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</si>
  <si>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</si>
  <si>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</si>
  <si>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</si>
  <si>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</si>
  <si>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</si>
  <si>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</si>
  <si>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</si>
  <si>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</si>
  <si>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</si>
  <si>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</si>
  <si>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</si>
  <si>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</si>
  <si>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</si>
  <si>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</si>
  <si>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</si>
  <si>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</si>
  <si>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</si>
  <si>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</si>
  <si>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</si>
  <si>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</si>
  <si>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</si>
  <si>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</si>
  <si>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</si>
  <si>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</si>
  <si>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</si>
  <si>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</si>
  <si>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</si>
  <si>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</si>
  <si>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</si>
  <si>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</si>
  <si>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</si>
  <si>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</si>
  <si>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</si>
  <si>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</si>
  <si>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</si>
  <si>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</si>
  <si>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</si>
  <si>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</si>
  <si>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</si>
  <si>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</si>
  <si>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</si>
  <si>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</si>
  <si>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</si>
  <si>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</si>
  <si>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</si>
  <si>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</si>
  <si>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</si>
  <si>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</si>
  <si>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</si>
  <si>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</si>
  <si>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</si>
  <si>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</si>
  <si>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</si>
  <si>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</si>
  <si>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</si>
  <si>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</si>
  <si>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</si>
  <si>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</si>
  <si>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</si>
  <si>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</si>
  <si>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</si>
  <si>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</si>
  <si>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</si>
  <si>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</si>
  <si>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</si>
  <si>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</si>
  <si>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</si>
  <si>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</si>
  <si>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</si>
  <si>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</si>
  <si>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</si>
  <si>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</si>
  <si>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</si>
  <si>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</si>
  <si>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</si>
  <si>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</si>
  <si>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</si>
  <si>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</si>
  <si>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</si>
  <si>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</si>
  <si>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</si>
  <si>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</si>
  <si>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</si>
  <si>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</si>
  <si>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</si>
  <si>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</si>
  <si>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</si>
  <si>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</si>
  <si>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</si>
  <si>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</si>
  <si>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</si>
  <si>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</si>
  <si>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</si>
  <si>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</si>
  <si>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</si>
  <si>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</si>
  <si>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</si>
  <si>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</si>
  <si>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</si>
  <si>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</si>
  <si>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</si>
  <si>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</si>
  <si>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</si>
  <si>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</si>
  <si>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</si>
  <si>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</si>
  <si>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</si>
  <si>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</si>
  <si>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</si>
  <si>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</si>
  <si>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</si>
  <si>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</si>
  <si>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</si>
  <si>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</si>
  <si>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</si>
  <si>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</si>
  <si>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</si>
  <si>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</si>
  <si>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</si>
  <si>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</si>
  <si>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</si>
  <si>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</si>
  <si>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</si>
  <si>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</si>
  <si>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</si>
  <si>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</si>
  <si>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</si>
  <si>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</si>
  <si>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</si>
  <si>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</si>
  <si>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</si>
  <si>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</si>
  <si>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</si>
  <si>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</si>
  <si>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</si>
  <si>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</si>
  <si>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</si>
  <si>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</si>
  <si>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</si>
  <si>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</si>
  <si>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</si>
  <si>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</si>
  <si>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</si>
  <si>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</si>
  <si>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</si>
  <si>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</si>
  <si>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</si>
  <si>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</si>
  <si>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</si>
  <si>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</si>
  <si>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</si>
  <si>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</si>
  <si>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</si>
  <si>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</si>
  <si>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</si>
  <si>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</si>
  <si>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</si>
  <si>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</si>
  <si>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</si>
  <si>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</si>
  <si>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</si>
  <si>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</si>
  <si>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</si>
  <si>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</si>
  <si>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</si>
  <si>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</si>
  <si>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</si>
  <si>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</si>
  <si>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</si>
  <si>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</si>
  <si>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</si>
  <si>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</si>
  <si>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</si>
  <si>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</si>
  <si>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</si>
  <si>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</si>
  <si>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</si>
  <si>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</si>
  <si>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</si>
  <si>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</si>
  <si>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</si>
  <si>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</si>
  <si>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</si>
  <si>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</si>
  <si>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</si>
  <si>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</si>
  <si>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</si>
  <si>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</si>
  <si>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</si>
  <si>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</si>
  <si>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</si>
  <si>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</si>
  <si>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</si>
  <si>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</si>
  <si>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</si>
  <si>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</si>
  <si>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</si>
  <si>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</si>
  <si>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</si>
  <si>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</si>
  <si>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</si>
  <si>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</si>
  <si>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</si>
  <si>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</si>
  <si>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</si>
  <si>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</si>
  <si>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</si>
  <si>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</si>
  <si>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</si>
  <si>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</si>
  <si>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</si>
  <si>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</si>
  <si>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</si>
  <si>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</si>
  <si>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</si>
  <si>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</si>
  <si>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</si>
  <si>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</si>
  <si>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</si>
  <si>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</si>
  <si>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</si>
  <si>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</si>
  <si>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</si>
  <si>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</si>
  <si>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</si>
  <si>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</si>
  <si>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</si>
  <si>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</si>
  <si>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</si>
  <si>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</si>
  <si>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</si>
  <si>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</si>
  <si>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</si>
  <si>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</si>
  <si>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</si>
  <si>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</si>
  <si>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</si>
  <si>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</si>
  <si>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</si>
  <si>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</si>
  <si>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</si>
  <si>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</si>
  <si>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</si>
  <si>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</si>
  <si>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</si>
  <si>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</si>
  <si>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</si>
  <si>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</si>
  <si>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</si>
  <si>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</si>
  <si>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</si>
  <si>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</si>
  <si>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</si>
  <si>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</si>
  <si>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</si>
  <si>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</si>
  <si>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</si>
  <si>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</si>
  <si>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</si>
  <si>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</si>
  <si>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</si>
  <si>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</si>
  <si>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</si>
  <si>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</si>
  <si>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</si>
  <si>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</si>
  <si>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</si>
  <si>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</si>
  <si>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</si>
  <si>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</si>
  <si>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</si>
  <si>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</si>
  <si>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</si>
  <si>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</si>
  <si>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</si>
  <si>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</si>
  <si>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</si>
  <si>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</si>
  <si>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</si>
  <si>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</si>
  <si>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</si>
  <si>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</si>
  <si>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</si>
  <si>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</si>
  <si>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</si>
  <si>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</si>
  <si>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</si>
  <si>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</si>
  <si>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</si>
  <si>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</si>
  <si>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</si>
  <si>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</si>
  <si>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</si>
  <si>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</si>
  <si>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</si>
  <si>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</si>
  <si>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</si>
  <si>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</si>
  <si>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</si>
  <si>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</si>
  <si>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</si>
  <si>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</si>
  <si>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</si>
  <si>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</si>
  <si>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</si>
  <si>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</si>
  <si>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</si>
  <si>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</si>
  <si>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</si>
  <si>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</si>
  <si>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</si>
  <si>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</si>
  <si>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</si>
  <si>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</si>
  <si>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</si>
  <si>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</si>
  <si>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</si>
  <si>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</si>
  <si>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</si>
  <si>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</si>
  <si>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</si>
  <si>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</si>
  <si>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</si>
  <si>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</si>
  <si>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</si>
  <si>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</si>
  <si>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</si>
  <si>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</si>
  <si>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</si>
  <si>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</si>
  <si>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</si>
  <si>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</si>
  <si>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</si>
  <si>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</si>
  <si>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</si>
  <si>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</si>
  <si>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</si>
  <si>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</si>
  <si>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</si>
  <si>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</si>
  <si>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</si>
  <si>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</si>
  <si>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</si>
  <si>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</si>
  <si>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</si>
  <si>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</si>
  <si>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</si>
  <si>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</si>
  <si>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</si>
  <si>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</si>
  <si>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</si>
  <si>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</si>
  <si>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</si>
  <si>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</si>
  <si>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</si>
  <si>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</si>
  <si>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</si>
  <si>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</si>
  <si>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</si>
  <si>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</si>
  <si>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</si>
  <si>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</si>
  <si>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</si>
  <si>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</si>
  <si>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</si>
  <si>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</si>
  <si>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</si>
  <si>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</si>
  <si>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</si>
  <si>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</si>
  <si>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</si>
  <si>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</si>
  <si>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</si>
  <si>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</si>
  <si>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</si>
  <si>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</si>
  <si>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</si>
  <si>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</si>
  <si>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</si>
  <si>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</si>
  <si>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</si>
  <si>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</si>
  <si>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</si>
  <si>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</si>
  <si>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</si>
  <si>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</si>
  <si>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</si>
  <si>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</si>
  <si>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</si>
  <si>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</si>
  <si>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</si>
  <si>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</si>
  <si>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</si>
  <si>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</si>
  <si>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</si>
  <si>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</si>
  <si>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</si>
  <si>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</si>
  <si>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</si>
  <si>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</si>
  <si>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</si>
  <si>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</si>
  <si>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</si>
  <si>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</si>
  <si>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</si>
  <si>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</si>
  <si>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</si>
  <si>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</si>
  <si>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</si>
  <si>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</si>
  <si>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</si>
  <si>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</si>
  <si>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</si>
  <si>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</si>
  <si>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</si>
  <si>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</si>
  <si>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</si>
  <si>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</si>
  <si>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</si>
  <si>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</si>
  <si>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</si>
  <si>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</si>
  <si>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</si>
  <si>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</si>
  <si>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</si>
  <si>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</si>
  <si>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</si>
  <si>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</si>
  <si>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</si>
  <si>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</si>
  <si>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</si>
  <si>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</si>
  <si>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</si>
  <si>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</si>
  <si>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</si>
  <si>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</si>
  <si>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</si>
  <si>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</si>
  <si>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</si>
  <si>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</si>
  <si>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</si>
  <si>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</si>
  <si>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</si>
  <si>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</si>
  <si>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</si>
  <si>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</si>
  <si>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</si>
  <si>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</si>
  <si>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</si>
  <si>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</si>
  <si>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</si>
  <si>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</si>
  <si>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</si>
  <si>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</si>
  <si>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</si>
  <si>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</si>
  <si>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</si>
  <si>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</si>
  <si>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</si>
  <si>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</si>
  <si>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</si>
  <si>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</si>
  <si>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</si>
  <si>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</si>
  <si>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</si>
  <si>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</si>
  <si>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</si>
  <si>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</si>
  <si>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</si>
  <si>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</si>
  <si>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</si>
  <si>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</si>
  <si>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</si>
  <si>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</si>
  <si>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</si>
  <si>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</si>
  <si>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</si>
  <si>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</si>
  <si>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</si>
  <si>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</si>
  <si>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</si>
  <si>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</si>
  <si>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</si>
  <si>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</si>
  <si>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</si>
  <si>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</si>
  <si>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</si>
  <si>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</si>
  <si>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</si>
  <si>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</si>
  <si>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</si>
  <si>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</si>
  <si>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</si>
  <si>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</si>
  <si>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</si>
  <si>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</si>
  <si>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</si>
  <si>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</si>
  <si>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</si>
  <si>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</si>
  <si>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</si>
  <si>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</si>
  <si>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</si>
  <si>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</si>
  <si>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</si>
  <si>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</si>
  <si>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</si>
  <si>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</si>
  <si>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</si>
  <si>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</si>
  <si>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</si>
  <si>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</si>
  <si>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</si>
  <si>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</si>
  <si>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</si>
  <si>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</si>
  <si>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</si>
  <si>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</si>
  <si>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</si>
  <si>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</si>
  <si>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</si>
  <si>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</si>
  <si>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</si>
  <si>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</si>
  <si>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</si>
  <si>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</si>
  <si>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</si>
  <si>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</si>
  <si>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</si>
  <si>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</si>
  <si>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</si>
  <si>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</si>
  <si>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</si>
  <si>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</si>
  <si>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</si>
  <si>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</si>
  <si>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</si>
  <si>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</si>
  <si>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</si>
  <si>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</si>
  <si>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</si>
  <si>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</si>
  <si>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</si>
  <si>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</si>
  <si>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</si>
  <si>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</si>
  <si>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</si>
  <si>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</si>
  <si>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</si>
  <si>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</si>
  <si>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</si>
  <si>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</si>
  <si>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</si>
  <si>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</si>
  <si>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</si>
  <si>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</si>
  <si>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</si>
  <si>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</si>
  <si>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</si>
  <si>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</si>
  <si>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</si>
  <si>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</si>
  <si>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</si>
  <si>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</si>
  <si>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</si>
  <si>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</si>
  <si>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</si>
  <si>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</si>
  <si>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</si>
  <si>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</si>
  <si>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</si>
  <si>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</si>
  <si>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</si>
  <si>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</si>
  <si>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</si>
  <si>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</si>
  <si>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</si>
  <si>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</si>
  <si>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</si>
  <si>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</si>
  <si>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</si>
  <si>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</si>
  <si>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</si>
  <si>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</si>
  <si>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</si>
  <si>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</si>
  <si>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</si>
  <si>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</si>
  <si>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</si>
  <si>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</si>
  <si>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</si>
  <si>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</si>
  <si>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</si>
  <si>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</si>
  <si>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</si>
  <si>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</si>
  <si>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</si>
  <si>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</si>
  <si>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</si>
  <si>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</si>
  <si>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</si>
  <si>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</si>
  <si>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</si>
  <si>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</si>
  <si>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</si>
  <si>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</si>
  <si>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</si>
  <si>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</si>
  <si>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</si>
  <si>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</si>
  <si>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</si>
  <si>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</si>
  <si>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</si>
  <si>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</si>
  <si>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</si>
  <si>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</si>
  <si>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</si>
  <si>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</si>
  <si>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</si>
  <si>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</si>
  <si>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</si>
  <si>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</si>
  <si>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</si>
  <si>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</si>
  <si>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</si>
  <si>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</si>
  <si>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</si>
  <si>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</si>
  <si>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</si>
  <si>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</si>
  <si>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</si>
  <si>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</si>
  <si>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</si>
  <si>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</si>
  <si>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</si>
  <si>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</si>
  <si>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</si>
  <si>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</si>
  <si>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</si>
  <si>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</si>
  <si>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</si>
  <si>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</si>
  <si>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</si>
  <si>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</si>
  <si>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</si>
  <si>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</si>
  <si>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</si>
  <si>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</si>
  <si>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</si>
  <si>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</si>
  <si>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</si>
  <si>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</si>
  <si>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</si>
  <si>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</si>
  <si>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</si>
  <si>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</si>
  <si>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</si>
  <si>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</si>
  <si>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</si>
  <si>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</si>
  <si>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</si>
  <si>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</si>
  <si>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</si>
  <si>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</si>
  <si>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</si>
  <si>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</si>
  <si>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</si>
  <si>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</si>
  <si>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</si>
  <si>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</si>
  <si>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</si>
  <si>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</si>
  <si>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</si>
  <si>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</si>
  <si>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</si>
  <si>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</si>
  <si>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</si>
  <si>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</si>
  <si>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</si>
  <si>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</si>
  <si>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</si>
  <si>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</si>
  <si>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</si>
  <si>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</si>
  <si>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</si>
  <si>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</si>
  <si>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</si>
  <si>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</si>
  <si>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</si>
  <si>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</si>
  <si>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</si>
  <si>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</si>
  <si>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</si>
  <si>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</si>
  <si>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</si>
  <si>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</si>
  <si>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</si>
  <si>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</si>
  <si>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</si>
  <si>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</si>
  <si>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</si>
  <si>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</si>
  <si>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</si>
  <si>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</si>
  <si>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</si>
  <si>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</si>
  <si>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</si>
  <si>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</si>
  <si>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</si>
  <si>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</si>
  <si>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</si>
  <si>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</si>
  <si>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</si>
  <si>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</si>
  <si>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</si>
  <si>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</si>
  <si>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</si>
  <si>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</si>
  <si>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</si>
  <si>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</si>
  <si>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</si>
  <si>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</si>
  <si>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</si>
  <si>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</si>
  <si>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</si>
  <si>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</si>
  <si>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</si>
  <si>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</si>
  <si>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</si>
  <si>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</si>
  <si>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</si>
  <si>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</si>
  <si>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</si>
  <si>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</si>
  <si>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</si>
  <si>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</si>
  <si>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</si>
  <si>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</si>
  <si>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</si>
  <si>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</si>
  <si>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</si>
  <si>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</si>
  <si>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</si>
  <si>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</si>
  <si>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</si>
  <si>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</si>
  <si>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</si>
  <si>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</si>
  <si>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</si>
  <si>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</si>
  <si>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</si>
  <si>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</si>
  <si>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</si>
  <si>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</si>
  <si>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</si>
  <si>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</si>
  <si>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</si>
  <si>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</si>
  <si>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</si>
  <si>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</si>
  <si>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</si>
  <si>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</si>
  <si>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</si>
  <si>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</si>
  <si>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</si>
  <si>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</si>
  <si>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</si>
  <si>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</si>
  <si>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</si>
  <si>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</si>
  <si>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</si>
  <si>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</si>
  <si>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</si>
  <si>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</si>
  <si>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</si>
  <si>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</si>
  <si>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</si>
  <si>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</si>
  <si>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</si>
  <si>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</si>
  <si>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CHS Overhead Costs</t>
  </si>
  <si>
    <t>Auxiliary Support from Hospitality</t>
  </si>
  <si>
    <t>Fund 3</t>
  </si>
  <si>
    <t>Fund 1</t>
  </si>
  <si>
    <t>CHS Capital Outlay from District</t>
  </si>
  <si>
    <t>Fund 2</t>
  </si>
  <si>
    <t>Debt Service to BoA</t>
  </si>
  <si>
    <t>Fund 8</t>
  </si>
  <si>
    <t>Exhibit D</t>
  </si>
  <si>
    <t>There is $31,074 more in budgeted revenue than expenses associated with Baccalaureate programs. This additional revenue in the budget will be spent on indirect costs associated with facilities overhead (utilities, maintenance/repairs, custodial/grounds contract, etc.). These indirect costs ($31,074) account for approximately 4.5% of the Baccalaureate programs.</t>
  </si>
  <si>
    <t>The college's estimated credit hours shown are based on actual FY2024 enrollment. This is true for all classifications shown above.</t>
  </si>
  <si>
    <t>There is $31,074 more in budgeted revenue than expenses associated with Baccalaureate programs. This additional revenue in the budget will be spent on indirect costs associated with facilities overhead (utilities, maintenance/repairs, custodial/grounds contract, etc.). These indirect costs ($31,074) account for approximately 4.5% of the Baccalaureate programs. Facilities-related expenses are not budgeted at the program level, which is why they are not included in the itemized expense budget for baccaleaureate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</si>
</sst>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3886200</xdr:colOff>
          <xdr:row>50</xdr:row>
          <xdr:rowOff>95250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B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85725</xdr:rowOff>
        </xdr:from>
        <xdr:to>
          <xdr:col>1</xdr:col>
          <xdr:colOff>390525</xdr:colOff>
          <xdr:row>51</xdr:row>
          <xdr:rowOff>152400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G76" personId="{1F471670-B2F1-431A-BF2E-14A22D9B5720}" id="{E43269A4-60DF-45E9-84F2-D6385BE97A7D}">
    <text xml:space="preserve">The amount for the FCSPF Performance Based Incentives Funds should be entered in (General Ledger Code 42150)
</text>
  </threadedComment>
  <threadedComment ref="G79" personId="{1F471670-B2F1-431A-BF2E-14A22D9B5720}" id="{3D7B72AD-00D7-47D5-B215-8223D82C02A7}">
    <text xml:space="preserve">The amount for the FCSPF Performance Based Incentives Funds for Industry Certifications should be entered in (General Ledger Code 42510 not General Ledger Code 42150)
</text>
  </threadedComment>
  <threadedComment ref="G263" personId="{084C57B2-FE2B-4D2F-925E-7DC3566DFABA}" id="{157DF26C-0972-4BB5-AC46-0BBCAE081082}">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D5B0-0EFF-42DC-8240-2DE96FE69DC6}">
  <sheetPr>
    <tabColor theme="3" tint="0.79998168889431442"/>
    <pageSetUpPr fitToPage="1"/>
  </sheetPr>
  <dimension ref="A1:G266"/>
  <sheetViews>
    <sheetView zoomScale="70" zoomScaleNormal="70" workbookViewId="0">
      <selection activeCell="G2" sqref="G2"/>
    </sheetView>
  </sheetViews>
  <sheetFormatPr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s>
  <sheetData>
    <row r="1" spans="1:7" ht="26.25">
      <c r="A1" s="924"/>
      <c r="B1" s="924"/>
      <c r="C1" s="924"/>
      <c r="D1" s="924"/>
      <c r="E1" s="924"/>
      <c r="F1" s="924"/>
      <c r="G1" s="925" t="s">
        <v>790</v>
      </c>
    </row>
    <row r="2" spans="1:7" ht="26.25">
      <c r="A2" s="911" t="s">
        <v>268</v>
      </c>
      <c r="B2" s="911"/>
      <c r="C2" s="911"/>
      <c r="D2" s="911"/>
      <c r="E2" s="911"/>
      <c r="F2" s="911"/>
      <c r="G2" s="911"/>
    </row>
    <row r="3" spans="1:7" ht="26.25">
      <c r="A3" s="911" t="s">
        <v>269</v>
      </c>
      <c r="B3" s="911"/>
      <c r="C3" s="911"/>
      <c r="D3" s="911"/>
      <c r="E3" s="911"/>
      <c r="F3" s="911"/>
      <c r="G3" s="911"/>
    </row>
    <row r="4" spans="1:7" ht="26.25">
      <c r="A4" s="911" t="s">
        <v>726</v>
      </c>
      <c r="B4" s="911"/>
      <c r="C4" s="911"/>
      <c r="D4" s="911"/>
      <c r="E4" s="911"/>
      <c r="F4" s="911"/>
      <c r="G4" s="911"/>
    </row>
    <row r="5" spans="1:7">
      <c r="A5" s="927"/>
      <c r="B5" s="927"/>
      <c r="C5" s="927"/>
      <c r="D5" s="927"/>
      <c r="E5" s="927"/>
      <c r="F5" s="927"/>
      <c r="G5" s="927"/>
    </row>
    <row r="6" spans="1:7">
      <c r="A6" s="180"/>
      <c r="B6" s="180"/>
      <c r="C6" s="180"/>
      <c r="D6" s="180"/>
      <c r="E6" s="180"/>
      <c r="F6" s="180"/>
      <c r="G6" s="180"/>
    </row>
    <row r="7" spans="1:7" ht="75">
      <c r="A7" s="509" t="s">
        <v>271</v>
      </c>
      <c r="B7" s="510" t="s">
        <v>272</v>
      </c>
      <c r="C7" s="510"/>
      <c r="D7" s="510"/>
      <c r="E7" s="510"/>
      <c r="F7" s="511" t="s">
        <v>262</v>
      </c>
      <c r="G7" s="512" t="s">
        <v>273</v>
      </c>
    </row>
    <row r="8" spans="1:7">
      <c r="A8" s="528" t="s">
        <v>213</v>
      </c>
      <c r="B8" s="529"/>
      <c r="C8" s="529"/>
      <c r="D8" s="529"/>
      <c r="E8" s="529"/>
      <c r="F8" s="530"/>
      <c r="G8" s="531"/>
    </row>
    <row r="9" spans="1:7">
      <c r="A9" s="492"/>
      <c r="B9" s="182"/>
      <c r="C9" s="182"/>
      <c r="D9" s="182"/>
      <c r="E9" s="182"/>
      <c r="F9" s="183"/>
      <c r="G9" s="184"/>
    </row>
    <row r="10" spans="1:7">
      <c r="A10" s="492" t="s">
        <v>194</v>
      </c>
      <c r="B10" s="182"/>
      <c r="C10" s="182" t="s">
        <v>220</v>
      </c>
      <c r="D10" s="182"/>
      <c r="E10" s="182"/>
      <c r="F10" s="185">
        <v>40101</v>
      </c>
      <c r="G10" s="186">
        <f>+'EXHIBIT C'!H10+'EXHIBIT C(2)'!E13</f>
        <v>641429</v>
      </c>
    </row>
    <row r="11" spans="1:7">
      <c r="A11" s="492" t="s">
        <v>194</v>
      </c>
      <c r="B11" s="182"/>
      <c r="C11" s="175" t="s">
        <v>126</v>
      </c>
      <c r="D11" s="182"/>
      <c r="E11" s="182"/>
      <c r="F11" s="187" t="s">
        <v>221</v>
      </c>
      <c r="G11" s="186">
        <f>+'EXHIBIT C'!H11+'EXHIBIT C(2)'!E14</f>
        <v>4798011</v>
      </c>
    </row>
    <row r="12" spans="1:7">
      <c r="A12" s="492" t="s">
        <v>194</v>
      </c>
      <c r="B12" s="182"/>
      <c r="C12" s="182" t="s">
        <v>127</v>
      </c>
      <c r="D12" s="182"/>
      <c r="E12" s="182"/>
      <c r="F12" s="187" t="s">
        <v>222</v>
      </c>
      <c r="G12" s="513">
        <f>+'EXHIBIT C'!H12+'EXHIBIT C(2)'!E15</f>
        <v>1012443</v>
      </c>
    </row>
    <row r="13" spans="1:7">
      <c r="A13" s="492" t="s">
        <v>194</v>
      </c>
      <c r="B13" s="182"/>
      <c r="C13" s="188" t="s">
        <v>274</v>
      </c>
      <c r="D13" s="182"/>
      <c r="E13" s="182"/>
      <c r="F13" s="187" t="s">
        <v>223</v>
      </c>
      <c r="G13" s="513">
        <f>+'EXHIBIT C'!H13+'EXHIBIT C(2)'!E16</f>
        <v>375493</v>
      </c>
    </row>
    <row r="14" spans="1:7">
      <c r="A14" s="492" t="s">
        <v>194</v>
      </c>
      <c r="B14" s="182"/>
      <c r="C14" s="188" t="s">
        <v>275</v>
      </c>
      <c r="D14" s="182"/>
      <c r="E14" s="182"/>
      <c r="F14" s="187" t="s">
        <v>224</v>
      </c>
      <c r="G14" s="514">
        <f>+'EXHIBIT C'!H14+'EXHIBIT C(2)'!E17</f>
        <v>147082</v>
      </c>
    </row>
    <row r="15" spans="1:7">
      <c r="A15" s="492" t="s">
        <v>194</v>
      </c>
      <c r="B15" s="182"/>
      <c r="C15" s="175" t="s">
        <v>129</v>
      </c>
      <c r="D15" s="182"/>
      <c r="E15" s="182"/>
      <c r="F15" s="185">
        <v>40160</v>
      </c>
      <c r="G15" s="514">
        <f>+'EXHIBIT C'!H15+'EXHIBIT C(2)'!E18</f>
        <v>0</v>
      </c>
    </row>
    <row r="16" spans="1:7">
      <c r="A16" s="492"/>
      <c r="B16" s="182"/>
      <c r="C16" s="182"/>
      <c r="D16" s="182"/>
      <c r="E16" s="182"/>
      <c r="F16" s="187"/>
      <c r="G16" s="189"/>
    </row>
    <row r="17" spans="1:7">
      <c r="A17" s="493" t="s">
        <v>276</v>
      </c>
      <c r="B17" s="182"/>
      <c r="C17" s="182"/>
      <c r="D17" s="182"/>
      <c r="E17" s="182"/>
      <c r="F17" s="187"/>
      <c r="G17" s="722">
        <f>SUM(G10:G15)</f>
        <v>6974458</v>
      </c>
    </row>
    <row r="18" spans="1:7">
      <c r="A18" s="492"/>
      <c r="B18" s="182"/>
      <c r="C18" s="182"/>
      <c r="D18" s="182"/>
      <c r="E18" s="182"/>
      <c r="F18" s="187"/>
      <c r="G18" s="190"/>
    </row>
    <row r="19" spans="1:7">
      <c r="A19" s="492" t="s">
        <v>209</v>
      </c>
      <c r="B19" s="182"/>
      <c r="C19" s="182" t="s">
        <v>220</v>
      </c>
      <c r="D19" s="182"/>
      <c r="E19" s="182"/>
      <c r="F19" s="185">
        <v>40301</v>
      </c>
      <c r="G19" s="191">
        <f>+'EXHIBIT C'!F19+'EXHIBIT C(2)'!E22</f>
        <v>47914</v>
      </c>
    </row>
    <row r="20" spans="1:7">
      <c r="A20" s="492" t="s">
        <v>209</v>
      </c>
      <c r="B20" s="182"/>
      <c r="C20" s="175" t="s">
        <v>126</v>
      </c>
      <c r="D20" s="182"/>
      <c r="E20" s="182"/>
      <c r="F20" s="187" t="s">
        <v>228</v>
      </c>
      <c r="G20" s="191">
        <f>+'EXHIBIT C'!F20+'EXHIBIT C(2)'!E23</f>
        <v>709173</v>
      </c>
    </row>
    <row r="21" spans="1:7">
      <c r="A21" s="492" t="s">
        <v>209</v>
      </c>
      <c r="B21" s="182"/>
      <c r="C21" s="182" t="s">
        <v>127</v>
      </c>
      <c r="D21" s="182"/>
      <c r="E21" s="182"/>
      <c r="F21" s="187" t="s">
        <v>229</v>
      </c>
      <c r="G21" s="196">
        <f>+'EXHIBIT C'!F21+'EXHIBIT C(2)'!E24</f>
        <v>153952</v>
      </c>
    </row>
    <row r="22" spans="1:7">
      <c r="A22" s="492" t="s">
        <v>209</v>
      </c>
      <c r="B22" s="182"/>
      <c r="C22" s="188" t="s">
        <v>274</v>
      </c>
      <c r="D22" s="182"/>
      <c r="E22" s="182"/>
      <c r="F22" s="187" t="s">
        <v>230</v>
      </c>
      <c r="G22" s="196">
        <f>+'EXHIBIT C'!F22+'EXHIBIT C(2)'!E25</f>
        <v>47322</v>
      </c>
    </row>
    <row r="23" spans="1:7">
      <c r="A23" s="492" t="s">
        <v>209</v>
      </c>
      <c r="B23" s="182"/>
      <c r="C23" s="188" t="s">
        <v>275</v>
      </c>
      <c r="D23" s="182"/>
      <c r="E23" s="182"/>
      <c r="F23" s="187" t="s">
        <v>231</v>
      </c>
      <c r="G23" s="196">
        <f>+'EXHIBIT C'!F23+'EXHIBIT C(2)'!E26</f>
        <v>65802</v>
      </c>
    </row>
    <row r="24" spans="1:7">
      <c r="A24" s="492" t="s">
        <v>209</v>
      </c>
      <c r="B24" s="182"/>
      <c r="C24" s="175" t="s">
        <v>129</v>
      </c>
      <c r="D24" s="182"/>
      <c r="E24" s="182"/>
      <c r="F24" s="185">
        <v>40360</v>
      </c>
      <c r="G24" s="196">
        <f>+'EXHIBIT C'!F24+'EXHIBIT C(2)'!E27</f>
        <v>0</v>
      </c>
    </row>
    <row r="25" spans="1:7">
      <c r="A25" s="492" t="s">
        <v>209</v>
      </c>
      <c r="B25" s="182"/>
      <c r="C25" s="175" t="s">
        <v>774</v>
      </c>
      <c r="D25" s="182"/>
      <c r="E25" s="182"/>
      <c r="F25" s="185" t="s">
        <v>775</v>
      </c>
      <c r="G25" s="196">
        <f>+'EXHIBIT C'!F25+'EXHIBIT C(2)'!E28</f>
        <v>0</v>
      </c>
    </row>
    <row r="26" spans="1:7">
      <c r="A26" s="492"/>
      <c r="B26" s="182"/>
      <c r="C26" s="182"/>
      <c r="D26" s="182"/>
      <c r="E26" s="182"/>
      <c r="F26" s="187"/>
      <c r="G26" s="192"/>
    </row>
    <row r="27" spans="1:7">
      <c r="A27" s="493" t="s">
        <v>277</v>
      </c>
      <c r="B27" s="182"/>
      <c r="C27" s="182"/>
      <c r="D27" s="182"/>
      <c r="E27" s="182"/>
      <c r="F27" s="187"/>
      <c r="G27" s="723">
        <f>SUM(G19:G24)</f>
        <v>1024163</v>
      </c>
    </row>
    <row r="28" spans="1:7">
      <c r="A28" s="492"/>
      <c r="B28" s="182"/>
      <c r="C28" s="182"/>
      <c r="D28" s="182"/>
      <c r="E28" s="182"/>
      <c r="F28" s="187"/>
      <c r="G28" s="193"/>
    </row>
    <row r="29" spans="1:7">
      <c r="A29" s="492" t="s">
        <v>278</v>
      </c>
      <c r="B29" s="182"/>
      <c r="C29" s="853" t="s">
        <v>239</v>
      </c>
      <c r="D29" s="853"/>
      <c r="E29" s="853"/>
      <c r="F29" s="187" t="s">
        <v>240</v>
      </c>
      <c r="G29" s="194">
        <f>'EXHIBIT C'!H33</f>
        <v>0</v>
      </c>
    </row>
    <row r="30" spans="1:7">
      <c r="A30" s="492" t="s">
        <v>278</v>
      </c>
      <c r="B30" s="182"/>
      <c r="C30" s="175" t="s">
        <v>241</v>
      </c>
      <c r="D30" s="182"/>
      <c r="E30" s="182"/>
      <c r="F30" s="187" t="s">
        <v>242</v>
      </c>
      <c r="G30" s="194">
        <f>'EXHIBIT C'!H34</f>
        <v>0</v>
      </c>
    </row>
    <row r="31" spans="1:7">
      <c r="A31" s="492" t="s">
        <v>279</v>
      </c>
      <c r="B31" s="182"/>
      <c r="C31" s="182" t="s">
        <v>239</v>
      </c>
      <c r="D31" s="182"/>
      <c r="E31" s="182"/>
      <c r="F31" s="187" t="s">
        <v>240</v>
      </c>
      <c r="G31" s="194">
        <f>'EXHIBIT C'!H35</f>
        <v>0</v>
      </c>
    </row>
    <row r="32" spans="1:7">
      <c r="A32" s="492" t="s">
        <v>279</v>
      </c>
      <c r="B32" s="182"/>
      <c r="C32" s="175" t="s">
        <v>241</v>
      </c>
      <c r="D32" s="182"/>
      <c r="E32" s="182"/>
      <c r="F32" s="187" t="s">
        <v>242</v>
      </c>
      <c r="G32" s="194">
        <f>'EXHIBIT C'!H36</f>
        <v>0</v>
      </c>
    </row>
    <row r="33" spans="1:7">
      <c r="A33" s="492"/>
      <c r="B33" s="182"/>
      <c r="C33" s="182"/>
      <c r="D33" s="182"/>
      <c r="E33" s="182"/>
      <c r="F33" s="187"/>
      <c r="G33" s="195"/>
    </row>
    <row r="34" spans="1:7">
      <c r="A34" s="493" t="s">
        <v>280</v>
      </c>
      <c r="B34" s="182"/>
      <c r="C34" s="182"/>
      <c r="D34" s="182"/>
      <c r="E34" s="182"/>
      <c r="F34" s="187"/>
      <c r="G34" s="723">
        <f>SUM(G29:G32)</f>
        <v>0</v>
      </c>
    </row>
    <row r="35" spans="1:7">
      <c r="A35" s="492"/>
      <c r="B35" s="182"/>
      <c r="C35" s="182"/>
      <c r="D35" s="182"/>
      <c r="E35" s="182"/>
      <c r="F35" s="187"/>
      <c r="G35" s="192"/>
    </row>
    <row r="36" spans="1:7">
      <c r="A36" s="492" t="s">
        <v>281</v>
      </c>
      <c r="B36" s="182"/>
      <c r="C36" s="182" t="s">
        <v>239</v>
      </c>
      <c r="D36" s="182"/>
      <c r="E36" s="182"/>
      <c r="F36" s="187" t="s">
        <v>246</v>
      </c>
      <c r="G36" s="196">
        <f>'EXHIBIT C'!F40</f>
        <v>0</v>
      </c>
    </row>
    <row r="37" spans="1:7">
      <c r="A37" s="492" t="s">
        <v>281</v>
      </c>
      <c r="B37" s="182"/>
      <c r="C37" s="854" t="s">
        <v>241</v>
      </c>
      <c r="D37" s="854"/>
      <c r="E37" s="854"/>
      <c r="F37" s="187" t="s">
        <v>247</v>
      </c>
      <c r="G37" s="196">
        <f>'EXHIBIT C'!F41</f>
        <v>0</v>
      </c>
    </row>
    <row r="38" spans="1:7">
      <c r="A38" s="492" t="s">
        <v>282</v>
      </c>
      <c r="B38" s="182"/>
      <c r="C38" s="182" t="s">
        <v>239</v>
      </c>
      <c r="D38" s="182"/>
      <c r="E38" s="182"/>
      <c r="F38" s="187" t="s">
        <v>246</v>
      </c>
      <c r="G38" s="196">
        <f>'EXHIBIT C'!F42</f>
        <v>0</v>
      </c>
    </row>
    <row r="39" spans="1:7">
      <c r="A39" s="492" t="s">
        <v>282</v>
      </c>
      <c r="B39" s="182"/>
      <c r="C39" s="854" t="s">
        <v>241</v>
      </c>
      <c r="D39" s="854"/>
      <c r="E39" s="854"/>
      <c r="F39" s="187" t="s">
        <v>247</v>
      </c>
      <c r="G39" s="196">
        <f>'EXHIBIT C'!F43</f>
        <v>0</v>
      </c>
    </row>
    <row r="40" spans="1:7">
      <c r="A40" s="492"/>
      <c r="B40" s="182"/>
      <c r="C40" s="182"/>
      <c r="D40" s="182"/>
      <c r="E40" s="182"/>
      <c r="F40" s="187"/>
      <c r="G40" s="192"/>
    </row>
    <row r="41" spans="1:7">
      <c r="A41" s="493" t="s">
        <v>283</v>
      </c>
      <c r="B41" s="182"/>
      <c r="C41" s="182"/>
      <c r="D41" s="182"/>
      <c r="E41" s="182"/>
      <c r="F41" s="187"/>
      <c r="G41" s="723">
        <f>SUM(G36:G40)</f>
        <v>0</v>
      </c>
    </row>
    <row r="42" spans="1:7">
      <c r="A42" s="492"/>
      <c r="B42" s="182"/>
      <c r="C42" s="182"/>
      <c r="D42" s="182"/>
      <c r="E42" s="182"/>
      <c r="F42" s="187"/>
      <c r="G42" s="193"/>
    </row>
    <row r="43" spans="1:7">
      <c r="A43" s="493" t="s">
        <v>284</v>
      </c>
      <c r="B43" s="182"/>
      <c r="C43" s="182"/>
      <c r="D43" s="182"/>
      <c r="E43" s="182"/>
      <c r="F43" s="187"/>
      <c r="G43" s="724">
        <f>G17+G27+G34+G41</f>
        <v>7998621</v>
      </c>
    </row>
    <row r="44" spans="1:7">
      <c r="A44" s="492"/>
      <c r="B44" s="182"/>
      <c r="C44" s="182"/>
      <c r="D44" s="182"/>
      <c r="E44" s="182"/>
      <c r="F44" s="187"/>
      <c r="G44" s="192"/>
    </row>
    <row r="45" spans="1:7">
      <c r="A45" s="492" t="s">
        <v>285</v>
      </c>
      <c r="B45" s="182"/>
      <c r="C45" s="182"/>
      <c r="D45" s="182"/>
      <c r="E45" s="182"/>
      <c r="F45" s="187" t="s">
        <v>286</v>
      </c>
      <c r="G45" s="442">
        <v>0</v>
      </c>
    </row>
    <row r="46" spans="1:7">
      <c r="A46" s="492" t="s">
        <v>287</v>
      </c>
      <c r="B46" s="197"/>
      <c r="C46" s="197"/>
      <c r="D46" s="197"/>
      <c r="E46" s="197"/>
      <c r="F46" s="198" t="s">
        <v>288</v>
      </c>
      <c r="G46" s="442">
        <v>120000</v>
      </c>
    </row>
    <row r="47" spans="1:7">
      <c r="A47" s="492" t="s">
        <v>289</v>
      </c>
      <c r="C47" s="197"/>
      <c r="D47" s="197"/>
      <c r="E47" s="197"/>
      <c r="F47" s="198" t="s">
        <v>290</v>
      </c>
      <c r="G47" s="442">
        <v>0</v>
      </c>
    </row>
    <row r="48" spans="1:7">
      <c r="A48" s="492" t="s">
        <v>291</v>
      </c>
      <c r="B48" s="182"/>
      <c r="C48" s="182"/>
      <c r="D48" s="182"/>
      <c r="E48" s="182"/>
      <c r="F48" s="187" t="s">
        <v>292</v>
      </c>
      <c r="G48" s="442">
        <v>0</v>
      </c>
    </row>
    <row r="49" spans="1:7">
      <c r="A49" s="492" t="s">
        <v>293</v>
      </c>
      <c r="B49" s="182"/>
      <c r="C49" s="182"/>
      <c r="D49" s="182"/>
      <c r="E49" s="182"/>
      <c r="F49" s="187" t="s">
        <v>294</v>
      </c>
      <c r="G49" s="442">
        <v>975000</v>
      </c>
    </row>
    <row r="50" spans="1:7">
      <c r="A50" s="492" t="s">
        <v>295</v>
      </c>
      <c r="B50" s="182"/>
      <c r="C50" s="182"/>
      <c r="D50" s="182"/>
      <c r="E50" s="182"/>
      <c r="F50" s="185">
        <v>40450</v>
      </c>
      <c r="G50" s="442">
        <v>741480</v>
      </c>
    </row>
    <row r="51" spans="1:7">
      <c r="A51" s="492" t="s">
        <v>296</v>
      </c>
      <c r="B51" s="182"/>
      <c r="C51" s="182"/>
      <c r="D51" s="182"/>
      <c r="E51" s="182"/>
      <c r="F51" s="187" t="s">
        <v>297</v>
      </c>
      <c r="G51" s="442">
        <v>0</v>
      </c>
    </row>
    <row r="52" spans="1:7">
      <c r="A52" s="492" t="s">
        <v>298</v>
      </c>
      <c r="B52" s="182"/>
      <c r="C52" s="182"/>
      <c r="D52" s="182"/>
      <c r="E52" s="182"/>
      <c r="F52" s="198" t="s">
        <v>299</v>
      </c>
      <c r="G52" s="442">
        <v>0</v>
      </c>
    </row>
    <row r="53" spans="1:7">
      <c r="A53" s="492" t="s">
        <v>300</v>
      </c>
      <c r="B53" s="182"/>
      <c r="C53" s="182"/>
      <c r="D53" s="182"/>
      <c r="E53" s="182"/>
      <c r="F53" s="187" t="s">
        <v>301</v>
      </c>
      <c r="G53" s="442">
        <v>0</v>
      </c>
    </row>
    <row r="54" spans="1:7">
      <c r="A54" s="492" t="s">
        <v>302</v>
      </c>
      <c r="B54" s="182"/>
      <c r="C54" s="182"/>
      <c r="D54" s="182"/>
      <c r="E54" s="182"/>
      <c r="F54" s="198" t="s">
        <v>303</v>
      </c>
      <c r="G54" s="442">
        <v>0</v>
      </c>
    </row>
    <row r="55" spans="1:7">
      <c r="A55" s="492" t="s">
        <v>304</v>
      </c>
      <c r="B55" s="182"/>
      <c r="C55" s="182"/>
      <c r="D55" s="182"/>
      <c r="E55" s="182"/>
      <c r="F55" s="187" t="s">
        <v>305</v>
      </c>
      <c r="G55" s="442">
        <v>48769</v>
      </c>
    </row>
    <row r="56" spans="1:7">
      <c r="A56" s="492" t="s">
        <v>306</v>
      </c>
      <c r="B56" s="182"/>
      <c r="C56" s="182"/>
      <c r="D56" s="182"/>
      <c r="E56" s="182"/>
      <c r="F56" s="187" t="s">
        <v>307</v>
      </c>
      <c r="G56" s="442">
        <v>0</v>
      </c>
    </row>
    <row r="57" spans="1:7">
      <c r="A57" s="492" t="s">
        <v>308</v>
      </c>
      <c r="B57" s="182"/>
      <c r="C57" s="182"/>
      <c r="D57" s="182"/>
      <c r="E57" s="182"/>
      <c r="F57" s="199" t="s">
        <v>309</v>
      </c>
      <c r="G57" s="442">
        <v>430000</v>
      </c>
    </row>
    <row r="58" spans="1:7">
      <c r="A58" s="492" t="s">
        <v>310</v>
      </c>
      <c r="B58" s="182"/>
      <c r="C58" s="182"/>
      <c r="D58" s="182"/>
      <c r="E58" s="182"/>
      <c r="F58" s="187" t="s">
        <v>311</v>
      </c>
      <c r="G58" s="442">
        <v>227000</v>
      </c>
    </row>
    <row r="59" spans="1:7">
      <c r="A59" s="492" t="s">
        <v>312</v>
      </c>
      <c r="B59" s="182"/>
      <c r="C59" s="182"/>
      <c r="D59" s="182"/>
      <c r="E59" s="182"/>
      <c r="F59" s="198" t="s">
        <v>313</v>
      </c>
      <c r="G59" s="442">
        <v>0</v>
      </c>
    </row>
    <row r="60" spans="1:7">
      <c r="A60" s="492" t="s">
        <v>314</v>
      </c>
      <c r="B60" s="182"/>
      <c r="C60" s="182"/>
      <c r="D60" s="182"/>
      <c r="E60" s="182"/>
      <c r="F60" s="198" t="s">
        <v>315</v>
      </c>
      <c r="G60" s="442">
        <v>0</v>
      </c>
    </row>
    <row r="61" spans="1:7">
      <c r="A61" s="492"/>
      <c r="B61" s="182"/>
      <c r="C61" s="182"/>
      <c r="D61" s="182"/>
      <c r="E61" s="182"/>
      <c r="F61" s="187"/>
      <c r="G61" s="725"/>
    </row>
    <row r="62" spans="1:7">
      <c r="A62" s="493" t="s">
        <v>316</v>
      </c>
      <c r="B62" s="182"/>
      <c r="C62" s="182"/>
      <c r="D62" s="182"/>
      <c r="E62" s="182"/>
      <c r="F62" s="187"/>
      <c r="G62" s="726">
        <f>SUM(G43:G60)</f>
        <v>10540870</v>
      </c>
    </row>
    <row r="63" spans="1:7">
      <c r="A63" s="492"/>
      <c r="B63" s="182"/>
      <c r="C63" s="182"/>
      <c r="D63" s="182"/>
      <c r="E63" s="182"/>
      <c r="F63" s="187"/>
      <c r="G63" s="192"/>
    </row>
    <row r="64" spans="1:7">
      <c r="A64" s="855" t="s">
        <v>317</v>
      </c>
      <c r="B64" s="856"/>
      <c r="C64" s="856"/>
      <c r="D64" s="856"/>
      <c r="E64" s="856"/>
      <c r="F64" s="857"/>
      <c r="G64" s="727"/>
    </row>
    <row r="65" spans="1:7">
      <c r="A65" s="492"/>
      <c r="B65" s="182"/>
      <c r="C65" s="182"/>
      <c r="D65" s="182"/>
      <c r="E65" s="182"/>
      <c r="F65" s="187"/>
      <c r="G65" s="192"/>
    </row>
    <row r="66" spans="1:7">
      <c r="A66" s="492" t="s">
        <v>318</v>
      </c>
      <c r="B66" s="182"/>
      <c r="C66" s="182"/>
      <c r="D66" s="182"/>
      <c r="E66" s="182"/>
      <c r="F66" s="187" t="s">
        <v>319</v>
      </c>
      <c r="G66" s="442">
        <v>0</v>
      </c>
    </row>
    <row r="67" spans="1:7">
      <c r="A67" s="492" t="s">
        <v>320</v>
      </c>
      <c r="B67" s="182"/>
      <c r="C67" s="182"/>
      <c r="D67" s="182"/>
      <c r="E67" s="182"/>
      <c r="F67" s="187" t="s">
        <v>321</v>
      </c>
      <c r="G67" s="442">
        <v>1501211</v>
      </c>
    </row>
    <row r="68" spans="1:7">
      <c r="A68" s="492" t="s">
        <v>322</v>
      </c>
      <c r="B68" s="182"/>
      <c r="C68" s="182"/>
      <c r="D68" s="182"/>
      <c r="E68" s="182"/>
      <c r="F68" s="187" t="s">
        <v>323</v>
      </c>
      <c r="G68" s="442">
        <v>0</v>
      </c>
    </row>
    <row r="69" spans="1:7">
      <c r="A69" s="492"/>
      <c r="B69" s="182"/>
      <c r="C69" s="182"/>
      <c r="D69" s="182"/>
      <c r="E69" s="182"/>
      <c r="F69" s="187"/>
      <c r="G69" s="725"/>
    </row>
    <row r="70" spans="1:7">
      <c r="A70" s="493" t="s">
        <v>324</v>
      </c>
      <c r="B70" s="182"/>
      <c r="C70" s="182"/>
      <c r="D70" s="182"/>
      <c r="E70" s="182"/>
      <c r="F70" s="187"/>
      <c r="G70" s="220">
        <f>SUM(G66:G68)</f>
        <v>1501211</v>
      </c>
    </row>
    <row r="71" spans="1:7">
      <c r="A71" s="728"/>
      <c r="B71" s="567"/>
      <c r="C71" s="567"/>
      <c r="D71" s="567"/>
      <c r="E71" s="567"/>
      <c r="F71" s="568"/>
      <c r="G71" s="729"/>
    </row>
    <row r="72" spans="1:7">
      <c r="A72" s="855" t="s">
        <v>325</v>
      </c>
      <c r="B72" s="856"/>
      <c r="C72" s="856"/>
      <c r="D72" s="856"/>
      <c r="E72" s="856"/>
      <c r="F72" s="857"/>
      <c r="G72" s="621"/>
    </row>
    <row r="73" spans="1:7">
      <c r="A73" s="492"/>
      <c r="B73" s="182"/>
      <c r="C73" s="182"/>
      <c r="D73" s="182"/>
      <c r="E73" s="182"/>
      <c r="F73" s="187"/>
      <c r="G73" s="200"/>
    </row>
    <row r="74" spans="1:7">
      <c r="A74" s="492" t="s">
        <v>326</v>
      </c>
      <c r="B74" s="182"/>
      <c r="C74" s="182"/>
      <c r="D74" s="182"/>
      <c r="E74" s="182"/>
      <c r="F74" s="187" t="s">
        <v>327</v>
      </c>
      <c r="G74" s="515">
        <f>'CHECK SHEET'!D84</f>
        <v>24756000.410122402</v>
      </c>
    </row>
    <row r="75" spans="1:7">
      <c r="A75" s="492" t="s">
        <v>695</v>
      </c>
      <c r="B75" s="182"/>
      <c r="C75" s="182"/>
      <c r="D75" s="182"/>
      <c r="E75" s="182"/>
      <c r="F75" s="185">
        <v>42130</v>
      </c>
      <c r="G75" s="516">
        <v>846604</v>
      </c>
    </row>
    <row r="76" spans="1:7">
      <c r="A76" s="494" t="s">
        <v>328</v>
      </c>
      <c r="B76" s="495"/>
      <c r="C76" s="495"/>
      <c r="D76" s="495"/>
      <c r="E76" s="495"/>
      <c r="F76" s="201" t="s">
        <v>329</v>
      </c>
      <c r="G76" s="517">
        <f>393003+337943</f>
        <v>730946</v>
      </c>
    </row>
    <row r="77" spans="1:7">
      <c r="A77" s="494" t="s">
        <v>330</v>
      </c>
      <c r="B77" s="495"/>
      <c r="C77" s="495"/>
      <c r="D77" s="495"/>
      <c r="E77" s="495"/>
      <c r="F77" s="201" t="s">
        <v>331</v>
      </c>
      <c r="G77" s="516">
        <v>0</v>
      </c>
    </row>
    <row r="78" spans="1:7">
      <c r="A78" s="492" t="s">
        <v>332</v>
      </c>
      <c r="B78" s="182"/>
      <c r="C78" s="182"/>
      <c r="D78" s="182"/>
      <c r="E78" s="182"/>
      <c r="F78" s="187" t="s">
        <v>333</v>
      </c>
      <c r="G78" s="516">
        <v>0</v>
      </c>
    </row>
    <row r="79" spans="1:7">
      <c r="A79" s="492" t="s">
        <v>713</v>
      </c>
      <c r="B79" s="182"/>
      <c r="C79" s="182"/>
      <c r="D79" s="182"/>
      <c r="E79" s="182"/>
      <c r="F79" s="187" t="s">
        <v>334</v>
      </c>
      <c r="G79" s="516">
        <v>0</v>
      </c>
    </row>
    <row r="80" spans="1:7">
      <c r="A80" s="492" t="s">
        <v>335</v>
      </c>
      <c r="B80" s="182"/>
      <c r="C80" s="182"/>
      <c r="D80" s="182"/>
      <c r="E80" s="182"/>
      <c r="F80" s="187" t="s">
        <v>336</v>
      </c>
      <c r="G80" s="515">
        <f>'CHECK SHEET'!D86</f>
        <v>4377734.5898775999</v>
      </c>
    </row>
    <row r="81" spans="1:7">
      <c r="A81" s="496" t="s">
        <v>337</v>
      </c>
      <c r="B81" s="497"/>
      <c r="C81" s="497"/>
      <c r="D81" s="497"/>
      <c r="E81" s="497"/>
      <c r="F81" s="200" t="s">
        <v>338</v>
      </c>
      <c r="G81" s="516">
        <v>0</v>
      </c>
    </row>
    <row r="82" spans="1:7">
      <c r="A82" s="492" t="s">
        <v>339</v>
      </c>
      <c r="B82" s="182"/>
      <c r="C82" s="182"/>
      <c r="D82" s="182"/>
      <c r="E82" s="182"/>
      <c r="F82" s="187" t="s">
        <v>340</v>
      </c>
      <c r="G82" s="516">
        <v>0</v>
      </c>
    </row>
    <row r="83" spans="1:7">
      <c r="A83" s="492"/>
      <c r="B83" s="182"/>
      <c r="C83" s="182"/>
      <c r="D83" s="182"/>
      <c r="E83" s="182"/>
      <c r="F83" s="187"/>
      <c r="G83" s="730"/>
    </row>
    <row r="84" spans="1:7">
      <c r="A84" s="493" t="s">
        <v>341</v>
      </c>
      <c r="B84" s="182"/>
      <c r="C84" s="182"/>
      <c r="D84" s="182"/>
      <c r="E84" s="182"/>
      <c r="F84" s="187"/>
      <c r="G84" s="221">
        <f>SUM(G74:G82)</f>
        <v>30711285</v>
      </c>
    </row>
    <row r="85" spans="1:7">
      <c r="A85" s="728"/>
      <c r="B85" s="567"/>
      <c r="C85" s="567"/>
      <c r="D85" s="567"/>
      <c r="E85" s="567"/>
      <c r="F85" s="568"/>
      <c r="G85" s="729"/>
    </row>
    <row r="86" spans="1:7">
      <c r="A86" s="858" t="s">
        <v>342</v>
      </c>
      <c r="B86" s="859"/>
      <c r="C86" s="859"/>
      <c r="D86" s="859"/>
      <c r="E86" s="859"/>
      <c r="F86" s="860"/>
      <c r="G86" s="621"/>
    </row>
    <row r="87" spans="1:7">
      <c r="A87" s="492"/>
      <c r="B87" s="182"/>
      <c r="C87" s="182"/>
      <c r="D87" s="182"/>
      <c r="E87" s="182"/>
      <c r="F87" s="187"/>
      <c r="G87" s="200"/>
    </row>
    <row r="88" spans="1:7">
      <c r="A88" s="492" t="s">
        <v>343</v>
      </c>
      <c r="B88" s="182"/>
      <c r="C88" s="182"/>
      <c r="D88" s="182"/>
      <c r="E88" s="182"/>
      <c r="F88" s="187" t="s">
        <v>344</v>
      </c>
      <c r="G88" s="445">
        <v>0</v>
      </c>
    </row>
    <row r="89" spans="1:7">
      <c r="A89" s="492" t="s">
        <v>345</v>
      </c>
      <c r="B89" s="182"/>
      <c r="C89" s="182"/>
      <c r="D89" s="182"/>
      <c r="E89" s="182"/>
      <c r="F89" s="1006">
        <v>43518</v>
      </c>
      <c r="G89" s="518">
        <v>0</v>
      </c>
    </row>
    <row r="90" spans="1:7">
      <c r="A90" s="492" t="s">
        <v>346</v>
      </c>
      <c r="B90" s="182"/>
      <c r="C90" s="182"/>
      <c r="D90" s="182"/>
      <c r="E90" s="182"/>
      <c r="F90" s="1006">
        <v>43519</v>
      </c>
      <c r="G90" s="518">
        <v>0</v>
      </c>
    </row>
    <row r="91" spans="1:7">
      <c r="A91" s="492" t="s">
        <v>7</v>
      </c>
      <c r="B91" s="182"/>
      <c r="C91" s="182"/>
      <c r="D91" s="182"/>
      <c r="E91" s="182"/>
      <c r="F91" s="205">
        <v>43521</v>
      </c>
      <c r="G91" s="518">
        <v>0</v>
      </c>
    </row>
    <row r="92" spans="1:7">
      <c r="A92" s="492" t="s">
        <v>8</v>
      </c>
      <c r="B92" s="182"/>
      <c r="C92" s="182"/>
      <c r="D92" s="182"/>
      <c r="E92" s="182"/>
      <c r="F92" s="205">
        <v>43526</v>
      </c>
      <c r="G92" s="518">
        <v>0</v>
      </c>
    </row>
    <row r="93" spans="1:7">
      <c r="A93" s="492" t="s">
        <v>347</v>
      </c>
      <c r="B93" s="182"/>
      <c r="C93" s="182"/>
      <c r="D93" s="182"/>
      <c r="E93" s="182"/>
      <c r="F93" s="187" t="s">
        <v>348</v>
      </c>
      <c r="G93" s="442">
        <v>0</v>
      </c>
    </row>
    <row r="94" spans="1:7">
      <c r="A94" s="600"/>
      <c r="B94" s="569"/>
      <c r="C94" s="569"/>
      <c r="D94" s="569"/>
      <c r="E94" s="569"/>
      <c r="F94" s="585"/>
      <c r="G94" s="730"/>
    </row>
    <row r="95" spans="1:7">
      <c r="A95" s="493" t="s">
        <v>349</v>
      </c>
      <c r="B95" s="182"/>
      <c r="C95" s="182"/>
      <c r="D95" s="182"/>
      <c r="E95" s="182"/>
      <c r="F95" s="203"/>
      <c r="G95" s="731">
        <f>SUM(G88:G93)</f>
        <v>0</v>
      </c>
    </row>
    <row r="96" spans="1:7">
      <c r="A96" s="492"/>
      <c r="B96" s="182"/>
      <c r="C96" s="182"/>
      <c r="D96" s="182"/>
      <c r="E96" s="182"/>
      <c r="F96" s="187"/>
      <c r="G96" s="204"/>
    </row>
    <row r="97" spans="1:7">
      <c r="A97" s="861" t="s">
        <v>350</v>
      </c>
      <c r="B97" s="862"/>
      <c r="C97" s="862"/>
      <c r="D97" s="862"/>
      <c r="E97" s="862"/>
      <c r="F97" s="863"/>
      <c r="G97" s="732"/>
    </row>
    <row r="98" spans="1:7">
      <c r="A98" s="492"/>
      <c r="B98" s="182"/>
      <c r="C98" s="182"/>
      <c r="D98" s="182"/>
      <c r="E98" s="182"/>
      <c r="F98" s="187"/>
      <c r="G98" s="204"/>
    </row>
    <row r="99" spans="1:7">
      <c r="A99" s="492" t="s">
        <v>351</v>
      </c>
      <c r="B99" s="182"/>
      <c r="C99" s="182"/>
      <c r="D99" s="182"/>
      <c r="E99" s="182"/>
      <c r="F99" s="187" t="s">
        <v>352</v>
      </c>
      <c r="G99" s="445">
        <v>0</v>
      </c>
    </row>
    <row r="100" spans="1:7">
      <c r="A100" s="492" t="s">
        <v>353</v>
      </c>
      <c r="B100" s="182"/>
      <c r="C100" s="182"/>
      <c r="D100" s="182"/>
      <c r="E100" s="182"/>
      <c r="F100" s="187" t="s">
        <v>354</v>
      </c>
      <c r="G100" s="443">
        <v>0</v>
      </c>
    </row>
    <row r="101" spans="1:7">
      <c r="A101" s="492" t="s">
        <v>355</v>
      </c>
      <c r="B101" s="182"/>
      <c r="C101" s="182"/>
      <c r="D101" s="182"/>
      <c r="E101" s="182"/>
      <c r="F101" s="205">
        <v>44400</v>
      </c>
      <c r="G101" s="444">
        <v>443795</v>
      </c>
    </row>
    <row r="102" spans="1:7">
      <c r="A102" s="492" t="s">
        <v>356</v>
      </c>
      <c r="B102" s="182"/>
      <c r="C102" s="182"/>
      <c r="D102" s="182"/>
      <c r="E102" s="182"/>
      <c r="F102" s="187" t="s">
        <v>357</v>
      </c>
      <c r="G102" s="443">
        <v>0</v>
      </c>
    </row>
    <row r="103" spans="1:7">
      <c r="A103" s="492"/>
      <c r="B103" s="182"/>
      <c r="C103" s="182"/>
      <c r="D103" s="182"/>
      <c r="E103" s="182"/>
      <c r="F103" s="187"/>
      <c r="G103" s="733"/>
    </row>
    <row r="104" spans="1:7">
      <c r="A104" s="493" t="s">
        <v>358</v>
      </c>
      <c r="B104" s="182"/>
      <c r="C104" s="182"/>
      <c r="D104" s="182"/>
      <c r="E104" s="182"/>
      <c r="F104" s="187"/>
      <c r="G104" s="731">
        <f>SUM(G99:G102)</f>
        <v>443795</v>
      </c>
    </row>
    <row r="105" spans="1:7">
      <c r="A105" s="492"/>
      <c r="B105" s="182"/>
      <c r="C105" s="182"/>
      <c r="D105" s="182"/>
      <c r="E105" s="182"/>
      <c r="F105" s="187"/>
      <c r="G105" s="204"/>
    </row>
    <row r="106" spans="1:7">
      <c r="A106" s="855" t="s">
        <v>359</v>
      </c>
      <c r="B106" s="856"/>
      <c r="C106" s="856"/>
      <c r="D106" s="856"/>
      <c r="E106" s="856"/>
      <c r="F106" s="857"/>
      <c r="G106" s="734"/>
    </row>
    <row r="107" spans="1:7">
      <c r="A107" s="492"/>
      <c r="B107" s="182"/>
      <c r="C107" s="182"/>
      <c r="D107" s="182"/>
      <c r="E107" s="182"/>
      <c r="F107" s="187"/>
      <c r="G107" s="204"/>
    </row>
    <row r="108" spans="1:7">
      <c r="A108" s="492" t="s">
        <v>360</v>
      </c>
      <c r="B108" s="182"/>
      <c r="C108" s="182"/>
      <c r="D108" s="182"/>
      <c r="E108" s="182"/>
      <c r="F108" s="187" t="s">
        <v>361</v>
      </c>
      <c r="G108" s="445">
        <v>0</v>
      </c>
    </row>
    <row r="109" spans="1:7">
      <c r="A109" s="492" t="s">
        <v>362</v>
      </c>
      <c r="B109" s="182"/>
      <c r="C109" s="182"/>
      <c r="D109" s="182"/>
      <c r="E109" s="182"/>
      <c r="F109" s="187" t="s">
        <v>363</v>
      </c>
      <c r="G109" s="443">
        <v>187290</v>
      </c>
    </row>
    <row r="110" spans="1:7">
      <c r="A110" s="492" t="s">
        <v>364</v>
      </c>
      <c r="B110" s="182"/>
      <c r="C110" s="182"/>
      <c r="D110" s="182"/>
      <c r="E110" s="182"/>
      <c r="F110" s="187" t="s">
        <v>365</v>
      </c>
      <c r="G110" s="443">
        <v>3600</v>
      </c>
    </row>
    <row r="111" spans="1:7">
      <c r="A111" s="492" t="s">
        <v>366</v>
      </c>
      <c r="B111" s="182"/>
      <c r="C111" s="182"/>
      <c r="D111" s="182"/>
      <c r="E111" s="182"/>
      <c r="F111" s="187" t="s">
        <v>367</v>
      </c>
      <c r="G111" s="443">
        <v>11000</v>
      </c>
    </row>
    <row r="112" spans="1:7">
      <c r="A112" s="492" t="s">
        <v>368</v>
      </c>
      <c r="B112" s="182"/>
      <c r="C112" s="182"/>
      <c r="D112" s="182"/>
      <c r="E112" s="182"/>
      <c r="F112" s="187" t="s">
        <v>369</v>
      </c>
      <c r="G112" s="1078">
        <v>38500</v>
      </c>
    </row>
    <row r="113" spans="1:7">
      <c r="A113" s="492"/>
      <c r="B113" s="182"/>
      <c r="C113" s="182"/>
      <c r="D113" s="182"/>
      <c r="E113" s="182"/>
      <c r="F113" s="187"/>
      <c r="G113" s="733"/>
    </row>
    <row r="114" spans="1:7">
      <c r="A114" s="735" t="s">
        <v>370</v>
      </c>
      <c r="B114" s="736"/>
      <c r="C114" s="736"/>
      <c r="D114" s="736"/>
      <c r="E114" s="736"/>
      <c r="F114" s="737"/>
      <c r="G114" s="731">
        <f>SUM(G108:G112)</f>
        <v>240390</v>
      </c>
    </row>
    <row r="115" spans="1:7">
      <c r="A115" s="492"/>
      <c r="B115" s="182"/>
      <c r="C115" s="182"/>
      <c r="D115" s="182"/>
      <c r="E115" s="182"/>
      <c r="F115" s="498"/>
      <c r="G115" s="499"/>
    </row>
    <row r="116" spans="1:7">
      <c r="A116" s="738" t="s">
        <v>371</v>
      </c>
      <c r="B116" s="570"/>
      <c r="C116" s="570"/>
      <c r="D116" s="570"/>
      <c r="E116" s="570"/>
      <c r="F116" s="571" t="s">
        <v>372</v>
      </c>
      <c r="G116" s="739">
        <v>0</v>
      </c>
    </row>
    <row r="117" spans="1:7">
      <c r="A117" s="500"/>
      <c r="F117" s="205"/>
      <c r="G117" s="206"/>
    </row>
    <row r="118" spans="1:7">
      <c r="A118" s="493" t="s">
        <v>373</v>
      </c>
      <c r="C118" s="182"/>
      <c r="D118" s="182"/>
      <c r="F118" s="205"/>
      <c r="G118" s="731">
        <f>G116</f>
        <v>0</v>
      </c>
    </row>
    <row r="119" spans="1:7">
      <c r="A119" s="500"/>
      <c r="F119" s="205"/>
      <c r="G119" s="204"/>
    </row>
    <row r="120" spans="1:7">
      <c r="A120" s="861" t="s">
        <v>374</v>
      </c>
      <c r="B120" s="862"/>
      <c r="C120" s="862"/>
      <c r="D120" s="862"/>
      <c r="E120" s="862"/>
      <c r="F120" s="863"/>
      <c r="G120" s="732"/>
    </row>
    <row r="121" spans="1:7">
      <c r="A121" s="492"/>
      <c r="B121" s="182"/>
      <c r="C121" s="182"/>
      <c r="D121" s="182"/>
      <c r="E121" s="182"/>
      <c r="F121" s="187"/>
      <c r="G121" s="204"/>
    </row>
    <row r="122" spans="1:7">
      <c r="A122" s="492" t="s">
        <v>375</v>
      </c>
      <c r="B122" s="182"/>
      <c r="C122" s="182"/>
      <c r="D122" s="182"/>
      <c r="E122" s="182"/>
      <c r="F122" s="187" t="s">
        <v>376</v>
      </c>
      <c r="G122" s="445">
        <v>350000</v>
      </c>
    </row>
    <row r="123" spans="1:7">
      <c r="A123" s="492" t="s">
        <v>377</v>
      </c>
      <c r="B123" s="182"/>
      <c r="C123" s="182"/>
      <c r="D123" s="182"/>
      <c r="E123" s="182"/>
      <c r="F123" s="187" t="s">
        <v>378</v>
      </c>
      <c r="G123" s="443">
        <v>0</v>
      </c>
    </row>
    <row r="124" spans="1:7">
      <c r="A124" s="492" t="s">
        <v>379</v>
      </c>
      <c r="B124" s="182"/>
      <c r="C124" s="182"/>
      <c r="D124" s="182"/>
      <c r="E124" s="182"/>
      <c r="F124" s="187" t="s">
        <v>380</v>
      </c>
      <c r="G124" s="443">
        <v>925</v>
      </c>
    </row>
    <row r="125" spans="1:7">
      <c r="A125" s="492" t="s">
        <v>381</v>
      </c>
      <c r="B125" s="182"/>
      <c r="C125" s="182"/>
      <c r="D125" s="182"/>
      <c r="E125" s="182"/>
      <c r="F125" s="187" t="s">
        <v>382</v>
      </c>
      <c r="G125" s="443">
        <v>36750</v>
      </c>
    </row>
    <row r="126" spans="1:7">
      <c r="A126" s="492"/>
      <c r="B126" s="182"/>
      <c r="C126" s="182"/>
      <c r="D126" s="182"/>
      <c r="E126" s="182"/>
      <c r="F126" s="187"/>
      <c r="G126" s="733"/>
    </row>
    <row r="127" spans="1:7">
      <c r="A127" s="493" t="s">
        <v>383</v>
      </c>
      <c r="B127" s="182"/>
      <c r="C127" s="182"/>
      <c r="D127" s="182"/>
      <c r="E127" s="182"/>
      <c r="F127" s="187"/>
      <c r="G127" s="731">
        <f>SUM(G122:G125)</f>
        <v>387675</v>
      </c>
    </row>
    <row r="128" spans="1:7">
      <c r="A128" s="492"/>
      <c r="B128" s="182"/>
      <c r="C128" s="182"/>
      <c r="D128" s="182"/>
      <c r="E128" s="182"/>
      <c r="F128" s="187"/>
      <c r="G128" s="204"/>
    </row>
    <row r="129" spans="1:7">
      <c r="A129" s="855" t="s">
        <v>384</v>
      </c>
      <c r="B129" s="856"/>
      <c r="C129" s="856"/>
      <c r="D129" s="856"/>
      <c r="E129" s="856"/>
      <c r="F129" s="857"/>
      <c r="G129" s="734"/>
    </row>
    <row r="130" spans="1:7">
      <c r="A130" s="492"/>
      <c r="B130" s="182"/>
      <c r="C130" s="182"/>
      <c r="D130" s="182"/>
      <c r="E130" s="182"/>
      <c r="F130" s="187"/>
      <c r="G130" s="204"/>
    </row>
    <row r="131" spans="1:7">
      <c r="A131" s="492" t="s">
        <v>385</v>
      </c>
      <c r="B131" s="182"/>
      <c r="C131" s="182"/>
      <c r="D131" s="501"/>
      <c r="E131" s="197"/>
      <c r="F131" s="1095" t="s">
        <v>386</v>
      </c>
      <c r="G131" s="445">
        <v>0</v>
      </c>
    </row>
    <row r="132" spans="1:7">
      <c r="A132" s="492" t="s">
        <v>697</v>
      </c>
      <c r="B132" s="182"/>
      <c r="C132" s="182"/>
      <c r="D132" s="501"/>
      <c r="E132" s="197"/>
      <c r="F132" s="1166">
        <v>49200</v>
      </c>
      <c r="G132" s="443">
        <v>2525000</v>
      </c>
    </row>
    <row r="133" spans="1:7">
      <c r="A133" s="492" t="s">
        <v>387</v>
      </c>
      <c r="B133" s="182"/>
      <c r="C133" s="182"/>
      <c r="D133" s="182"/>
      <c r="E133" s="182"/>
      <c r="F133" s="1052" t="s">
        <v>388</v>
      </c>
      <c r="G133" s="443">
        <v>30000</v>
      </c>
    </row>
    <row r="134" spans="1:7">
      <c r="A134" s="492" t="s">
        <v>389</v>
      </c>
      <c r="B134" s="182"/>
      <c r="C134" s="182"/>
      <c r="D134" s="182"/>
      <c r="E134" s="182"/>
      <c r="F134" s="185">
        <v>49520</v>
      </c>
      <c r="G134" s="443">
        <v>0</v>
      </c>
    </row>
    <row r="135" spans="1:7">
      <c r="A135" s="1021" t="s">
        <v>689</v>
      </c>
      <c r="B135" s="182"/>
      <c r="C135" s="182"/>
      <c r="D135" s="182"/>
      <c r="E135" s="182"/>
      <c r="F135" s="205">
        <v>49521</v>
      </c>
      <c r="G135" s="443">
        <v>0</v>
      </c>
    </row>
    <row r="136" spans="1:7">
      <c r="A136" s="492" t="s">
        <v>390</v>
      </c>
      <c r="B136" s="182"/>
      <c r="C136" s="182"/>
      <c r="D136" s="182"/>
      <c r="E136" s="182"/>
      <c r="F136" s="187" t="s">
        <v>391</v>
      </c>
      <c r="G136" s="443">
        <v>0</v>
      </c>
    </row>
    <row r="137" spans="1:7">
      <c r="A137" s="492" t="s">
        <v>392</v>
      </c>
      <c r="B137" s="182"/>
      <c r="C137" s="182"/>
      <c r="D137" s="182"/>
      <c r="E137" s="182"/>
      <c r="F137" s="187" t="s">
        <v>393</v>
      </c>
      <c r="G137" s="443">
        <v>-1</v>
      </c>
    </row>
    <row r="138" spans="1:7">
      <c r="A138" s="492"/>
      <c r="B138" s="182"/>
      <c r="C138" s="182"/>
      <c r="D138" s="182"/>
      <c r="E138" s="182"/>
      <c r="F138" s="187"/>
      <c r="G138" s="733"/>
    </row>
    <row r="139" spans="1:7">
      <c r="A139" s="493" t="s">
        <v>394</v>
      </c>
      <c r="B139" s="182"/>
      <c r="C139" s="182"/>
      <c r="D139" s="182"/>
      <c r="E139" s="182"/>
      <c r="F139" s="187"/>
      <c r="G139" s="731">
        <f>SUM(G131:G137)</f>
        <v>2554999</v>
      </c>
    </row>
    <row r="140" spans="1:7">
      <c r="A140" s="492"/>
      <c r="B140" s="182"/>
      <c r="C140" s="182"/>
      <c r="D140" s="182"/>
      <c r="E140" s="182"/>
      <c r="F140" s="187"/>
      <c r="G140" s="204"/>
    </row>
    <row r="141" spans="1:7" ht="19.5" thickBot="1">
      <c r="A141" s="521" t="s">
        <v>395</v>
      </c>
      <c r="B141" s="522"/>
      <c r="C141" s="522"/>
      <c r="D141" s="522"/>
      <c r="E141" s="522"/>
      <c r="F141" s="523"/>
      <c r="G141" s="525">
        <f>G62+G70+G84+G95+G104+G114+G118+G127+G139</f>
        <v>46380225</v>
      </c>
    </row>
    <row r="142" spans="1:7" ht="19.5" thickTop="1">
      <c r="A142" s="728"/>
      <c r="B142" s="567"/>
      <c r="C142" s="567"/>
      <c r="D142" s="567"/>
      <c r="E142" s="567"/>
      <c r="F142" s="622"/>
      <c r="G142" s="623"/>
    </row>
    <row r="143" spans="1:7">
      <c r="A143" s="855" t="s">
        <v>396</v>
      </c>
      <c r="B143" s="856"/>
      <c r="C143" s="856"/>
      <c r="D143" s="856"/>
      <c r="E143" s="856"/>
      <c r="F143" s="857"/>
      <c r="G143" s="740"/>
    </row>
    <row r="144" spans="1:7">
      <c r="A144" s="492"/>
      <c r="B144" s="182"/>
      <c r="C144" s="182"/>
      <c r="D144" s="182"/>
      <c r="E144" s="182"/>
      <c r="F144" s="187"/>
      <c r="G144" s="207"/>
    </row>
    <row r="145" spans="1:7">
      <c r="A145" s="492" t="s">
        <v>397</v>
      </c>
      <c r="B145" s="182"/>
      <c r="C145" s="182"/>
      <c r="D145" s="182"/>
      <c r="E145" s="182"/>
      <c r="F145" s="187" t="s">
        <v>398</v>
      </c>
      <c r="G145" s="446">
        <v>842064</v>
      </c>
    </row>
    <row r="146" spans="1:7">
      <c r="A146" s="492" t="s">
        <v>399</v>
      </c>
      <c r="F146" s="187" t="s">
        <v>400</v>
      </c>
      <c r="G146" s="447">
        <v>333400</v>
      </c>
    </row>
    <row r="147" spans="1:7">
      <c r="A147" s="492" t="s">
        <v>401</v>
      </c>
      <c r="F147" s="187" t="s">
        <v>402</v>
      </c>
      <c r="G147" s="447">
        <v>650549</v>
      </c>
    </row>
    <row r="148" spans="1:7">
      <c r="A148" s="492" t="s">
        <v>403</v>
      </c>
      <c r="F148" s="187" t="s">
        <v>404</v>
      </c>
      <c r="G148" s="447">
        <v>0</v>
      </c>
    </row>
    <row r="149" spans="1:7">
      <c r="A149" s="492" t="s">
        <v>405</v>
      </c>
      <c r="F149" s="187" t="s">
        <v>406</v>
      </c>
      <c r="G149" s="447">
        <v>0</v>
      </c>
    </row>
    <row r="150" spans="1:7">
      <c r="A150" s="492" t="s">
        <v>407</v>
      </c>
      <c r="B150" s="182"/>
      <c r="C150" s="182"/>
      <c r="D150" s="182"/>
      <c r="E150" s="182"/>
      <c r="F150" s="187" t="s">
        <v>408</v>
      </c>
      <c r="G150" s="447">
        <v>5976722</v>
      </c>
    </row>
    <row r="151" spans="1:7">
      <c r="A151" s="492" t="s">
        <v>409</v>
      </c>
      <c r="B151" s="182"/>
      <c r="C151" s="182"/>
      <c r="D151" s="182"/>
      <c r="E151" s="182"/>
      <c r="F151" s="187" t="s">
        <v>410</v>
      </c>
      <c r="G151" s="447">
        <v>1323009</v>
      </c>
    </row>
    <row r="152" spans="1:7">
      <c r="A152" s="492" t="s">
        <v>411</v>
      </c>
      <c r="B152" s="182"/>
      <c r="C152" s="182"/>
      <c r="D152" s="182"/>
      <c r="E152" s="182"/>
      <c r="F152" s="187" t="s">
        <v>412</v>
      </c>
      <c r="G152" s="447">
        <v>0</v>
      </c>
    </row>
    <row r="153" spans="1:7">
      <c r="A153" s="492" t="s">
        <v>413</v>
      </c>
      <c r="B153" s="182"/>
      <c r="C153" s="182"/>
      <c r="D153" s="182"/>
      <c r="E153" s="182"/>
      <c r="F153" s="187" t="s">
        <v>414</v>
      </c>
      <c r="G153" s="447">
        <v>0</v>
      </c>
    </row>
    <row r="154" spans="1:7">
      <c r="A154" s="492" t="s">
        <v>415</v>
      </c>
      <c r="B154" s="182"/>
      <c r="C154" s="182"/>
      <c r="D154" s="182"/>
      <c r="E154" s="182"/>
      <c r="F154" s="187" t="s">
        <v>416</v>
      </c>
      <c r="G154" s="447">
        <v>0</v>
      </c>
    </row>
    <row r="155" spans="1:7">
      <c r="A155" s="492" t="s">
        <v>417</v>
      </c>
      <c r="B155" s="182"/>
      <c r="C155" s="182"/>
      <c r="D155" s="182"/>
      <c r="E155" s="182"/>
      <c r="F155" s="185">
        <v>52500</v>
      </c>
      <c r="G155" s="447">
        <v>0</v>
      </c>
    </row>
    <row r="156" spans="1:7">
      <c r="A156" s="492" t="s">
        <v>418</v>
      </c>
      <c r="B156" s="182"/>
      <c r="C156" s="182"/>
      <c r="D156" s="182"/>
      <c r="E156" s="182"/>
      <c r="F156" s="187" t="s">
        <v>419</v>
      </c>
      <c r="G156" s="447">
        <v>0</v>
      </c>
    </row>
    <row r="157" spans="1:7">
      <c r="A157" s="492" t="s">
        <v>420</v>
      </c>
      <c r="B157" s="182"/>
      <c r="C157" s="182"/>
      <c r="D157" s="182"/>
      <c r="E157" s="182"/>
      <c r="F157" s="187" t="s">
        <v>421</v>
      </c>
      <c r="G157" s="447">
        <v>0</v>
      </c>
    </row>
    <row r="158" spans="1:7">
      <c r="A158" s="492" t="s">
        <v>422</v>
      </c>
      <c r="B158" s="182"/>
      <c r="C158" s="182"/>
      <c r="D158" s="182"/>
      <c r="E158" s="182"/>
      <c r="F158" s="187" t="s">
        <v>423</v>
      </c>
      <c r="G158" s="447">
        <v>0</v>
      </c>
    </row>
    <row r="159" spans="1:7">
      <c r="A159" s="492" t="s">
        <v>424</v>
      </c>
      <c r="B159" s="182"/>
      <c r="C159" s="182"/>
      <c r="D159" s="182"/>
      <c r="E159" s="182"/>
      <c r="F159" s="187" t="s">
        <v>425</v>
      </c>
      <c r="G159" s="447">
        <v>0</v>
      </c>
    </row>
    <row r="160" spans="1:7">
      <c r="A160" s="492" t="s">
        <v>426</v>
      </c>
      <c r="B160" s="182"/>
      <c r="C160" s="182"/>
      <c r="D160" s="182"/>
      <c r="E160" s="182"/>
      <c r="F160" s="187" t="s">
        <v>427</v>
      </c>
      <c r="G160" s="447">
        <v>6075692</v>
      </c>
    </row>
    <row r="161" spans="1:7">
      <c r="A161" s="492" t="s">
        <v>428</v>
      </c>
      <c r="B161" s="182"/>
      <c r="C161" s="182"/>
      <c r="D161" s="182"/>
      <c r="E161" s="182"/>
      <c r="F161" s="187" t="s">
        <v>429</v>
      </c>
      <c r="G161" s="447">
        <v>0</v>
      </c>
    </row>
    <row r="162" spans="1:7">
      <c r="A162" s="492" t="s">
        <v>430</v>
      </c>
      <c r="B162" s="182"/>
      <c r="C162" s="182"/>
      <c r="D162" s="182"/>
      <c r="E162" s="182"/>
      <c r="F162" s="187" t="s">
        <v>431</v>
      </c>
      <c r="G162" s="447">
        <v>0</v>
      </c>
    </row>
    <row r="163" spans="1:7">
      <c r="A163" s="492" t="s">
        <v>432</v>
      </c>
      <c r="B163" s="182"/>
      <c r="C163" s="182"/>
      <c r="D163" s="182"/>
      <c r="E163" s="182"/>
      <c r="F163" s="187" t="s">
        <v>433</v>
      </c>
      <c r="G163" s="447">
        <v>0</v>
      </c>
    </row>
    <row r="164" spans="1:7">
      <c r="A164" s="492" t="s">
        <v>434</v>
      </c>
      <c r="B164" s="182"/>
      <c r="C164" s="182"/>
      <c r="D164" s="182"/>
      <c r="E164" s="182"/>
      <c r="F164" s="187" t="s">
        <v>435</v>
      </c>
      <c r="G164" s="447">
        <v>0</v>
      </c>
    </row>
    <row r="165" spans="1:7">
      <c r="A165" s="492" t="s">
        <v>436</v>
      </c>
      <c r="B165" s="182"/>
      <c r="C165" s="182"/>
      <c r="D165" s="182"/>
      <c r="E165" s="182"/>
      <c r="F165" s="187" t="s">
        <v>437</v>
      </c>
      <c r="G165" s="447">
        <v>2090110</v>
      </c>
    </row>
    <row r="166" spans="1:7">
      <c r="A166" s="492" t="s">
        <v>438</v>
      </c>
      <c r="B166" s="182"/>
      <c r="C166" s="182"/>
      <c r="D166" s="182"/>
      <c r="E166" s="182"/>
      <c r="F166" s="187" t="s">
        <v>439</v>
      </c>
      <c r="G166" s="447">
        <v>0</v>
      </c>
    </row>
    <row r="167" spans="1:7">
      <c r="A167" s="492" t="s">
        <v>440</v>
      </c>
      <c r="B167" s="182"/>
      <c r="C167" s="182"/>
      <c r="D167" s="182"/>
      <c r="E167" s="182"/>
      <c r="F167" s="187" t="s">
        <v>441</v>
      </c>
      <c r="G167" s="447">
        <v>0</v>
      </c>
    </row>
    <row r="168" spans="1:7">
      <c r="A168" s="492" t="s">
        <v>442</v>
      </c>
      <c r="B168" s="182"/>
      <c r="C168" s="182"/>
      <c r="D168" s="182"/>
      <c r="E168" s="182"/>
      <c r="F168" s="187" t="s">
        <v>443</v>
      </c>
      <c r="G168" s="447">
        <v>0</v>
      </c>
    </row>
    <row r="169" spans="1:7">
      <c r="A169" s="492" t="s">
        <v>444</v>
      </c>
      <c r="B169" s="182"/>
      <c r="C169" s="182"/>
      <c r="D169" s="182"/>
      <c r="E169" s="182"/>
      <c r="F169" s="187" t="s">
        <v>445</v>
      </c>
      <c r="G169" s="447">
        <v>0</v>
      </c>
    </row>
    <row r="170" spans="1:7">
      <c r="A170" s="492" t="s">
        <v>446</v>
      </c>
      <c r="B170" s="182"/>
      <c r="C170" s="182"/>
      <c r="D170" s="182"/>
      <c r="E170" s="182"/>
      <c r="F170" s="185">
        <v>56001</v>
      </c>
      <c r="G170" s="447">
        <v>2508745</v>
      </c>
    </row>
    <row r="171" spans="1:7">
      <c r="A171" s="492" t="s">
        <v>447</v>
      </c>
      <c r="B171" s="182"/>
      <c r="C171" s="182"/>
      <c r="D171" s="182"/>
      <c r="E171" s="182"/>
      <c r="F171" s="185">
        <v>56002</v>
      </c>
      <c r="G171" s="447">
        <f>71000+78270</f>
        <v>149270</v>
      </c>
    </row>
    <row r="172" spans="1:7">
      <c r="A172" s="492" t="s">
        <v>448</v>
      </c>
      <c r="B172" s="182"/>
      <c r="C172" s="182"/>
      <c r="D172" s="182"/>
      <c r="E172" s="182"/>
      <c r="F172" s="185">
        <v>56003</v>
      </c>
      <c r="G172" s="447">
        <v>0</v>
      </c>
    </row>
    <row r="173" spans="1:7">
      <c r="A173" s="492" t="s">
        <v>449</v>
      </c>
      <c r="B173" s="182"/>
      <c r="C173" s="182"/>
      <c r="D173" s="182"/>
      <c r="E173" s="182"/>
      <c r="F173" s="208" t="s">
        <v>450</v>
      </c>
      <c r="G173" s="447">
        <v>0</v>
      </c>
    </row>
    <row r="174" spans="1:7">
      <c r="A174" s="492" t="s">
        <v>451</v>
      </c>
      <c r="B174" s="182"/>
      <c r="C174" s="182"/>
      <c r="D174" s="182"/>
      <c r="E174" s="182"/>
      <c r="F174" s="187" t="s">
        <v>452</v>
      </c>
      <c r="G174" s="447">
        <v>0</v>
      </c>
    </row>
    <row r="175" spans="1:7">
      <c r="A175" s="500" t="s">
        <v>453</v>
      </c>
      <c r="F175" s="205" t="s">
        <v>454</v>
      </c>
      <c r="G175" s="447">
        <v>258063</v>
      </c>
    </row>
    <row r="176" spans="1:7">
      <c r="A176" s="492" t="s">
        <v>455</v>
      </c>
      <c r="B176" s="182"/>
      <c r="C176" s="182"/>
      <c r="D176" s="182"/>
      <c r="E176" s="182"/>
      <c r="F176" s="187" t="s">
        <v>456</v>
      </c>
      <c r="G176" s="447">
        <v>802089</v>
      </c>
    </row>
    <row r="177" spans="1:7">
      <c r="A177" s="492" t="s">
        <v>457</v>
      </c>
      <c r="B177" s="182"/>
      <c r="C177" s="182"/>
      <c r="D177" s="182"/>
      <c r="E177" s="182"/>
      <c r="F177" s="187" t="s">
        <v>458</v>
      </c>
      <c r="G177" s="447">
        <v>0</v>
      </c>
    </row>
    <row r="178" spans="1:7">
      <c r="A178" s="492" t="s">
        <v>459</v>
      </c>
      <c r="B178" s="182"/>
      <c r="C178" s="182"/>
      <c r="D178" s="182"/>
      <c r="E178" s="182"/>
      <c r="F178" s="187" t="s">
        <v>460</v>
      </c>
      <c r="G178" s="447">
        <v>0</v>
      </c>
    </row>
    <row r="179" spans="1:7">
      <c r="A179" s="492" t="s">
        <v>461</v>
      </c>
      <c r="B179" s="182"/>
      <c r="C179" s="182"/>
      <c r="D179" s="182"/>
      <c r="E179" s="182"/>
      <c r="F179" s="187" t="s">
        <v>462</v>
      </c>
      <c r="G179" s="447">
        <v>0</v>
      </c>
    </row>
    <row r="180" spans="1:7">
      <c r="A180" s="492" t="s">
        <v>463</v>
      </c>
      <c r="B180" s="182"/>
      <c r="C180" s="182"/>
      <c r="D180" s="182"/>
      <c r="E180" s="182"/>
      <c r="F180" s="187" t="s">
        <v>464</v>
      </c>
      <c r="G180" s="447">
        <v>0</v>
      </c>
    </row>
    <row r="181" spans="1:7">
      <c r="A181" s="492" t="s">
        <v>465</v>
      </c>
      <c r="B181" s="182"/>
      <c r="C181" s="182"/>
      <c r="D181" s="182"/>
      <c r="E181" s="182"/>
      <c r="F181" s="187" t="s">
        <v>466</v>
      </c>
      <c r="G181" s="447">
        <v>0</v>
      </c>
    </row>
    <row r="182" spans="1:7">
      <c r="A182" s="492" t="s">
        <v>467</v>
      </c>
      <c r="B182" s="182"/>
      <c r="C182" s="182"/>
      <c r="D182" s="182"/>
      <c r="E182" s="182"/>
      <c r="F182" s="187" t="s">
        <v>468</v>
      </c>
      <c r="G182" s="447">
        <v>0</v>
      </c>
    </row>
    <row r="183" spans="1:7">
      <c r="A183" s="492" t="s">
        <v>469</v>
      </c>
      <c r="B183" s="182"/>
      <c r="C183" s="182"/>
      <c r="D183" s="182"/>
      <c r="E183" s="182"/>
      <c r="F183" s="187" t="s">
        <v>470</v>
      </c>
      <c r="G183" s="447">
        <v>900338</v>
      </c>
    </row>
    <row r="184" spans="1:7">
      <c r="A184" s="492" t="s">
        <v>471</v>
      </c>
      <c r="B184" s="182"/>
      <c r="C184" s="182"/>
      <c r="D184" s="182"/>
      <c r="E184" s="182"/>
      <c r="F184" s="187" t="s">
        <v>472</v>
      </c>
      <c r="G184" s="447">
        <v>1663458</v>
      </c>
    </row>
    <row r="185" spans="1:7">
      <c r="A185" s="492" t="s">
        <v>473</v>
      </c>
      <c r="B185" s="182"/>
      <c r="C185" s="182"/>
      <c r="D185" s="182"/>
      <c r="E185" s="182"/>
      <c r="F185" s="187" t="s">
        <v>474</v>
      </c>
      <c r="G185" s="447">
        <v>0</v>
      </c>
    </row>
    <row r="186" spans="1:7">
      <c r="A186" s="492" t="s">
        <v>475</v>
      </c>
      <c r="B186" s="182"/>
      <c r="C186" s="182"/>
      <c r="D186" s="182"/>
      <c r="E186" s="182"/>
      <c r="F186" s="187" t="s">
        <v>476</v>
      </c>
      <c r="G186" s="447">
        <v>0</v>
      </c>
    </row>
    <row r="187" spans="1:7">
      <c r="A187" s="492" t="s">
        <v>477</v>
      </c>
      <c r="B187" s="182"/>
      <c r="C187" s="182"/>
      <c r="D187" s="182"/>
      <c r="E187" s="182"/>
      <c r="F187" s="187" t="s">
        <v>478</v>
      </c>
      <c r="G187" s="447">
        <v>0</v>
      </c>
    </row>
    <row r="188" spans="1:7">
      <c r="A188" s="492" t="s">
        <v>479</v>
      </c>
      <c r="B188" s="182"/>
      <c r="C188" s="182"/>
      <c r="D188" s="182"/>
      <c r="E188" s="182"/>
      <c r="F188" s="205">
        <v>59600</v>
      </c>
      <c r="G188" s="447">
        <v>0</v>
      </c>
    </row>
    <row r="189" spans="1:7">
      <c r="A189" s="492" t="s">
        <v>480</v>
      </c>
      <c r="B189" s="182"/>
      <c r="C189" s="182"/>
      <c r="D189" s="182"/>
      <c r="E189" s="182"/>
      <c r="F189" s="187" t="s">
        <v>481</v>
      </c>
      <c r="G189" s="447">
        <v>2130999</v>
      </c>
    </row>
    <row r="190" spans="1:7">
      <c r="A190" s="492" t="s">
        <v>482</v>
      </c>
      <c r="B190" s="182"/>
      <c r="C190" s="182"/>
      <c r="D190" s="182"/>
      <c r="E190" s="182"/>
      <c r="F190" s="187" t="s">
        <v>483</v>
      </c>
      <c r="G190" s="447">
        <v>0</v>
      </c>
    </row>
    <row r="191" spans="1:7">
      <c r="A191" s="492" t="s">
        <v>484</v>
      </c>
      <c r="B191" s="182"/>
      <c r="C191" s="182"/>
      <c r="D191" s="182"/>
      <c r="E191" s="182"/>
      <c r="F191" s="187" t="s">
        <v>485</v>
      </c>
      <c r="G191" s="447">
        <v>825000</v>
      </c>
    </row>
    <row r="192" spans="1:7">
      <c r="A192" s="492"/>
      <c r="B192" s="182"/>
      <c r="C192" s="182"/>
      <c r="D192" s="182"/>
      <c r="E192" s="182"/>
      <c r="F192" s="187"/>
      <c r="G192" s="741"/>
    </row>
    <row r="193" spans="1:7">
      <c r="A193" s="505" t="s">
        <v>486</v>
      </c>
      <c r="B193" s="506"/>
      <c r="C193" s="506"/>
      <c r="D193" s="506"/>
      <c r="E193" s="506"/>
      <c r="F193" s="519"/>
      <c r="G193" s="520">
        <f>SUM(G145:G191)</f>
        <v>26529508</v>
      </c>
    </row>
    <row r="194" spans="1:7">
      <c r="A194" s="502"/>
      <c r="B194" s="209"/>
      <c r="C194" s="209"/>
      <c r="D194" s="209"/>
      <c r="E194" s="209"/>
      <c r="F194" s="222"/>
      <c r="G194" s="210"/>
    </row>
    <row r="195" spans="1:7">
      <c r="A195" s="742" t="s">
        <v>487</v>
      </c>
      <c r="B195" s="601"/>
      <c r="C195" s="601"/>
      <c r="D195" s="601"/>
      <c r="E195" s="601"/>
      <c r="F195" s="727"/>
      <c r="G195" s="743"/>
    </row>
    <row r="196" spans="1:7">
      <c r="A196" s="492"/>
      <c r="B196" s="182"/>
      <c r="C196" s="182"/>
      <c r="D196" s="182"/>
      <c r="E196" s="182"/>
      <c r="F196" s="187"/>
      <c r="G196" s="207"/>
    </row>
    <row r="197" spans="1:7">
      <c r="A197" s="492" t="s">
        <v>488</v>
      </c>
      <c r="B197" s="182"/>
      <c r="C197" s="182"/>
      <c r="D197" s="182"/>
      <c r="E197" s="182"/>
      <c r="F197" s="187" t="s">
        <v>489</v>
      </c>
      <c r="G197" s="447">
        <v>659188</v>
      </c>
    </row>
    <row r="198" spans="1:7">
      <c r="A198" s="492" t="s">
        <v>490</v>
      </c>
      <c r="B198" s="182"/>
      <c r="C198" s="182"/>
      <c r="D198" s="182"/>
      <c r="E198" s="182"/>
      <c r="F198" s="187" t="s">
        <v>491</v>
      </c>
      <c r="G198" s="447">
        <v>44945</v>
      </c>
    </row>
    <row r="199" spans="1:7">
      <c r="A199" s="492" t="s">
        <v>492</v>
      </c>
      <c r="B199" s="182"/>
      <c r="C199" s="182"/>
      <c r="D199" s="182"/>
      <c r="E199" s="182"/>
      <c r="F199" s="187" t="s">
        <v>493</v>
      </c>
      <c r="G199" s="447">
        <v>134000</v>
      </c>
    </row>
    <row r="200" spans="1:7">
      <c r="A200" s="492" t="s">
        <v>494</v>
      </c>
      <c r="B200" s="182"/>
      <c r="C200" s="182"/>
      <c r="D200" s="182"/>
      <c r="E200" s="182"/>
      <c r="F200" s="187" t="s">
        <v>495</v>
      </c>
      <c r="G200" s="447">
        <v>129290</v>
      </c>
    </row>
    <row r="201" spans="1:7">
      <c r="A201" s="492" t="s">
        <v>496</v>
      </c>
      <c r="B201" s="182"/>
      <c r="C201" s="182"/>
      <c r="D201" s="182"/>
      <c r="E201" s="182"/>
      <c r="F201" s="187" t="s">
        <v>497</v>
      </c>
      <c r="G201" s="447">
        <v>1312855</v>
      </c>
    </row>
    <row r="202" spans="1:7">
      <c r="A202" s="492" t="s">
        <v>498</v>
      </c>
      <c r="B202" s="182"/>
      <c r="C202" s="182"/>
      <c r="D202" s="182"/>
      <c r="E202" s="182"/>
      <c r="F202" s="187" t="s">
        <v>499</v>
      </c>
      <c r="G202" s="447">
        <v>171410</v>
      </c>
    </row>
    <row r="203" spans="1:7">
      <c r="A203" s="492" t="s">
        <v>688</v>
      </c>
      <c r="B203" s="182"/>
      <c r="C203" s="182"/>
      <c r="D203" s="182"/>
      <c r="E203" s="182"/>
      <c r="F203" s="1006">
        <v>63100</v>
      </c>
      <c r="G203" s="447">
        <v>0</v>
      </c>
    </row>
    <row r="204" spans="1:7">
      <c r="A204" s="492" t="s">
        <v>500</v>
      </c>
      <c r="B204" s="182"/>
      <c r="C204" s="182"/>
      <c r="D204" s="182"/>
      <c r="E204" s="182"/>
      <c r="F204" s="187" t="s">
        <v>501</v>
      </c>
      <c r="G204" s="447">
        <v>1372070</v>
      </c>
    </row>
    <row r="205" spans="1:7">
      <c r="A205" s="492" t="s">
        <v>502</v>
      </c>
      <c r="B205" s="182"/>
      <c r="C205" s="182"/>
      <c r="D205" s="182"/>
      <c r="E205" s="182"/>
      <c r="F205" s="187" t="s">
        <v>503</v>
      </c>
      <c r="G205" s="447">
        <v>2049987</v>
      </c>
    </row>
    <row r="206" spans="1:7">
      <c r="A206" s="492" t="s">
        <v>504</v>
      </c>
      <c r="B206" s="182"/>
      <c r="C206" s="182"/>
      <c r="D206" s="182"/>
      <c r="E206" s="182"/>
      <c r="F206" s="187" t="s">
        <v>505</v>
      </c>
      <c r="G206" s="447">
        <v>5602125.1299999999</v>
      </c>
    </row>
    <row r="207" spans="1:7">
      <c r="A207" s="492" t="s">
        <v>683</v>
      </c>
      <c r="B207" s="182"/>
      <c r="C207" s="182"/>
      <c r="D207" s="182"/>
      <c r="E207" s="182"/>
      <c r="F207" s="187" t="s">
        <v>506</v>
      </c>
      <c r="G207" s="447">
        <v>0</v>
      </c>
    </row>
    <row r="208" spans="1:7">
      <c r="A208" s="492" t="s">
        <v>507</v>
      </c>
      <c r="B208" s="182"/>
      <c r="C208" s="182"/>
      <c r="D208" s="182"/>
      <c r="E208" s="182"/>
      <c r="F208" s="187" t="s">
        <v>508</v>
      </c>
      <c r="G208" s="447">
        <v>0</v>
      </c>
    </row>
    <row r="209" spans="1:7">
      <c r="A209" s="492" t="s">
        <v>509</v>
      </c>
      <c r="B209" s="182"/>
      <c r="C209" s="182"/>
      <c r="D209" s="182"/>
      <c r="E209" s="182"/>
      <c r="F209" s="187" t="s">
        <v>510</v>
      </c>
      <c r="G209" s="447">
        <v>275035</v>
      </c>
    </row>
    <row r="210" spans="1:7">
      <c r="A210" s="492" t="s">
        <v>511</v>
      </c>
      <c r="B210" s="182"/>
      <c r="C210" s="182"/>
      <c r="D210" s="182"/>
      <c r="E210" s="182"/>
      <c r="F210" s="187" t="s">
        <v>512</v>
      </c>
      <c r="G210" s="447">
        <v>629449</v>
      </c>
    </row>
    <row r="211" spans="1:7">
      <c r="A211" s="492" t="s">
        <v>513</v>
      </c>
      <c r="F211" s="205" t="s">
        <v>514</v>
      </c>
      <c r="G211" s="447">
        <v>1403882</v>
      </c>
    </row>
    <row r="212" spans="1:7">
      <c r="A212" s="492" t="s">
        <v>515</v>
      </c>
      <c r="B212" s="182"/>
      <c r="C212" s="182"/>
      <c r="D212" s="182"/>
      <c r="E212" s="182"/>
      <c r="F212" s="187" t="s">
        <v>516</v>
      </c>
      <c r="G212" s="447">
        <v>452250</v>
      </c>
    </row>
    <row r="213" spans="1:7">
      <c r="A213" s="492" t="s">
        <v>517</v>
      </c>
      <c r="B213" s="182"/>
      <c r="C213" s="182"/>
      <c r="D213" s="182"/>
      <c r="E213" s="182"/>
      <c r="F213" s="187" t="s">
        <v>518</v>
      </c>
      <c r="G213" s="447">
        <v>364039</v>
      </c>
    </row>
    <row r="214" spans="1:7">
      <c r="A214" s="492" t="s">
        <v>519</v>
      </c>
      <c r="B214" s="182"/>
      <c r="C214" s="182"/>
      <c r="D214" s="182"/>
      <c r="E214" s="182"/>
      <c r="F214" s="187" t="s">
        <v>520</v>
      </c>
      <c r="G214" s="447">
        <v>138250</v>
      </c>
    </row>
    <row r="215" spans="1:7">
      <c r="A215" s="492" t="s">
        <v>521</v>
      </c>
      <c r="B215" s="182"/>
      <c r="C215" s="182"/>
      <c r="D215" s="182"/>
      <c r="E215" s="182"/>
      <c r="F215" s="203" t="s">
        <v>522</v>
      </c>
      <c r="G215" s="447">
        <v>22950</v>
      </c>
    </row>
    <row r="216" spans="1:7">
      <c r="A216" s="492" t="s">
        <v>523</v>
      </c>
      <c r="B216" s="182"/>
      <c r="C216" s="182"/>
      <c r="D216" s="182"/>
      <c r="E216" s="182"/>
      <c r="F216" s="187" t="s">
        <v>524</v>
      </c>
      <c r="G216" s="447">
        <v>0</v>
      </c>
    </row>
    <row r="217" spans="1:7">
      <c r="A217" s="492" t="s">
        <v>525</v>
      </c>
      <c r="B217" s="182"/>
      <c r="C217" s="182"/>
      <c r="D217" s="182"/>
      <c r="E217" s="182"/>
      <c r="F217" s="187" t="s">
        <v>526</v>
      </c>
      <c r="G217" s="447">
        <v>0</v>
      </c>
    </row>
    <row r="218" spans="1:7">
      <c r="A218" s="492" t="s">
        <v>527</v>
      </c>
      <c r="B218" s="182"/>
      <c r="C218" s="182"/>
      <c r="D218" s="182"/>
      <c r="E218" s="182"/>
      <c r="F218" s="187" t="s">
        <v>528</v>
      </c>
      <c r="G218" s="447">
        <v>69000</v>
      </c>
    </row>
    <row r="219" spans="1:7">
      <c r="A219" s="492" t="s">
        <v>529</v>
      </c>
      <c r="B219" s="182"/>
      <c r="C219" s="182"/>
      <c r="D219" s="182"/>
      <c r="E219" s="182"/>
      <c r="F219" s="187" t="s">
        <v>530</v>
      </c>
      <c r="G219" s="447">
        <v>0</v>
      </c>
    </row>
    <row r="220" spans="1:7">
      <c r="A220" s="492" t="s">
        <v>531</v>
      </c>
      <c r="B220" s="182"/>
      <c r="C220" s="182"/>
      <c r="D220" s="182"/>
      <c r="E220" s="182"/>
      <c r="F220" s="187" t="s">
        <v>532</v>
      </c>
      <c r="G220" s="447">
        <v>0</v>
      </c>
    </row>
    <row r="221" spans="1:7">
      <c r="A221" s="503" t="s">
        <v>698</v>
      </c>
      <c r="B221" s="182"/>
      <c r="C221" s="182"/>
      <c r="D221" s="211"/>
      <c r="E221" s="182"/>
      <c r="F221" s="1097">
        <v>69100</v>
      </c>
      <c r="G221" s="447">
        <v>1806250</v>
      </c>
    </row>
    <row r="222" spans="1:7">
      <c r="A222" s="503" t="s">
        <v>699</v>
      </c>
      <c r="B222" s="212"/>
      <c r="C222" s="212"/>
      <c r="D222" s="213"/>
      <c r="E222" s="212"/>
      <c r="F222" s="1096">
        <v>69200</v>
      </c>
      <c r="G222" s="447">
        <v>0</v>
      </c>
    </row>
    <row r="223" spans="1:7">
      <c r="A223" s="492" t="s">
        <v>533</v>
      </c>
      <c r="B223" s="182"/>
      <c r="C223" s="182"/>
      <c r="D223" s="182"/>
      <c r="E223" s="182"/>
      <c r="F223" s="187" t="s">
        <v>534</v>
      </c>
      <c r="G223" s="447">
        <v>27300</v>
      </c>
    </row>
    <row r="224" spans="1:7">
      <c r="A224" s="492" t="s">
        <v>535</v>
      </c>
      <c r="B224" s="182"/>
      <c r="C224" s="182"/>
      <c r="D224" s="182"/>
      <c r="E224" s="182"/>
      <c r="F224" s="187" t="s">
        <v>536</v>
      </c>
      <c r="G224" s="447">
        <v>0</v>
      </c>
    </row>
    <row r="225" spans="1:7">
      <c r="A225" s="492" t="s">
        <v>537</v>
      </c>
      <c r="B225" s="182"/>
      <c r="C225" s="182"/>
      <c r="D225" s="182"/>
      <c r="E225" s="182"/>
      <c r="F225" s="187" t="s">
        <v>538</v>
      </c>
      <c r="G225" s="1079">
        <v>2468363</v>
      </c>
    </row>
    <row r="226" spans="1:7">
      <c r="A226" s="492"/>
      <c r="B226" s="182"/>
      <c r="C226" s="182"/>
      <c r="D226" s="182"/>
      <c r="E226" s="182"/>
      <c r="F226" s="187"/>
      <c r="G226" s="215"/>
    </row>
    <row r="227" spans="1:7">
      <c r="A227" s="738" t="s">
        <v>539</v>
      </c>
      <c r="B227" s="567"/>
      <c r="C227" s="567"/>
      <c r="D227" s="567"/>
      <c r="E227" s="567"/>
      <c r="F227" s="568"/>
      <c r="G227" s="624">
        <f>SUM(G197:G225)</f>
        <v>19132638.129999999</v>
      </c>
    </row>
    <row r="228" spans="1:7">
      <c r="A228" s="502"/>
      <c r="B228" s="209"/>
      <c r="C228" s="209"/>
      <c r="D228" s="209"/>
      <c r="E228" s="209"/>
      <c r="F228" s="572"/>
      <c r="G228" s="573"/>
    </row>
    <row r="229" spans="1:7">
      <c r="A229" s="855" t="s">
        <v>157</v>
      </c>
      <c r="B229" s="856"/>
      <c r="C229" s="856"/>
      <c r="D229" s="856"/>
      <c r="E229" s="856"/>
      <c r="F229" s="857"/>
      <c r="G229" s="744"/>
    </row>
    <row r="230" spans="1:7">
      <c r="A230" s="492"/>
      <c r="B230" s="182"/>
      <c r="C230" s="182"/>
      <c r="D230" s="182"/>
      <c r="E230" s="182"/>
      <c r="F230" s="187"/>
      <c r="G230" s="215"/>
    </row>
    <row r="231" spans="1:7">
      <c r="A231" s="492" t="s">
        <v>540</v>
      </c>
      <c r="B231" s="182"/>
      <c r="C231" s="182"/>
      <c r="D231" s="182"/>
      <c r="E231" s="182"/>
      <c r="F231" s="187" t="s">
        <v>541</v>
      </c>
      <c r="G231" s="447">
        <v>309529</v>
      </c>
    </row>
    <row r="232" spans="1:7">
      <c r="A232" s="492" t="s">
        <v>542</v>
      </c>
      <c r="B232" s="182"/>
      <c r="C232" s="182"/>
      <c r="D232" s="182"/>
      <c r="E232" s="182"/>
      <c r="F232" s="187" t="s">
        <v>543</v>
      </c>
      <c r="G232" s="447">
        <v>19400</v>
      </c>
    </row>
    <row r="233" spans="1:7">
      <c r="A233" s="492" t="s">
        <v>544</v>
      </c>
      <c r="B233" s="182"/>
      <c r="C233" s="182"/>
      <c r="D233" s="182"/>
      <c r="E233" s="182"/>
      <c r="F233" s="187" t="s">
        <v>545</v>
      </c>
      <c r="G233" s="447">
        <v>182150</v>
      </c>
    </row>
    <row r="234" spans="1:7">
      <c r="A234" s="492" t="s">
        <v>546</v>
      </c>
      <c r="B234" s="182"/>
      <c r="C234" s="182"/>
      <c r="D234" s="182"/>
      <c r="E234" s="182"/>
      <c r="F234" s="1052" t="s">
        <v>547</v>
      </c>
      <c r="G234" s="447">
        <v>0</v>
      </c>
    </row>
    <row r="235" spans="1:7">
      <c r="A235" s="492" t="s">
        <v>690</v>
      </c>
      <c r="B235" s="182"/>
      <c r="C235" s="182"/>
      <c r="D235" s="182"/>
      <c r="E235" s="182"/>
      <c r="F235" s="1052">
        <v>73001</v>
      </c>
      <c r="G235" s="447">
        <v>0</v>
      </c>
    </row>
    <row r="236" spans="1:7">
      <c r="A236" s="492" t="s">
        <v>691</v>
      </c>
      <c r="B236" s="182"/>
      <c r="C236" s="182"/>
      <c r="D236" s="182"/>
      <c r="E236" s="182"/>
      <c r="F236" s="1052">
        <v>73002</v>
      </c>
      <c r="G236" s="447">
        <v>0</v>
      </c>
    </row>
    <row r="237" spans="1:7">
      <c r="A237" s="492" t="s">
        <v>548</v>
      </c>
      <c r="B237" s="182"/>
      <c r="C237" s="182"/>
      <c r="D237" s="182"/>
      <c r="E237" s="182"/>
      <c r="F237" s="205">
        <v>73050</v>
      </c>
      <c r="G237" s="447">
        <v>0</v>
      </c>
    </row>
    <row r="238" spans="1:7">
      <c r="A238" s="492" t="s">
        <v>687</v>
      </c>
      <c r="B238" s="182"/>
      <c r="C238" s="182"/>
      <c r="D238" s="182"/>
      <c r="E238" s="182"/>
      <c r="F238" s="205">
        <v>73100</v>
      </c>
      <c r="G238" s="447">
        <v>206000</v>
      </c>
    </row>
    <row r="239" spans="1:7">
      <c r="A239" s="492" t="s">
        <v>549</v>
      </c>
      <c r="B239" s="182"/>
      <c r="C239" s="182"/>
      <c r="D239" s="182"/>
      <c r="E239" s="182"/>
      <c r="F239" s="187" t="s">
        <v>550</v>
      </c>
      <c r="G239" s="447">
        <v>1000</v>
      </c>
    </row>
    <row r="240" spans="1:7">
      <c r="A240" s="492" t="s">
        <v>551</v>
      </c>
      <c r="B240" s="182"/>
      <c r="C240" s="182"/>
      <c r="D240" s="182"/>
      <c r="E240" s="182"/>
      <c r="F240" s="187" t="s">
        <v>552</v>
      </c>
      <c r="G240" s="447">
        <v>0</v>
      </c>
    </row>
    <row r="241" spans="1:7">
      <c r="A241" s="492" t="s">
        <v>553</v>
      </c>
      <c r="B241" s="182"/>
      <c r="C241" s="182"/>
      <c r="D241" s="182"/>
      <c r="E241" s="182"/>
      <c r="F241" s="187" t="s">
        <v>554</v>
      </c>
      <c r="G241" s="447">
        <v>0</v>
      </c>
    </row>
    <row r="242" spans="1:7">
      <c r="A242" s="492" t="s">
        <v>555</v>
      </c>
      <c r="B242" s="182"/>
      <c r="C242" s="182"/>
      <c r="D242" s="182"/>
      <c r="E242" s="182"/>
      <c r="F242" s="187" t="s">
        <v>556</v>
      </c>
      <c r="G242" s="447">
        <v>0</v>
      </c>
    </row>
    <row r="243" spans="1:7">
      <c r="A243" s="492" t="s">
        <v>557</v>
      </c>
      <c r="B243" s="182"/>
      <c r="C243" s="182"/>
      <c r="D243" s="182"/>
      <c r="E243" s="182"/>
      <c r="F243" s="187" t="s">
        <v>558</v>
      </c>
      <c r="G243" s="447">
        <v>0</v>
      </c>
    </row>
    <row r="244" spans="1:7">
      <c r="A244" s="492"/>
      <c r="B244" s="182"/>
      <c r="C244" s="182"/>
      <c r="D244" s="182"/>
      <c r="E244" s="182"/>
      <c r="F244" s="187"/>
      <c r="G244" s="745"/>
    </row>
    <row r="245" spans="1:7">
      <c r="A245" s="738" t="s">
        <v>559</v>
      </c>
      <c r="B245" s="567"/>
      <c r="C245" s="567"/>
      <c r="D245" s="567"/>
      <c r="E245" s="567"/>
      <c r="F245" s="568"/>
      <c r="G245" s="624">
        <f>SUM(G231:G243)</f>
        <v>718079</v>
      </c>
    </row>
    <row r="246" spans="1:7">
      <c r="A246" s="502"/>
      <c r="B246" s="209"/>
      <c r="C246" s="209"/>
      <c r="D246" s="209"/>
      <c r="E246" s="209"/>
      <c r="F246" s="209"/>
      <c r="G246" s="574"/>
    </row>
    <row r="247" spans="1:7" ht="19.5" thickBot="1">
      <c r="A247" s="521" t="s">
        <v>560</v>
      </c>
      <c r="B247" s="522"/>
      <c r="C247" s="522"/>
      <c r="D247" s="522"/>
      <c r="E247" s="522"/>
      <c r="F247" s="523"/>
      <c r="G247" s="524">
        <f>SUM(G193+G227+G245)</f>
        <v>46380225.129999995</v>
      </c>
    </row>
    <row r="248" spans="1:7" ht="19.5" thickTop="1">
      <c r="A248" s="746"/>
      <c r="B248" s="747"/>
      <c r="C248" s="747"/>
      <c r="D248" s="747"/>
      <c r="E248" s="747"/>
      <c r="F248" s="748"/>
      <c r="G248" s="749"/>
    </row>
    <row r="249" spans="1:7">
      <c r="A249" s="864"/>
      <c r="B249" s="865"/>
      <c r="C249" s="865"/>
      <c r="D249" s="865"/>
      <c r="E249" s="865"/>
      <c r="F249" s="866"/>
      <c r="G249" s="750"/>
    </row>
    <row r="250" spans="1:7">
      <c r="A250" s="492"/>
      <c r="B250" s="182"/>
      <c r="C250" s="182"/>
      <c r="D250" s="182"/>
      <c r="E250" s="182"/>
      <c r="F250" s="187"/>
      <c r="G250" s="215"/>
    </row>
    <row r="251" spans="1:7">
      <c r="A251" s="492" t="s">
        <v>561</v>
      </c>
      <c r="B251" s="182"/>
      <c r="C251" s="182"/>
      <c r="D251" s="182"/>
      <c r="E251" s="182"/>
      <c r="F251" s="199">
        <v>30100</v>
      </c>
      <c r="G251" s="446">
        <v>0</v>
      </c>
    </row>
    <row r="252" spans="1:7">
      <c r="A252" s="492" t="s">
        <v>562</v>
      </c>
      <c r="B252" s="182"/>
      <c r="C252" s="182"/>
      <c r="D252" s="182"/>
      <c r="E252" s="182"/>
      <c r="F252" s="199">
        <v>30200</v>
      </c>
      <c r="G252" s="447">
        <v>0</v>
      </c>
    </row>
    <row r="253" spans="1:7">
      <c r="A253" s="492" t="s">
        <v>563</v>
      </c>
      <c r="B253" s="182"/>
      <c r="C253" s="182"/>
      <c r="D253" s="182"/>
      <c r="E253" s="182"/>
      <c r="F253" s="199">
        <v>30300</v>
      </c>
      <c r="G253" s="447">
        <v>0</v>
      </c>
    </row>
    <row r="254" spans="1:7">
      <c r="A254" s="492" t="s">
        <v>564</v>
      </c>
      <c r="B254" s="182"/>
      <c r="C254" s="182"/>
      <c r="D254" s="182"/>
      <c r="E254" s="182"/>
      <c r="F254" s="199">
        <v>30400</v>
      </c>
      <c r="G254" s="447">
        <v>0</v>
      </c>
    </row>
    <row r="255" spans="1:7">
      <c r="A255" s="492" t="s">
        <v>565</v>
      </c>
      <c r="B255" s="182"/>
      <c r="C255" s="182"/>
      <c r="D255" s="182"/>
      <c r="E255" s="182"/>
      <c r="F255" s="199">
        <v>30500</v>
      </c>
      <c r="G255" s="447">
        <v>0</v>
      </c>
    </row>
    <row r="256" spans="1:7">
      <c r="A256" s="492" t="s">
        <v>566</v>
      </c>
      <c r="B256" s="182"/>
      <c r="C256" s="182"/>
      <c r="D256" s="182"/>
      <c r="E256" s="182"/>
      <c r="F256" s="199">
        <v>30600</v>
      </c>
      <c r="G256" s="447">
        <v>0</v>
      </c>
    </row>
    <row r="257" spans="1:7">
      <c r="A257" s="492" t="s">
        <v>567</v>
      </c>
      <c r="B257" s="182"/>
      <c r="C257" s="182"/>
      <c r="D257" s="182"/>
      <c r="E257" s="182"/>
      <c r="F257" s="199">
        <v>30700</v>
      </c>
      <c r="G257" s="447">
        <v>0</v>
      </c>
    </row>
    <row r="258" spans="1:7">
      <c r="A258" s="492" t="s">
        <v>568</v>
      </c>
      <c r="B258" s="182"/>
      <c r="C258" s="182"/>
      <c r="D258" s="182"/>
      <c r="E258" s="182"/>
      <c r="F258" s="199">
        <v>30900</v>
      </c>
      <c r="G258" s="447">
        <v>0</v>
      </c>
    </row>
    <row r="259" spans="1:7">
      <c r="A259" s="492" t="s">
        <v>569</v>
      </c>
      <c r="B259" s="182"/>
      <c r="C259" s="182"/>
      <c r="D259" s="182"/>
      <c r="E259" s="182"/>
      <c r="F259" s="199">
        <v>31100</v>
      </c>
      <c r="G259" s="611">
        <v>11038493.550000001</v>
      </c>
    </row>
    <row r="260" spans="1:7">
      <c r="A260" s="492"/>
      <c r="B260" s="182"/>
      <c r="C260" s="182"/>
      <c r="D260" s="182"/>
      <c r="E260" s="182"/>
      <c r="F260" s="199"/>
      <c r="G260" s="751"/>
    </row>
    <row r="261" spans="1:7">
      <c r="A261" s="493" t="s">
        <v>570</v>
      </c>
      <c r="B261" s="182"/>
      <c r="C261" s="182"/>
      <c r="D261" s="182"/>
      <c r="E261" s="182"/>
      <c r="F261" s="199"/>
      <c r="G261" s="752">
        <f>SUM(G251:G259)</f>
        <v>11038493.550000001</v>
      </c>
    </row>
    <row r="262" spans="1:7">
      <c r="A262" s="493"/>
      <c r="B262" s="182"/>
      <c r="C262" s="182"/>
      <c r="D262" s="182"/>
      <c r="E262" s="182"/>
      <c r="F262" s="199"/>
      <c r="G262" s="215"/>
    </row>
    <row r="263" spans="1:7" ht="19.5" thickBot="1">
      <c r="A263" s="504" t="s">
        <v>772</v>
      </c>
      <c r="F263" s="205">
        <v>30800</v>
      </c>
      <c r="G263" s="448">
        <v>-15400278</v>
      </c>
    </row>
    <row r="264" spans="1:7">
      <c r="A264" s="500"/>
      <c r="F264" s="205"/>
      <c r="G264" s="215"/>
    </row>
    <row r="265" spans="1:7">
      <c r="A265" s="505" t="s">
        <v>571</v>
      </c>
      <c r="B265" s="506"/>
      <c r="C265" s="506"/>
      <c r="D265" s="506"/>
      <c r="E265" s="506"/>
      <c r="F265" s="507"/>
      <c r="G265" s="508">
        <f>G261+G263</f>
        <v>-4361784.4499999993</v>
      </c>
    </row>
    <row r="266" spans="1:7">
      <c r="A266" s="216"/>
      <c r="B266" s="216"/>
      <c r="C266" s="216"/>
      <c r="D266" s="216"/>
      <c r="E266" s="216"/>
      <c r="F266" s="217"/>
      <c r="G266" s="218"/>
    </row>
  </sheetData>
  <pageMargins left="0.7" right="0.7" top="0.75" bottom="0.75" header="0.3" footer="0.3"/>
  <pageSetup scale="69"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Northwest Florida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11650324</v>
      </c>
      <c r="C10" s="450">
        <v>1148092</v>
      </c>
      <c r="D10" s="450">
        <v>112459</v>
      </c>
      <c r="E10" s="369">
        <f>SUM(B10:D10)</f>
        <v>12910875</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2706727</v>
      </c>
      <c r="C14" s="452">
        <v>309450</v>
      </c>
      <c r="D14" s="452">
        <v>0</v>
      </c>
      <c r="E14" s="370">
        <f t="shared" ref="E14:E20" si="0">SUM(B14:D14)</f>
        <v>3016177</v>
      </c>
      <c r="F14" s="352"/>
    </row>
    <row r="15" spans="1:8" s="17" customFormat="1" ht="20.100000000000001" customHeight="1">
      <c r="A15" s="368" t="s">
        <v>585</v>
      </c>
      <c r="B15" s="451">
        <v>0</v>
      </c>
      <c r="C15" s="440">
        <v>36000</v>
      </c>
      <c r="D15" s="440">
        <v>0</v>
      </c>
      <c r="E15" s="370">
        <f>SUM(B15:D15)</f>
        <v>36000</v>
      </c>
      <c r="F15" s="352"/>
    </row>
    <row r="16" spans="1:8" s="17" customFormat="1" ht="20.100000000000001" customHeight="1">
      <c r="A16" s="368" t="s">
        <v>586</v>
      </c>
      <c r="B16" s="451">
        <v>4131319</v>
      </c>
      <c r="C16" s="440">
        <v>1966750</v>
      </c>
      <c r="D16" s="440">
        <v>418750</v>
      </c>
      <c r="E16" s="370">
        <f t="shared" si="0"/>
        <v>6516819</v>
      </c>
      <c r="F16" s="352"/>
    </row>
    <row r="17" spans="1:6" s="17" customFormat="1" ht="20.100000000000001" customHeight="1">
      <c r="A17" s="368" t="s">
        <v>587</v>
      </c>
      <c r="B17" s="451">
        <v>5804592</v>
      </c>
      <c r="C17" s="440">
        <v>3407032</v>
      </c>
      <c r="D17" s="440">
        <v>166670</v>
      </c>
      <c r="E17" s="370">
        <f t="shared" si="0"/>
        <v>9378294</v>
      </c>
      <c r="F17" s="352"/>
    </row>
    <row r="18" spans="1:6" s="17" customFormat="1" ht="20.100000000000001" customHeight="1">
      <c r="A18" s="368" t="s">
        <v>588</v>
      </c>
      <c r="B18" s="451">
        <v>1411546</v>
      </c>
      <c r="C18" s="440">
        <v>7941701</v>
      </c>
      <c r="D18" s="440">
        <v>20200</v>
      </c>
      <c r="E18" s="370">
        <f t="shared" si="0"/>
        <v>9373447</v>
      </c>
      <c r="F18" s="352"/>
    </row>
    <row r="19" spans="1:6" s="17" customFormat="1" ht="20.100000000000001" customHeight="1">
      <c r="A19" s="368" t="s">
        <v>589</v>
      </c>
      <c r="B19" s="451">
        <v>0</v>
      </c>
      <c r="C19" s="440">
        <v>49000</v>
      </c>
      <c r="D19" s="440">
        <v>0</v>
      </c>
      <c r="E19" s="370">
        <f t="shared" si="0"/>
        <v>49000</v>
      </c>
      <c r="F19" s="352"/>
    </row>
    <row r="20" spans="1:6" s="17" customFormat="1" ht="20.100000000000001" customHeight="1" thickBot="1">
      <c r="A20" s="368" t="s">
        <v>590</v>
      </c>
      <c r="B20" s="451">
        <v>825000</v>
      </c>
      <c r="C20" s="441">
        <v>4274613</v>
      </c>
      <c r="D20" s="441">
        <v>0</v>
      </c>
      <c r="E20" s="370">
        <f t="shared" si="0"/>
        <v>5099613</v>
      </c>
      <c r="F20" s="352"/>
    </row>
    <row r="21" spans="1:6" s="17" customFormat="1" ht="24" customHeight="1" thickBot="1">
      <c r="A21" s="293" t="s">
        <v>49</v>
      </c>
      <c r="B21" s="353">
        <f>SUM(B10:B20)</f>
        <v>26529508</v>
      </c>
      <c r="C21" s="356">
        <f>SUM(C10:C20)</f>
        <v>19132638</v>
      </c>
      <c r="D21" s="356">
        <f>SUM(D10:D20)</f>
        <v>718079</v>
      </c>
      <c r="E21" s="355">
        <f>SUM(E10:E20)</f>
        <v>46380225</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tRgojqJLJulgZp76BJrvxppezj3FsqtC9aIT5Ut25bSS9zNe3bq3GVaKZow4zsaN4RwiTDIfV1pN6RHft2fCfg==" saltValue="0sxP1PmL8aoq2LcJUBnS1w=="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F28" sqref="F28"/>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autoPict="0" r:id="rId5">
            <anchor moveWithCells="1">
              <from>
                <xdr:col>0</xdr:col>
                <xdr:colOff>0</xdr:colOff>
                <xdr:row>5</xdr:row>
                <xdr:rowOff>85725</xdr:rowOff>
              </from>
              <to>
                <xdr:col>1</xdr:col>
                <xdr:colOff>390525</xdr:colOff>
                <xdr:row>51</xdr:row>
                <xdr:rowOff>152400</xdr:rowOff>
              </to>
            </anchor>
          </objectPr>
        </oleObject>
      </mc:Choice>
      <mc:Fallback>
        <oleObject progId="Acrobat Document" shapeId="3891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Northwest Florida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384416.5</v>
      </c>
      <c r="E15" s="756">
        <v>0</v>
      </c>
      <c r="F15" s="757">
        <f t="shared" si="0"/>
        <v>384416.5</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53614.8</v>
      </c>
      <c r="E25" s="756">
        <v>0</v>
      </c>
      <c r="F25" s="757">
        <f t="shared" si="0"/>
        <v>53614.8</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33797</v>
      </c>
      <c r="E30" s="756">
        <v>0</v>
      </c>
      <c r="F30" s="757">
        <f t="shared" si="0"/>
        <v>33797</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34204.800000000003</v>
      </c>
      <c r="E48" s="756">
        <v>0</v>
      </c>
      <c r="F48" s="757">
        <f t="shared" si="0"/>
        <v>34204.800000000003</v>
      </c>
    </row>
    <row r="49" spans="1:6" s="17" customFormat="1" ht="30" customHeight="1">
      <c r="A49" s="753" t="s">
        <v>471</v>
      </c>
      <c r="B49" s="754"/>
      <c r="C49" s="755" t="s">
        <v>472</v>
      </c>
      <c r="D49" s="756">
        <v>52147.23</v>
      </c>
      <c r="E49" s="756">
        <v>0</v>
      </c>
      <c r="F49" s="757">
        <f t="shared" si="0"/>
        <v>52147.23</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53729.67</v>
      </c>
      <c r="E54" s="756">
        <v>0</v>
      </c>
      <c r="F54" s="757">
        <f t="shared" si="0"/>
        <v>53729.67</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611910</v>
      </c>
      <c r="E57" s="268">
        <f>SUM(E10:E56)</f>
        <v>0</v>
      </c>
      <c r="F57" s="268">
        <f t="shared" si="0"/>
        <v>611910</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4336</v>
      </c>
      <c r="E64" s="453">
        <v>0</v>
      </c>
      <c r="F64" s="234">
        <f t="shared" si="0"/>
        <v>4336</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850</v>
      </c>
      <c r="E67" s="756">
        <v>0</v>
      </c>
      <c r="F67" s="757">
        <f t="shared" si="0"/>
        <v>850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20396</v>
      </c>
      <c r="E77" s="756">
        <v>0</v>
      </c>
      <c r="F77" s="757">
        <f t="shared" si="1"/>
        <v>20396</v>
      </c>
    </row>
    <row r="78" spans="1:6" s="17" customFormat="1" ht="30" customHeight="1">
      <c r="A78" s="753" t="s">
        <v>513</v>
      </c>
      <c r="B78" s="754"/>
      <c r="C78" s="763" t="s">
        <v>514</v>
      </c>
      <c r="D78" s="756">
        <v>19317</v>
      </c>
      <c r="E78" s="756">
        <v>0</v>
      </c>
      <c r="F78" s="757">
        <f t="shared" si="1"/>
        <v>19317</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1460</v>
      </c>
      <c r="E80" s="756">
        <v>0</v>
      </c>
      <c r="F80" s="757">
        <f t="shared" si="1"/>
        <v>1460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46359</v>
      </c>
      <c r="E93" s="264">
        <f>SUM(E64:E92)</f>
        <v>0</v>
      </c>
      <c r="F93" s="264">
        <f t="shared" si="1"/>
        <v>46359</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658269</v>
      </c>
      <c r="E113" s="264">
        <f>+E57+E93+E111</f>
        <v>0</v>
      </c>
      <c r="F113" s="264">
        <f>SUM(D113:E113)</f>
        <v>658269</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641429</v>
      </c>
      <c r="E118" s="756">
        <v>0</v>
      </c>
      <c r="F118" s="757">
        <f t="shared" ref="F118:F128" si="3">+D118+E118</f>
        <v>641429</v>
      </c>
    </row>
    <row r="119" spans="1:6" s="69" customFormat="1" ht="30" customHeight="1">
      <c r="A119" s="753" t="s">
        <v>611</v>
      </c>
      <c r="B119" s="602"/>
      <c r="C119" s="765"/>
      <c r="D119" s="1080">
        <f>'EXHIBIT C'!F19</f>
        <v>47914</v>
      </c>
      <c r="E119" s="756">
        <v>0</v>
      </c>
      <c r="F119" s="757">
        <f t="shared" si="3"/>
        <v>47914</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689343</v>
      </c>
      <c r="E129" s="258">
        <f>SUM(E117:E128)</f>
        <v>0</v>
      </c>
      <c r="F129" s="259">
        <f>SUM(F117:F128)</f>
        <v>689343</v>
      </c>
    </row>
    <row r="130" spans="1:6" ht="14.1" customHeight="1">
      <c r="A130" s="247"/>
      <c r="B130" s="247"/>
      <c r="C130" s="248"/>
      <c r="D130" s="249"/>
      <c r="E130" s="249"/>
      <c r="F130" s="249"/>
    </row>
    <row r="131" spans="1:6" ht="83.25" customHeight="1">
      <c r="A131" s="931" t="s">
        <v>701</v>
      </c>
      <c r="B131" s="931"/>
      <c r="C131" s="932"/>
      <c r="D131" s="250">
        <f>D129-D113</f>
        <v>31074</v>
      </c>
      <c r="E131" s="250">
        <f>E129-E113</f>
        <v>0</v>
      </c>
      <c r="F131" s="250">
        <f>F129-F113</f>
        <v>31074</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t="s">
        <v>791</v>
      </c>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mtMn2b25hVA6BVICsqzd450iM4u7JMx5C9KehUBB4qvDwiEBBTGPfZf11IH5CnmSbJuHT4RUm3srOcxGOL6tzA==" saltValue="L0CsB+qK/nvDjDQg6+QCD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773</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3886200</xdr:colOff>
                <xdr:row>50</xdr:row>
                <xdr:rowOff>95250</xdr:rowOff>
              </to>
            </anchor>
          </objectPr>
        </oleObject>
      </mc:Choice>
      <mc:Fallback>
        <oleObject progId="Acrobat Document"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SUM(B109:B136)</f>
        <v>17575</v>
      </c>
      <c r="C137" s="67"/>
      <c r="D137" s="394">
        <f t="shared" ref="D137:T137" si="20">SUM(D109:D136)</f>
        <v>17575</v>
      </c>
      <c r="E137" s="948">
        <f t="shared" si="20"/>
        <v>152230.24032664322</v>
      </c>
      <c r="F137" s="381">
        <f t="shared" si="20"/>
        <v>8199.9367338584852</v>
      </c>
      <c r="G137" s="394">
        <f t="shared" si="20"/>
        <v>160430.17706050174</v>
      </c>
      <c r="H137" s="404">
        <f t="shared" si="20"/>
        <v>51131.750029480463</v>
      </c>
      <c r="I137" s="381">
        <f t="shared" si="20"/>
        <v>2402.2905203214218</v>
      </c>
      <c r="J137" s="394">
        <f t="shared" si="20"/>
        <v>53534.040549801903</v>
      </c>
      <c r="K137" s="404">
        <f t="shared" si="20"/>
        <v>6220.2669151661903</v>
      </c>
      <c r="L137" s="406">
        <f t="shared" si="20"/>
        <v>844.73308483381027</v>
      </c>
      <c r="M137" s="395">
        <f t="shared" si="20"/>
        <v>7065</v>
      </c>
      <c r="N137" s="404">
        <f t="shared" si="20"/>
        <v>180.05197322854011</v>
      </c>
      <c r="O137" s="406">
        <f t="shared" si="20"/>
        <v>0.94802677145989178</v>
      </c>
      <c r="P137" s="395">
        <f t="shared" si="20"/>
        <v>181</v>
      </c>
      <c r="Q137" s="403">
        <f t="shared" si="20"/>
        <v>7579.9669255839635</v>
      </c>
      <c r="R137" s="405">
        <f t="shared" si="20"/>
        <v>328.97798660384655</v>
      </c>
      <c r="S137" s="396">
        <f t="shared" si="20"/>
        <v>7908.9449121878106</v>
      </c>
      <c r="T137" s="68">
        <f t="shared" si="20"/>
        <v>246694.16252249148</v>
      </c>
      <c r="U137" s="69"/>
      <c r="V137" s="397">
        <f t="shared" ref="V137:AB137" si="21">SUM(V109:V136)</f>
        <v>6.65625</v>
      </c>
      <c r="W137" s="404">
        <f t="shared" si="21"/>
        <v>12.34375</v>
      </c>
      <c r="X137" s="402">
        <f t="shared" si="21"/>
        <v>19</v>
      </c>
      <c r="Y137" s="70"/>
      <c r="Z137" s="397">
        <f t="shared" si="21"/>
        <v>1281.321488984639</v>
      </c>
      <c r="AA137" s="403">
        <f t="shared" si="21"/>
        <v>2231.6785110153605</v>
      </c>
      <c r="AB137" s="399">
        <f t="shared" si="21"/>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2">A7</f>
        <v>Eastern Florida State College</v>
      </c>
      <c r="B150" s="1107">
        <v>1223211</v>
      </c>
    </row>
    <row r="151" spans="1:4">
      <c r="A151" s="387" t="str">
        <f t="shared" si="22"/>
        <v>Broward College</v>
      </c>
      <c r="B151" s="1108">
        <v>2901756</v>
      </c>
    </row>
    <row r="152" spans="1:4">
      <c r="A152" s="387" t="str">
        <f t="shared" si="22"/>
        <v>College of Central Florida</v>
      </c>
      <c r="B152" s="1108">
        <v>580642</v>
      </c>
    </row>
    <row r="153" spans="1:4">
      <c r="A153" s="387" t="str">
        <f t="shared" si="22"/>
        <v>Chipola College</v>
      </c>
      <c r="B153" s="1108">
        <v>199039</v>
      </c>
    </row>
    <row r="154" spans="1:4">
      <c r="A154" s="387" t="str">
        <f t="shared" si="22"/>
        <v>Daytona State College</v>
      </c>
      <c r="B154" s="1108">
        <v>806367</v>
      </c>
    </row>
    <row r="155" spans="1:4">
      <c r="A155" s="387" t="str">
        <f t="shared" si="22"/>
        <v>Florida SouthWestern State College</v>
      </c>
      <c r="B155" s="1108">
        <v>831927</v>
      </c>
    </row>
    <row r="156" spans="1:4">
      <c r="A156" s="387" t="str">
        <f t="shared" si="22"/>
        <v>Florida State College at Jacksonville</v>
      </c>
      <c r="B156" s="1108">
        <v>1522554</v>
      </c>
    </row>
    <row r="157" spans="1:4">
      <c r="A157" s="387" t="str">
        <f t="shared" si="22"/>
        <v>College of the Florida Keys</v>
      </c>
      <c r="B157" s="1108">
        <v>55645</v>
      </c>
    </row>
    <row r="158" spans="1:4">
      <c r="A158" s="387" t="str">
        <f t="shared" si="22"/>
        <v>Gulf Coast State College</v>
      </c>
      <c r="B158" s="1108">
        <v>281214</v>
      </c>
    </row>
    <row r="159" spans="1:4">
      <c r="A159" s="387" t="str">
        <f t="shared" si="22"/>
        <v>Hillsborough Community College</v>
      </c>
      <c r="B159" s="1108">
        <v>1535676</v>
      </c>
    </row>
    <row r="160" spans="1:4">
      <c r="A160" s="387" t="str">
        <f t="shared" si="22"/>
        <v>Indian River State College</v>
      </c>
      <c r="B160" s="1108">
        <v>861594</v>
      </c>
    </row>
    <row r="161" spans="1:2">
      <c r="A161" s="387" t="str">
        <f t="shared" si="22"/>
        <v>Florida Gateway College</v>
      </c>
      <c r="B161" s="1108">
        <v>234886</v>
      </c>
    </row>
    <row r="162" spans="1:2">
      <c r="A162" s="387" t="str">
        <f t="shared" si="22"/>
        <v>Lake-Sumter State College</v>
      </c>
      <c r="B162" s="1108">
        <v>334183</v>
      </c>
    </row>
    <row r="163" spans="1:2">
      <c r="A163" s="387" t="str">
        <f t="shared" si="22"/>
        <v>State College of Florida, Manatee-Sarasota</v>
      </c>
      <c r="B163" s="1108">
        <v>538310</v>
      </c>
    </row>
    <row r="164" spans="1:2">
      <c r="A164" s="387" t="str">
        <f t="shared" si="22"/>
        <v>Miami Dade College</v>
      </c>
      <c r="B164" s="1108">
        <v>4079933</v>
      </c>
    </row>
    <row r="165" spans="1:2">
      <c r="A165" s="387" t="str">
        <f t="shared" si="22"/>
        <v>North Florida College</v>
      </c>
      <c r="B165" s="1108">
        <v>134140</v>
      </c>
    </row>
    <row r="166" spans="1:2">
      <c r="A166" s="387" t="str">
        <f t="shared" si="22"/>
        <v>Northwest Florida State College</v>
      </c>
      <c r="B166" s="1108">
        <v>337943</v>
      </c>
    </row>
    <row r="167" spans="1:2">
      <c r="A167" s="387" t="str">
        <f t="shared" si="22"/>
        <v>Palm Beach State College</v>
      </c>
      <c r="B167" s="1108">
        <v>1362933</v>
      </c>
    </row>
    <row r="168" spans="1:2">
      <c r="A168" s="387" t="str">
        <f t="shared" si="22"/>
        <v>Pasco-Hernando State College</v>
      </c>
      <c r="B168" s="1108">
        <v>656969</v>
      </c>
    </row>
    <row r="169" spans="1:2">
      <c r="A169" s="387" t="str">
        <f t="shared" si="22"/>
        <v>Pensacola State College</v>
      </c>
      <c r="B169" s="1108">
        <v>468310</v>
      </c>
    </row>
    <row r="170" spans="1:2">
      <c r="A170" s="387" t="str">
        <f t="shared" si="22"/>
        <v>Polk State College</v>
      </c>
      <c r="B170" s="1108">
        <v>612408</v>
      </c>
    </row>
    <row r="171" spans="1:2">
      <c r="A171" s="387" t="str">
        <f t="shared" si="22"/>
        <v>St. Johns River State College</v>
      </c>
      <c r="B171" s="1108">
        <v>432461</v>
      </c>
    </row>
    <row r="172" spans="1:2">
      <c r="A172" s="387" t="str">
        <f t="shared" si="22"/>
        <v>St. Petersburg College</v>
      </c>
      <c r="B172" s="1108">
        <v>1662776</v>
      </c>
    </row>
    <row r="173" spans="1:2">
      <c r="A173" s="387" t="str">
        <f t="shared" si="22"/>
        <v>Santa Fe College</v>
      </c>
      <c r="B173" s="1108">
        <v>1069199</v>
      </c>
    </row>
    <row r="174" spans="1:2">
      <c r="A174" s="387" t="str">
        <f t="shared" si="22"/>
        <v>Seminole State College of Florida</v>
      </c>
      <c r="B174" s="1108">
        <v>1560101</v>
      </c>
    </row>
    <row r="175" spans="1:2">
      <c r="A175" s="387" t="str">
        <f t="shared" si="22"/>
        <v>South Florida State College</v>
      </c>
      <c r="B175" s="1108">
        <v>188239</v>
      </c>
    </row>
    <row r="176" spans="1:2">
      <c r="A176" s="387" t="str">
        <f t="shared" si="22"/>
        <v>Tallahassee State College</v>
      </c>
      <c r="B176" s="1108">
        <v>1011402</v>
      </c>
    </row>
    <row r="177" spans="1:2" ht="21.75" thickBot="1">
      <c r="A177" s="388" t="str">
        <f t="shared" si="22"/>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3">A7</f>
        <v>Eastern Florida State College</v>
      </c>
      <c r="B185" s="1113">
        <v>1305041</v>
      </c>
    </row>
    <row r="186" spans="1:2">
      <c r="A186" s="387" t="str">
        <f t="shared" si="23"/>
        <v>Broward College</v>
      </c>
      <c r="B186" s="1108">
        <v>1431485</v>
      </c>
    </row>
    <row r="187" spans="1:2">
      <c r="A187" s="387" t="str">
        <f t="shared" si="23"/>
        <v>College of Central Florida</v>
      </c>
      <c r="B187" s="1108">
        <v>1049273</v>
      </c>
    </row>
    <row r="188" spans="1:2">
      <c r="A188" s="387" t="str">
        <f t="shared" si="23"/>
        <v>Chipola College</v>
      </c>
      <c r="B188" s="1108">
        <v>432695</v>
      </c>
    </row>
    <row r="189" spans="1:2">
      <c r="A189" s="387" t="str">
        <f t="shared" si="23"/>
        <v>Daytona State College</v>
      </c>
      <c r="B189" s="1108">
        <v>2291042</v>
      </c>
    </row>
    <row r="190" spans="1:2">
      <c r="A190" s="387" t="str">
        <f t="shared" si="23"/>
        <v>Florida SouthWestern State College</v>
      </c>
      <c r="B190" s="1108">
        <v>1383615</v>
      </c>
    </row>
    <row r="191" spans="1:2">
      <c r="A191" s="387" t="str">
        <f t="shared" si="23"/>
        <v>Florida State College at Jacksonville</v>
      </c>
      <c r="B191" s="1108">
        <v>2284275</v>
      </c>
    </row>
    <row r="192" spans="1:2">
      <c r="A192" s="387" t="str">
        <f t="shared" si="23"/>
        <v>College of the Florida Keys</v>
      </c>
      <c r="B192" s="1108">
        <v>338573</v>
      </c>
    </row>
    <row r="193" spans="1:2">
      <c r="A193" s="387" t="str">
        <f t="shared" si="23"/>
        <v>Gulf Coast State College</v>
      </c>
      <c r="B193" s="1108">
        <v>1680100</v>
      </c>
    </row>
    <row r="194" spans="1:2">
      <c r="A194" s="387" t="str">
        <f t="shared" si="23"/>
        <v>Hillsborough Community College</v>
      </c>
      <c r="B194" s="1108">
        <v>653062</v>
      </c>
    </row>
    <row r="195" spans="1:2">
      <c r="A195" s="387" t="str">
        <f t="shared" si="23"/>
        <v>Indian River State College</v>
      </c>
      <c r="B195" s="1108">
        <v>1644383</v>
      </c>
    </row>
    <row r="196" spans="1:2">
      <c r="A196" s="387" t="str">
        <f t="shared" si="23"/>
        <v>Florida Gateway College</v>
      </c>
      <c r="B196" s="1108">
        <v>1502315</v>
      </c>
    </row>
    <row r="197" spans="1:2">
      <c r="A197" s="387" t="str">
        <f t="shared" si="23"/>
        <v>Lake-Sumter State College</v>
      </c>
      <c r="B197" s="1108">
        <v>1203371</v>
      </c>
    </row>
    <row r="198" spans="1:2">
      <c r="A198" s="387" t="str">
        <f t="shared" si="23"/>
        <v>State College of Florida, Manatee-Sarasota</v>
      </c>
      <c r="B198" s="1108">
        <v>1708676</v>
      </c>
    </row>
    <row r="199" spans="1:2">
      <c r="A199" s="387" t="str">
        <f t="shared" si="23"/>
        <v>Miami Dade College</v>
      </c>
      <c r="B199" s="1108">
        <v>2347456</v>
      </c>
    </row>
    <row r="200" spans="1:2">
      <c r="A200" s="387" t="str">
        <f t="shared" si="23"/>
        <v>North Florida College</v>
      </c>
      <c r="B200" s="1108">
        <v>909979</v>
      </c>
    </row>
    <row r="201" spans="1:2">
      <c r="A201" s="387" t="str">
        <f t="shared" si="23"/>
        <v>Northwest Florida State College</v>
      </c>
      <c r="B201" s="1108">
        <v>846604</v>
      </c>
    </row>
    <row r="202" spans="1:2">
      <c r="A202" s="387" t="str">
        <f t="shared" si="23"/>
        <v>Palm Beach State College</v>
      </c>
      <c r="B202" s="1108">
        <v>1637660</v>
      </c>
    </row>
    <row r="203" spans="1:2">
      <c r="A203" s="387" t="str">
        <f t="shared" si="23"/>
        <v>Pasco-Hernando State College</v>
      </c>
      <c r="B203" s="1108">
        <v>2453045</v>
      </c>
    </row>
    <row r="204" spans="1:2">
      <c r="A204" s="387" t="str">
        <f t="shared" si="23"/>
        <v>Pensacola State College</v>
      </c>
      <c r="B204" s="1108">
        <v>1084766</v>
      </c>
    </row>
    <row r="205" spans="1:2">
      <c r="A205" s="387" t="str">
        <f t="shared" si="23"/>
        <v>Polk State College</v>
      </c>
      <c r="B205" s="1108">
        <v>1287984</v>
      </c>
    </row>
    <row r="206" spans="1:2">
      <c r="A206" s="387" t="str">
        <f t="shared" si="23"/>
        <v>St. Johns River State College</v>
      </c>
      <c r="B206" s="1108">
        <v>1161973</v>
      </c>
    </row>
    <row r="207" spans="1:2">
      <c r="A207" s="387" t="str">
        <f t="shared" si="23"/>
        <v>St. Petersburg College</v>
      </c>
      <c r="B207" s="1108">
        <v>2139506</v>
      </c>
    </row>
    <row r="208" spans="1:2">
      <c r="A208" s="387" t="str">
        <f t="shared" si="23"/>
        <v>Santa Fe College</v>
      </c>
      <c r="B208" s="1108">
        <v>1764750</v>
      </c>
    </row>
    <row r="209" spans="1:2">
      <c r="A209" s="387" t="str">
        <f t="shared" si="23"/>
        <v>Seminole State College of Florida</v>
      </c>
      <c r="B209" s="1108">
        <v>1473391</v>
      </c>
    </row>
    <row r="210" spans="1:2">
      <c r="A210" s="387" t="str">
        <f t="shared" si="23"/>
        <v>South Florida State College</v>
      </c>
      <c r="B210" s="1108">
        <v>1194691</v>
      </c>
    </row>
    <row r="211" spans="1:2">
      <c r="A211" s="387" t="str">
        <f t="shared" si="23"/>
        <v>Tallahassee State College</v>
      </c>
      <c r="B211" s="1108">
        <v>678930</v>
      </c>
    </row>
    <row r="212" spans="1:2" ht="21.75" thickBot="1">
      <c r="A212" s="388" t="str">
        <f t="shared" si="23"/>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19" colorId="22" zoomScale="70" zoomScaleNormal="70" zoomScaleSheetLayoutView="51" zoomScalePageLayoutView="60" workbookViewId="0">
      <selection activeCell="C139" sqref="C139"/>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37</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0.1515881020717712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7380</v>
      </c>
      <c r="E44" s="114">
        <f>+'EXHIBIT C'!F10</f>
        <v>6988</v>
      </c>
      <c r="F44" s="115">
        <f t="shared" ref="F44:F50" si="0">IF(D44=0,"0",(E44/D44-1))</f>
        <v>-5.3116531165311676E-2</v>
      </c>
      <c r="G44" s="116" t="str">
        <f t="shared" ref="G44:G50" si="1">IF(OR(F44&gt;3%, F44&lt;-3%),"YES","NO")</f>
        <v>YES</v>
      </c>
      <c r="H44" s="88"/>
    </row>
    <row r="45" spans="1:8" ht="20.100000000000001" customHeight="1">
      <c r="C45" s="117" t="s">
        <v>126</v>
      </c>
      <c r="D45" s="650">
        <f>VLOOKUP($D$7,VLOOKUP!$A$109:$S$137,5)*30+D60</f>
        <v>49015.41108986616</v>
      </c>
      <c r="E45" s="118">
        <f>+'EXHIBIT C'!F11</f>
        <v>57968</v>
      </c>
      <c r="F45" s="651">
        <f t="shared" si="0"/>
        <v>0.18264845098860683</v>
      </c>
      <c r="G45" s="652" t="str">
        <f t="shared" si="1"/>
        <v>YES</v>
      </c>
      <c r="H45" s="88"/>
    </row>
    <row r="46" spans="1:8" ht="20.100000000000001" customHeight="1">
      <c r="C46" s="653" t="s">
        <v>127</v>
      </c>
      <c r="D46" s="654">
        <f>VLOOKUP($D$7,VLOOKUP!$A$109:$S$137,8)*30</f>
        <v>15800.055309734515</v>
      </c>
      <c r="E46" s="655">
        <f>+'EXHIBIT C'!F12</f>
        <v>12232</v>
      </c>
      <c r="F46" s="651">
        <f t="shared" si="0"/>
        <v>-0.22582549489786996</v>
      </c>
      <c r="G46" s="652" t="str">
        <f t="shared" si="1"/>
        <v>YES</v>
      </c>
      <c r="H46" s="88"/>
    </row>
    <row r="47" spans="1:8" ht="20.100000000000001" customHeight="1">
      <c r="C47" s="653" t="s">
        <v>76</v>
      </c>
      <c r="D47" s="654">
        <f>VLOOKUP($D$7,VLOOKUP!$A$109:$S$137,17)*30</f>
        <v>6814.4372093023258</v>
      </c>
      <c r="E47" s="655">
        <f>+'EXHIBIT C'!F13</f>
        <v>5237</v>
      </c>
      <c r="F47" s="651">
        <f t="shared" si="0"/>
        <v>-0.23148459085498374</v>
      </c>
      <c r="G47" s="652" t="str">
        <f t="shared" si="1"/>
        <v>YES</v>
      </c>
      <c r="H47" s="88"/>
    </row>
    <row r="48" spans="1:8" ht="20.100000000000001" customHeight="1">
      <c r="C48" s="653" t="s">
        <v>128</v>
      </c>
      <c r="D48" s="654">
        <f>VLOOKUP($D$7,VLOOKUP!$A$109:$S$137,11)*30</f>
        <v>1522.0743639921723</v>
      </c>
      <c r="E48" s="655">
        <f>+'EXHIBIT C'!F14</f>
        <v>1777</v>
      </c>
      <c r="F48" s="651">
        <f t="shared" si="0"/>
        <v>0.16748566432667333</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80531.977972895169</v>
      </c>
      <c r="E50" s="121">
        <f>+'EXHIBIT C'!F17</f>
        <v>84202</v>
      </c>
      <c r="F50" s="122">
        <f t="shared" si="0"/>
        <v>4.5572232540222135E-2</v>
      </c>
      <c r="G50" s="123" t="str">
        <f t="shared" si="1"/>
        <v>YES</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792</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174</v>
      </c>
      <c r="F59" s="662" t="str">
        <f t="shared" ref="F59:F65" si="2">IF(D59=0,"0",(E59/D59-1))</f>
        <v>0</v>
      </c>
      <c r="G59" s="663" t="str">
        <f>IF(OR(F59&gt;5%, F59&lt;-5%),"YES","NO")</f>
        <v>NO</v>
      </c>
    </row>
    <row r="60" spans="3:8" ht="20.100000000000001" customHeight="1">
      <c r="C60" s="117" t="s">
        <v>126</v>
      </c>
      <c r="D60" s="661">
        <f>VLOOKUP($D$7,VLOOKUP!$A$109:$S$137,6)*30</f>
        <v>4304.4508697477022</v>
      </c>
      <c r="E60" s="131">
        <f>+'EXHIBIT C'!D20</f>
        <v>2856</v>
      </c>
      <c r="F60" s="662">
        <f t="shared" si="2"/>
        <v>-0.33650073228332622</v>
      </c>
      <c r="G60" s="663" t="str">
        <f t="shared" ref="G60:G65" si="3">IF(OR(F60&gt;5%, F60&lt;-5%),"YES","NO")</f>
        <v>YES</v>
      </c>
      <c r="H60" s="88"/>
    </row>
    <row r="61" spans="3:8" ht="20.100000000000001" customHeight="1">
      <c r="C61" s="653" t="s">
        <v>127</v>
      </c>
      <c r="D61" s="664">
        <f>VLOOKUP($D$7,VLOOKUP!$A$109:$S$137,9)*30</f>
        <v>1303.0973451327434</v>
      </c>
      <c r="E61" s="665">
        <f>+'EXHIBIT C'!D21</f>
        <v>620</v>
      </c>
      <c r="F61" s="662">
        <f t="shared" si="2"/>
        <v>-0.52421052631578946</v>
      </c>
      <c r="G61" s="663" t="str">
        <f t="shared" si="3"/>
        <v>YES</v>
      </c>
      <c r="H61" s="88"/>
    </row>
    <row r="62" spans="3:8" ht="20.100000000000001" customHeight="1">
      <c r="C62" s="653" t="s">
        <v>76</v>
      </c>
      <c r="D62" s="664">
        <f>VLOOKUP($D$7,VLOOKUP!$A$109:$S$137,18)*30</f>
        <v>123.54418604651161</v>
      </c>
      <c r="E62" s="665">
        <f>+'EXHIBIT C'!D22</f>
        <v>220</v>
      </c>
      <c r="F62" s="662">
        <f t="shared" si="2"/>
        <v>0.78073940215345261</v>
      </c>
      <c r="G62" s="663" t="str">
        <f t="shared" si="3"/>
        <v>YES</v>
      </c>
      <c r="H62" s="88"/>
    </row>
    <row r="63" spans="3:8" ht="20.100000000000001" customHeight="1">
      <c r="C63" s="653" t="s">
        <v>128</v>
      </c>
      <c r="D63" s="664">
        <f>VLOOKUP($D$7,VLOOKUP!$A$109:$S$137,12)*30</f>
        <v>217.92563600782779</v>
      </c>
      <c r="E63" s="665">
        <f>+'EXHIBIT C'!D23</f>
        <v>265</v>
      </c>
      <c r="F63" s="662">
        <f t="shared" si="2"/>
        <v>0.21601113505747116</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5949.0180369347854</v>
      </c>
      <c r="E65" s="133">
        <f>SUM(E59:E64)</f>
        <v>4135</v>
      </c>
      <c r="F65" s="134">
        <f t="shared" si="2"/>
        <v>-0.30492730492198217</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792</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24756000.410122402</v>
      </c>
      <c r="E84" s="1127">
        <f>+'EXHIBIT D'!G76</f>
        <v>24756000.410122402</v>
      </c>
      <c r="F84" s="1127">
        <f>D84-E84</f>
        <v>0</v>
      </c>
      <c r="G84" s="88"/>
      <c r="H84" s="88"/>
    </row>
    <row r="85" spans="1:8" ht="20.100000000000001" customHeight="1">
      <c r="A85" s="98"/>
      <c r="B85" s="98"/>
      <c r="C85" s="672" t="s">
        <v>150</v>
      </c>
      <c r="D85" s="671">
        <f>VLOOKUP($D$7,VLOOKUP!$A$150:$B$178,2)</f>
        <v>337943</v>
      </c>
      <c r="E85" s="1127">
        <f>'EXHIBIT D'!G78</f>
        <v>337943</v>
      </c>
      <c r="F85" s="1127">
        <f>D85-E85</f>
        <v>0</v>
      </c>
      <c r="G85" s="88"/>
      <c r="H85" s="88"/>
    </row>
    <row r="86" spans="1:8" ht="20.100000000000001" customHeight="1">
      <c r="A86" s="98"/>
      <c r="B86" s="98"/>
      <c r="C86" s="672" t="s">
        <v>151</v>
      </c>
      <c r="D86" s="671">
        <f>VLOOKUP($D$7,VLOOKUP!$A$7:$E$35,3)</f>
        <v>4377734.5898775999</v>
      </c>
      <c r="E86" s="1127">
        <f>'EXHIBIT D'!G82</f>
        <v>4377734.5898775999</v>
      </c>
      <c r="F86" s="1127">
        <f>D86-E86</f>
        <v>0</v>
      </c>
      <c r="G86" s="88"/>
      <c r="H86" s="88"/>
    </row>
    <row r="87" spans="1:8" ht="20.100000000000001" customHeight="1" thickBot="1">
      <c r="A87" s="97"/>
      <c r="B87" s="97"/>
      <c r="C87" s="143" t="s">
        <v>694</v>
      </c>
      <c r="D87" s="671">
        <f>VLOOKUP($D$7,VLOOKUP!$A$185:$B$213,2)</f>
        <v>846604</v>
      </c>
      <c r="E87" s="1128">
        <f>'EXHIBIT D'!G77</f>
        <v>846604</v>
      </c>
      <c r="F87" s="1127">
        <f>D87-E87</f>
        <v>0</v>
      </c>
      <c r="G87" s="88"/>
      <c r="H87" s="88"/>
    </row>
    <row r="88" spans="1:8" ht="20.100000000000001" customHeight="1" thickBot="1">
      <c r="A88" s="97"/>
      <c r="B88" s="97"/>
      <c r="C88" s="144" t="s">
        <v>152</v>
      </c>
      <c r="D88" s="145">
        <f>SUM(D84:D87)</f>
        <v>30318282</v>
      </c>
      <c r="E88" s="145">
        <f>SUM(E84:E87)</f>
        <v>30318282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11038493.550000001</v>
      </c>
      <c r="D101" s="819" t="s">
        <v>739</v>
      </c>
      <c r="E101" s="819"/>
      <c r="F101" s="819"/>
      <c r="G101" s="88"/>
      <c r="H101" s="88"/>
    </row>
    <row r="102" spans="1:8" ht="20.100000000000001" customHeight="1">
      <c r="A102" s="95"/>
      <c r="B102" s="95"/>
      <c r="C102" s="674">
        <f>'EXHIBIT D'!G267-'EXHIBIT D'!G253-'EXHIBIT D'!G265</f>
        <v>11038493.550000001</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15400278</v>
      </c>
      <c r="D108" s="17" t="s">
        <v>741</v>
      </c>
    </row>
    <row r="109" spans="1:8" ht="26.25" customHeight="1">
      <c r="A109" s="151"/>
      <c r="B109" s="151"/>
      <c r="C109" s="676">
        <f>'EXHIBIT A'!E36</f>
        <v>15400278</v>
      </c>
      <c r="D109" s="17" t="s">
        <v>742</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91.790068689181453</v>
      </c>
      <c r="D119" s="17" t="s">
        <v>81</v>
      </c>
    </row>
    <row r="120" spans="1:8" ht="20.100000000000001" customHeight="1">
      <c r="C120" s="157"/>
    </row>
    <row r="121" spans="1:8" ht="20.100000000000001" customHeight="1">
      <c r="C121" s="158">
        <f>IF('EXHIBIT G'!D119=0,"No Credit Hours or Not Applicable",('EXHIBIT G'!D119/'EXHIBIT C'!D19))</f>
        <v>275.36781609195401</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Not 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t="s">
        <v>793</v>
      </c>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pageSetUpPr fitToPage="1"/>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Northwest Florida State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v>11038494</v>
      </c>
    </row>
    <row r="14" spans="2:7" ht="25.35" customHeight="1">
      <c r="B14" s="17" t="s">
        <v>174</v>
      </c>
      <c r="D14" s="28"/>
      <c r="E14" s="1136">
        <v>15400278</v>
      </c>
    </row>
    <row r="15" spans="2:7" ht="25.35" customHeight="1">
      <c r="B15" s="28"/>
      <c r="D15" s="28"/>
      <c r="E15" s="162"/>
    </row>
    <row r="16" spans="2:7" ht="25.35" customHeight="1">
      <c r="B16" s="17" t="s">
        <v>730</v>
      </c>
      <c r="C16" s="28"/>
      <c r="D16" s="28"/>
      <c r="E16" s="578">
        <f>+E14+E13</f>
        <v>26438772</v>
      </c>
    </row>
    <row r="17" spans="2:7" ht="25.35" customHeight="1">
      <c r="B17" s="28"/>
      <c r="C17" s="28"/>
      <c r="D17" s="28"/>
      <c r="E17" s="163"/>
    </row>
    <row r="18" spans="2:7" ht="25.35" customHeight="1">
      <c r="B18" s="17" t="s">
        <v>175</v>
      </c>
      <c r="C18" s="28"/>
      <c r="D18" s="28"/>
      <c r="E18" s="173">
        <f>+'EXHIBIT D'!G143-SUM(+'EXHIBIT D'!G133+'EXHIBIT D'!G134)</f>
        <v>43855225</v>
      </c>
      <c r="G18" s="138"/>
    </row>
    <row r="19" spans="2:7" ht="25.35" customHeight="1">
      <c r="B19" s="17" t="s">
        <v>176</v>
      </c>
      <c r="D19" s="28"/>
      <c r="E19" s="578">
        <f>+'EXHIBIT D'!G133+'EXHIBIT D'!G134</f>
        <v>2525000</v>
      </c>
    </row>
    <row r="20" spans="2:7" ht="25.35" customHeight="1">
      <c r="B20" s="28"/>
      <c r="D20" s="28"/>
      <c r="E20" s="168"/>
    </row>
    <row r="21" spans="2:7" ht="25.35" customHeight="1">
      <c r="B21" s="17" t="s">
        <v>177</v>
      </c>
      <c r="C21" s="28"/>
      <c r="D21" s="28"/>
      <c r="E21" s="579">
        <f>+E19+E18</f>
        <v>46380225</v>
      </c>
    </row>
    <row r="22" spans="2:7" ht="25.35" customHeight="1">
      <c r="B22" s="28"/>
      <c r="C22" s="28"/>
      <c r="D22" s="28"/>
      <c r="E22" s="168"/>
    </row>
    <row r="23" spans="2:7" ht="25.35" customHeight="1">
      <c r="B23" s="28" t="s">
        <v>178</v>
      </c>
      <c r="C23" s="28"/>
      <c r="D23" s="28"/>
      <c r="E23" s="579">
        <f>+E21+E16</f>
        <v>72818997</v>
      </c>
    </row>
    <row r="24" spans="2:7" ht="25.35" customHeight="1">
      <c r="B24" s="28"/>
      <c r="C24" s="28"/>
      <c r="D24" s="28"/>
      <c r="E24" s="168"/>
    </row>
    <row r="25" spans="2:7" ht="25.35" customHeight="1">
      <c r="B25" s="17" t="s">
        <v>179</v>
      </c>
      <c r="C25" s="28"/>
      <c r="D25" s="28"/>
      <c r="E25" s="174">
        <f>'EXHIBIT D'!G249-SUM(+'EXHIBIT D'!G223+'EXHIBIT D'!G224)</f>
        <v>44573975</v>
      </c>
    </row>
    <row r="26" spans="2:7" ht="25.35" customHeight="1">
      <c r="B26" s="17" t="s">
        <v>180</v>
      </c>
      <c r="D26" s="28"/>
      <c r="E26" s="578">
        <f>'EXHIBIT D'!G223+'EXHIBIT D'!G224</f>
        <v>1806250</v>
      </c>
    </row>
    <row r="27" spans="2:7" ht="25.35" customHeight="1">
      <c r="B27" s="28"/>
      <c r="D27" s="28"/>
      <c r="E27" s="168"/>
    </row>
    <row r="28" spans="2:7" ht="25.35" customHeight="1">
      <c r="B28" s="28" t="s">
        <v>181</v>
      </c>
      <c r="C28" s="28"/>
      <c r="D28" s="28"/>
      <c r="E28" s="580">
        <f>+E26+E25</f>
        <v>46380225</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26438772</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732</v>
      </c>
      <c r="C35" s="28"/>
      <c r="D35" s="28"/>
      <c r="E35" s="167">
        <f>+D32+D33</f>
        <v>26438772</v>
      </c>
    </row>
    <row r="36" spans="2:10" ht="25.35" customHeight="1">
      <c r="B36" s="17" t="s">
        <v>733</v>
      </c>
      <c r="C36" s="28"/>
      <c r="D36" s="28"/>
      <c r="E36" s="579">
        <f>-'EXHIBIT D'!G265</f>
        <v>15400278</v>
      </c>
      <c r="J36" s="48"/>
    </row>
    <row r="37" spans="2:10" ht="25.35" customHeight="1">
      <c r="D37" s="28"/>
      <c r="E37" s="167"/>
    </row>
    <row r="38" spans="2:10" ht="25.35" customHeight="1">
      <c r="B38" s="28" t="s">
        <v>734</v>
      </c>
      <c r="D38" s="28"/>
      <c r="E38" s="578">
        <f>+E35-E36</f>
        <v>11038494</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11038493.550000001</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0.1515881020717712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IpOyzr0ykvfuAyOH1hltrvJpGXLZxCyEsr8xwQ6GkkmjAqF+GZAN418MFbzyj7+qJfb22nSbT33v/HLOHghvjw==" saltValue="uqvAnFAOLoGm3evaMKlcC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7"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pageSetUpPr fitToPage="1"/>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Northwest Florida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6.88</v>
      </c>
      <c r="E14" s="962">
        <v>14.74</v>
      </c>
      <c r="F14" s="962">
        <v>4.59</v>
      </c>
      <c r="G14" s="679">
        <f>SUM(B14:F14)</f>
        <v>122.59</v>
      </c>
      <c r="H14" s="365">
        <f>G14*30</f>
        <v>3677.7000000000003</v>
      </c>
    </row>
    <row r="15" spans="1:18" s="17" customFormat="1" ht="20.100000000000001" customHeight="1">
      <c r="A15" s="28" t="s">
        <v>201</v>
      </c>
      <c r="B15" s="963">
        <v>82.77</v>
      </c>
      <c r="C15" s="963">
        <v>3.86</v>
      </c>
      <c r="D15" s="963">
        <v>0</v>
      </c>
      <c r="E15" s="963">
        <v>13.52</v>
      </c>
      <c r="F15" s="963">
        <v>3.86</v>
      </c>
      <c r="G15" s="679">
        <f>SUM(B15:F15)</f>
        <v>104.00999999999999</v>
      </c>
      <c r="H15" s="338">
        <f>G15*30</f>
        <v>3120.2999999999997</v>
      </c>
    </row>
    <row r="16" spans="1:18" s="17" customFormat="1" ht="20.100000000000001" customHeight="1" thickBot="1">
      <c r="A16" s="28" t="s">
        <v>76</v>
      </c>
      <c r="B16" s="964">
        <v>71.7</v>
      </c>
      <c r="C16" s="964">
        <v>7.2</v>
      </c>
      <c r="D16" s="965"/>
      <c r="E16" s="964">
        <v>3.6</v>
      </c>
      <c r="F16" s="964">
        <v>3.6</v>
      </c>
      <c r="G16" s="339">
        <f>SUM(B16:F16)</f>
        <v>86.1</v>
      </c>
      <c r="H16" s="680">
        <f>G16*30</f>
        <v>2583</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18.36</v>
      </c>
      <c r="E29" s="536">
        <f>D14</f>
        <v>6.88</v>
      </c>
      <c r="F29" s="962">
        <v>40.1</v>
      </c>
      <c r="G29" s="962">
        <v>18.36</v>
      </c>
      <c r="H29" s="346">
        <f>SUM(B29:G29)</f>
        <v>450.86000000000007</v>
      </c>
      <c r="I29" s="359">
        <f>H29*30</f>
        <v>13525.800000000003</v>
      </c>
    </row>
    <row r="30" spans="1:11" s="17" customFormat="1" ht="20.100000000000001" customHeight="1">
      <c r="A30" s="28" t="str">
        <f t="shared" si="0"/>
        <v>LOWER LEVEL - CREDIT (A &amp; P, PSV, DEVELOPMENTAL EDUCATION AND EPI)</v>
      </c>
      <c r="B30" s="683">
        <f t="shared" si="0"/>
        <v>82.77</v>
      </c>
      <c r="C30" s="966">
        <v>248.31</v>
      </c>
      <c r="D30" s="966">
        <v>15.42</v>
      </c>
      <c r="E30" s="684">
        <f>D15</f>
        <v>0</v>
      </c>
      <c r="F30" s="966">
        <v>36.1</v>
      </c>
      <c r="G30" s="966">
        <v>15.42</v>
      </c>
      <c r="H30" s="679">
        <f>SUM(B30:G30)</f>
        <v>398.02000000000004</v>
      </c>
      <c r="I30" s="338">
        <f>H30*30</f>
        <v>11940.6</v>
      </c>
    </row>
    <row r="31" spans="1:11" s="17" customFormat="1" ht="20.100000000000001" customHeight="1">
      <c r="A31" s="28" t="str">
        <f t="shared" si="0"/>
        <v>CAREER CERTIFICATE AND APPLIED TECHNOLOGY DIPLOMA</v>
      </c>
      <c r="B31" s="1148">
        <f t="shared" si="0"/>
        <v>71.7</v>
      </c>
      <c r="C31" s="963">
        <v>215.1</v>
      </c>
      <c r="D31" s="963">
        <v>28.5</v>
      </c>
      <c r="E31" s="1149"/>
      <c r="F31" s="963">
        <v>14.4</v>
      </c>
      <c r="G31" s="963">
        <v>14.4</v>
      </c>
      <c r="H31" s="1150">
        <f>SUM(B31:G31)</f>
        <v>344.09999999999997</v>
      </c>
      <c r="I31" s="1150">
        <f>H31*30</f>
        <v>10322.999999999998</v>
      </c>
    </row>
    <row r="32" spans="1:11" s="17" customFormat="1" ht="20.100000000000001" customHeight="1" thickBot="1">
      <c r="A32" s="28" t="s">
        <v>777</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776</v>
      </c>
      <c r="B41" s="915"/>
      <c r="C41" s="915"/>
      <c r="D41" s="915"/>
      <c r="E41" s="915"/>
      <c r="F41" s="915"/>
      <c r="G41" s="915"/>
      <c r="H41" s="915"/>
      <c r="I41" s="915"/>
      <c r="J41" s="175"/>
    </row>
    <row r="42" spans="1:11" ht="20.25" customHeight="1">
      <c r="A42" s="17" t="s">
        <v>778</v>
      </c>
      <c r="B42" s="177"/>
      <c r="C42" s="177"/>
      <c r="D42" s="177"/>
      <c r="E42" s="177"/>
      <c r="F42" s="177"/>
      <c r="G42" s="177"/>
      <c r="H42" s="177"/>
      <c r="I42" s="177"/>
    </row>
    <row r="43" spans="1:11" ht="20.25" customHeight="1">
      <c r="A43" s="17" t="s">
        <v>779</v>
      </c>
      <c r="B43" s="177"/>
      <c r="C43" s="177"/>
      <c r="D43" s="177"/>
      <c r="E43" s="177"/>
      <c r="F43" s="177"/>
      <c r="G43" s="177"/>
      <c r="H43" s="177"/>
      <c r="I43" s="177"/>
    </row>
    <row r="44" spans="1:11" ht="20.25" customHeight="1">
      <c r="A44" s="17" t="s">
        <v>780</v>
      </c>
      <c r="B44" s="177"/>
      <c r="C44" s="177"/>
      <c r="D44" s="177"/>
      <c r="E44" s="177"/>
      <c r="F44" s="177"/>
      <c r="G44" s="177"/>
      <c r="H44" s="177"/>
      <c r="I44" s="177"/>
    </row>
    <row r="45" spans="1:11" ht="20.25" customHeight="1">
      <c r="A45" s="17" t="s">
        <v>781</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CrnqUIcolB8MFkfAh1z0E25mjywf6L2BjzE2SF+2AGgkUEwJrFAMy1rDKToEoRi5jpHX5iZEWC0uhWBvcgztYQ==" saltValue="I6ODsQm+C4i+RPjC9rtEg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39"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Northwest Florida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9181</v>
      </c>
      <c r="E10" s="539">
        <v>2193</v>
      </c>
      <c r="F10" s="540">
        <f t="shared" ref="F10:F15" si="0">+D10-E10</f>
        <v>6988</v>
      </c>
      <c r="G10" s="540">
        <f>'EXHIBIT B'!B14</f>
        <v>91.79</v>
      </c>
      <c r="H10" s="541">
        <f t="shared" ref="H10:H15" si="1">ROUND(+F10*G10,0)</f>
        <v>641429</v>
      </c>
    </row>
    <row r="11" spans="1:9" ht="20.100000000000001" customHeight="1">
      <c r="A11" s="690" t="s">
        <v>194</v>
      </c>
      <c r="B11" s="690" t="s">
        <v>126</v>
      </c>
      <c r="C11" s="691" t="s">
        <v>221</v>
      </c>
      <c r="D11" s="689">
        <v>83424</v>
      </c>
      <c r="E11" s="689">
        <v>25456</v>
      </c>
      <c r="F11" s="692">
        <f t="shared" si="0"/>
        <v>57968</v>
      </c>
      <c r="G11" s="692">
        <f>+'EXHIBIT B'!B15</f>
        <v>82.77</v>
      </c>
      <c r="H11" s="693">
        <f t="shared" si="1"/>
        <v>4798011</v>
      </c>
    </row>
    <row r="12" spans="1:9" ht="20.100000000000001" customHeight="1">
      <c r="A12" s="690" t="s">
        <v>194</v>
      </c>
      <c r="B12" s="690" t="s">
        <v>127</v>
      </c>
      <c r="C12" s="691" t="s">
        <v>222</v>
      </c>
      <c r="D12" s="689">
        <v>16544</v>
      </c>
      <c r="E12" s="689">
        <v>4312</v>
      </c>
      <c r="F12" s="692">
        <f t="shared" si="0"/>
        <v>12232</v>
      </c>
      <c r="G12" s="692">
        <f>+'EXHIBIT B'!B15</f>
        <v>82.77</v>
      </c>
      <c r="H12" s="693">
        <f t="shared" si="1"/>
        <v>1012443</v>
      </c>
    </row>
    <row r="13" spans="1:9" ht="20.100000000000001" customHeight="1">
      <c r="A13" s="690" t="s">
        <v>194</v>
      </c>
      <c r="B13" s="690" t="s">
        <v>76</v>
      </c>
      <c r="C13" s="691" t="s">
        <v>223</v>
      </c>
      <c r="D13" s="694">
        <v>7131</v>
      </c>
      <c r="E13" s="694">
        <v>1894</v>
      </c>
      <c r="F13" s="692">
        <f t="shared" si="0"/>
        <v>5237</v>
      </c>
      <c r="G13" s="692">
        <f>+'EXHIBIT B'!B16</f>
        <v>71.7</v>
      </c>
      <c r="H13" s="693">
        <f t="shared" si="1"/>
        <v>375493</v>
      </c>
    </row>
    <row r="14" spans="1:9" ht="20.100000000000001" customHeight="1">
      <c r="A14" s="690" t="s">
        <v>194</v>
      </c>
      <c r="B14" s="690" t="s">
        <v>128</v>
      </c>
      <c r="C14" s="691" t="s">
        <v>224</v>
      </c>
      <c r="D14" s="689">
        <v>2297</v>
      </c>
      <c r="E14" s="689">
        <v>520</v>
      </c>
      <c r="F14" s="692">
        <f t="shared" si="0"/>
        <v>1777</v>
      </c>
      <c r="G14" s="692">
        <f>+'EXHIBIT B'!B15</f>
        <v>82.77</v>
      </c>
      <c r="H14" s="693">
        <f t="shared" si="1"/>
        <v>147082</v>
      </c>
    </row>
    <row r="15" spans="1:9" ht="20.100000000000001" customHeight="1" thickBot="1">
      <c r="A15" s="695" t="s">
        <v>194</v>
      </c>
      <c r="B15" s="695" t="s">
        <v>129</v>
      </c>
      <c r="C15" s="696">
        <v>40160</v>
      </c>
      <c r="D15" s="697">
        <v>0</v>
      </c>
      <c r="E15" s="697">
        <v>0</v>
      </c>
      <c r="F15" s="698">
        <f t="shared" si="0"/>
        <v>0</v>
      </c>
      <c r="G15" s="698">
        <f>+'EXHIBIT B'!B15</f>
        <v>82.77</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118577</v>
      </c>
      <c r="E17" s="302">
        <f>SUM(E10:E15)</f>
        <v>34375</v>
      </c>
      <c r="F17" s="303">
        <f>SUM(F10:F15)</f>
        <v>84202</v>
      </c>
      <c r="G17" s="303"/>
      <c r="H17" s="304">
        <f>SUM(H10:H15)</f>
        <v>6974458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174</v>
      </c>
      <c r="E19" s="701">
        <f>'EXHIBIT B'!C29</f>
        <v>275.37</v>
      </c>
      <c r="F19" s="702">
        <f t="shared" ref="F19:F25" si="2">ROUND(+D19*E19,0)</f>
        <v>47914</v>
      </c>
      <c r="G19" s="306"/>
      <c r="H19" s="306"/>
    </row>
    <row r="20" spans="1:9" ht="20.100000000000001" customHeight="1">
      <c r="A20" s="641" t="s">
        <v>209</v>
      </c>
      <c r="B20" s="641" t="s">
        <v>126</v>
      </c>
      <c r="C20" s="703" t="s">
        <v>228</v>
      </c>
      <c r="D20" s="710">
        <v>2856</v>
      </c>
      <c r="E20" s="704">
        <f>+'EXHIBIT B'!C30</f>
        <v>248.31</v>
      </c>
      <c r="F20" s="705">
        <f t="shared" si="2"/>
        <v>709173</v>
      </c>
      <c r="G20" s="48"/>
      <c r="H20" s="48"/>
    </row>
    <row r="21" spans="1:9" ht="20.100000000000001" customHeight="1">
      <c r="A21" s="641" t="s">
        <v>209</v>
      </c>
      <c r="B21" s="641" t="s">
        <v>127</v>
      </c>
      <c r="C21" s="703" t="s">
        <v>229</v>
      </c>
      <c r="D21" s="710">
        <v>620</v>
      </c>
      <c r="E21" s="704">
        <f>+'EXHIBIT B'!C30</f>
        <v>248.31</v>
      </c>
      <c r="F21" s="705">
        <f t="shared" si="2"/>
        <v>153952</v>
      </c>
      <c r="G21" s="48"/>
      <c r="H21" s="48"/>
    </row>
    <row r="22" spans="1:9" ht="20.100000000000001" customHeight="1">
      <c r="A22" s="641" t="s">
        <v>209</v>
      </c>
      <c r="B22" s="641" t="s">
        <v>76</v>
      </c>
      <c r="C22" s="703" t="s">
        <v>230</v>
      </c>
      <c r="D22" s="710">
        <v>220</v>
      </c>
      <c r="E22" s="704">
        <f>+'EXHIBIT B'!C31</f>
        <v>215.1</v>
      </c>
      <c r="F22" s="705">
        <f t="shared" si="2"/>
        <v>47322</v>
      </c>
      <c r="G22" s="48"/>
      <c r="H22" s="48"/>
    </row>
    <row r="23" spans="1:9" ht="20.100000000000001" customHeight="1">
      <c r="A23" s="641" t="s">
        <v>209</v>
      </c>
      <c r="B23" s="641" t="s">
        <v>128</v>
      </c>
      <c r="C23" s="703" t="s">
        <v>231</v>
      </c>
      <c r="D23" s="710">
        <v>265</v>
      </c>
      <c r="E23" s="704">
        <f>+'EXHIBIT B'!C30</f>
        <v>248.31</v>
      </c>
      <c r="F23" s="705">
        <f t="shared" si="2"/>
        <v>65802</v>
      </c>
      <c r="G23" s="48"/>
      <c r="H23" s="48"/>
    </row>
    <row r="24" spans="1:9" ht="20.100000000000001" customHeight="1">
      <c r="A24" s="1057" t="s">
        <v>209</v>
      </c>
      <c r="B24" s="1057" t="s">
        <v>129</v>
      </c>
      <c r="C24" s="1153">
        <v>40360</v>
      </c>
      <c r="D24" s="1154">
        <v>0</v>
      </c>
      <c r="E24" s="1155">
        <f>+'EXHIBIT B'!C30</f>
        <v>248.31</v>
      </c>
      <c r="F24" s="1156">
        <f t="shared" si="2"/>
        <v>0</v>
      </c>
      <c r="G24" s="48"/>
      <c r="H24" s="48"/>
    </row>
    <row r="25" spans="1:9" ht="20.100000000000001" customHeight="1" thickBot="1">
      <c r="A25" s="383" t="s">
        <v>209</v>
      </c>
      <c r="B25" s="383" t="s">
        <v>774</v>
      </c>
      <c r="C25" s="1151" t="s">
        <v>775</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4135</v>
      </c>
      <c r="E27" s="708"/>
      <c r="F27" s="709">
        <f>SUM(F19:F25)</f>
        <v>1024163</v>
      </c>
      <c r="G27" s="310"/>
      <c r="H27" s="310"/>
    </row>
    <row r="28" spans="1:9" ht="20.100000000000001" customHeight="1" thickBot="1">
      <c r="A28" s="311" t="s">
        <v>232</v>
      </c>
      <c r="B28" s="311"/>
      <c r="C28" s="311"/>
      <c r="D28" s="311"/>
      <c r="E28" s="311"/>
      <c r="F28" s="312"/>
      <c r="G28" s="542"/>
      <c r="H28" s="313">
        <f>H17+F27</f>
        <v>7998621</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7998621</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788</v>
      </c>
      <c r="B55" s="968">
        <v>1806250</v>
      </c>
      <c r="C55" s="1133" t="s">
        <v>785</v>
      </c>
      <c r="D55" s="1134"/>
      <c r="E55" s="970" t="s">
        <v>789</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1806250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782</v>
      </c>
      <c r="B64" s="969">
        <v>2150000</v>
      </c>
      <c r="C64" s="970" t="s">
        <v>787</v>
      </c>
      <c r="D64" s="971"/>
      <c r="E64" s="970" t="s">
        <v>785</v>
      </c>
      <c r="F64" s="971"/>
    </row>
    <row r="65" spans="1:6" ht="24.95" customHeight="1">
      <c r="A65" s="716" t="s">
        <v>783</v>
      </c>
      <c r="B65" s="710">
        <v>25000</v>
      </c>
      <c r="C65" s="972" t="s">
        <v>784</v>
      </c>
      <c r="D65" s="973"/>
      <c r="E65" s="972" t="s">
        <v>785</v>
      </c>
      <c r="F65" s="973"/>
    </row>
    <row r="66" spans="1:6" ht="24.95" customHeight="1">
      <c r="A66" s="716" t="s">
        <v>786</v>
      </c>
      <c r="B66" s="710">
        <v>350000</v>
      </c>
      <c r="C66" s="972" t="s">
        <v>787</v>
      </c>
      <c r="D66" s="973"/>
      <c r="E66" s="972" t="s">
        <v>785</v>
      </c>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2525000</v>
      </c>
      <c r="C70" s="980"/>
      <c r="D70" s="981"/>
      <c r="E70" s="980"/>
      <c r="F70" s="981"/>
    </row>
    <row r="71" spans="1:6" ht="24.95" customHeight="1" thickBot="1">
      <c r="A71" s="290" t="s">
        <v>257</v>
      </c>
      <c r="B71" s="291">
        <f>+B70+B61</f>
        <v>4331250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96xVR12B7SOKYDfIoj/xB6ymlY54mhMo/6X9YoP9f1QQ4RH4F4U9ut6mpmwVkNpufNkAj/gBNmSc5DhvE9BqAQ==" saltValue="LgXVc6lG2szMhqyTTAq1ow=="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Northwest Florida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774</v>
      </c>
      <c r="C28" s="420" t="s">
        <v>775</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HgRJmNLInawjf4f3mlOMyaO4lc70/hF2jc3krmq+ComK+llU7kyCvBeUnLRdd9w06HF3/aLaXFZBWDWNWlvESA==" saltValue="0ZWsTw3O20Aw4fOSWvPBa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Northwest Florida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641429</v>
      </c>
    </row>
    <row r="13" spans="1:8" ht="20.100000000000001" customHeight="1">
      <c r="A13" s="492" t="s">
        <v>194</v>
      </c>
      <c r="B13" s="182"/>
      <c r="C13" s="175" t="s">
        <v>126</v>
      </c>
      <c r="D13" s="182"/>
      <c r="E13" s="182"/>
      <c r="F13" s="187" t="s">
        <v>221</v>
      </c>
      <c r="G13" s="186">
        <f>+'EXHIBIT C'!H11+'EXHIBIT C(2)'!E14</f>
        <v>4798011</v>
      </c>
    </row>
    <row r="14" spans="1:8" ht="20.100000000000001" customHeight="1">
      <c r="A14" s="492" t="s">
        <v>194</v>
      </c>
      <c r="B14" s="182"/>
      <c r="C14" s="182" t="s">
        <v>127</v>
      </c>
      <c r="D14" s="182"/>
      <c r="E14" s="182"/>
      <c r="F14" s="187" t="s">
        <v>222</v>
      </c>
      <c r="G14" s="513">
        <f>+'EXHIBIT C'!H12+'EXHIBIT C(2)'!E15</f>
        <v>1012443</v>
      </c>
    </row>
    <row r="15" spans="1:8" ht="20.100000000000001" customHeight="1">
      <c r="A15" s="492" t="s">
        <v>194</v>
      </c>
      <c r="B15" s="182"/>
      <c r="C15" s="188" t="s">
        <v>274</v>
      </c>
      <c r="D15" s="182"/>
      <c r="E15" s="182"/>
      <c r="F15" s="187" t="s">
        <v>223</v>
      </c>
      <c r="G15" s="513">
        <f>+'EXHIBIT C'!H13+'EXHIBIT C(2)'!E16</f>
        <v>375493</v>
      </c>
    </row>
    <row r="16" spans="1:8" ht="20.100000000000001" customHeight="1">
      <c r="A16" s="492" t="s">
        <v>194</v>
      </c>
      <c r="B16" s="182"/>
      <c r="C16" s="188" t="s">
        <v>275</v>
      </c>
      <c r="D16" s="182"/>
      <c r="E16" s="182"/>
      <c r="F16" s="187" t="s">
        <v>224</v>
      </c>
      <c r="G16" s="514">
        <f>+'EXHIBIT C'!H14+'EXHIBIT C(2)'!E17</f>
        <v>147082</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6974458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47914</v>
      </c>
    </row>
    <row r="22" spans="1:7" ht="20.100000000000001" customHeight="1">
      <c r="A22" s="492" t="s">
        <v>209</v>
      </c>
      <c r="B22" s="182"/>
      <c r="C22" s="175" t="s">
        <v>126</v>
      </c>
      <c r="D22" s="182"/>
      <c r="E22" s="182"/>
      <c r="F22" s="187" t="s">
        <v>228</v>
      </c>
      <c r="G22" s="191">
        <f>+'EXHIBIT C'!F20+'EXHIBIT C(2)'!E23</f>
        <v>709173</v>
      </c>
    </row>
    <row r="23" spans="1:7" ht="20.100000000000001" customHeight="1">
      <c r="A23" s="492" t="s">
        <v>209</v>
      </c>
      <c r="B23" s="182"/>
      <c r="C23" s="182" t="s">
        <v>127</v>
      </c>
      <c r="D23" s="182"/>
      <c r="E23" s="182"/>
      <c r="F23" s="187" t="s">
        <v>229</v>
      </c>
      <c r="G23" s="196">
        <f>+'EXHIBIT C'!F21+'EXHIBIT C(2)'!E24</f>
        <v>153952</v>
      </c>
    </row>
    <row r="24" spans="1:7" ht="20.100000000000001" customHeight="1">
      <c r="A24" s="492" t="s">
        <v>209</v>
      </c>
      <c r="B24" s="182"/>
      <c r="C24" s="188" t="s">
        <v>274</v>
      </c>
      <c r="D24" s="182"/>
      <c r="E24" s="182"/>
      <c r="F24" s="187" t="s">
        <v>230</v>
      </c>
      <c r="G24" s="196">
        <f>+'EXHIBIT C'!F22+'EXHIBIT C(2)'!E25</f>
        <v>47322</v>
      </c>
    </row>
    <row r="25" spans="1:7" ht="20.100000000000001" customHeight="1">
      <c r="A25" s="492" t="s">
        <v>209</v>
      </c>
      <c r="B25" s="182"/>
      <c r="C25" s="188" t="s">
        <v>275</v>
      </c>
      <c r="D25" s="182"/>
      <c r="E25" s="182"/>
      <c r="F25" s="187" t="s">
        <v>231</v>
      </c>
      <c r="G25" s="196">
        <f>+'EXHIBIT C'!F23+'EXHIBIT C(2)'!E26</f>
        <v>65802</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774</v>
      </c>
      <c r="D27" s="182"/>
      <c r="E27" s="182"/>
      <c r="F27" s="185" t="s">
        <v>775</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1024163</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7998621</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120000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975000</v>
      </c>
    </row>
    <row r="52" spans="1:7" ht="20.100000000000001" customHeight="1">
      <c r="A52" s="492" t="s">
        <v>295</v>
      </c>
      <c r="B52" s="182"/>
      <c r="C52" s="182"/>
      <c r="D52" s="182"/>
      <c r="E52" s="182"/>
      <c r="F52" s="185">
        <v>40450</v>
      </c>
      <c r="G52" s="442">
        <v>741480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48769</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430000</v>
      </c>
    </row>
    <row r="60" spans="1:7" ht="20.100000000000001" customHeight="1">
      <c r="A60" s="492" t="s">
        <v>310</v>
      </c>
      <c r="B60" s="182"/>
      <c r="C60" s="182"/>
      <c r="D60" s="182"/>
      <c r="E60" s="182"/>
      <c r="F60" s="187" t="s">
        <v>311</v>
      </c>
      <c r="G60" s="442">
        <v>227000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10540870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1501211</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1501211</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24756000.410122402</v>
      </c>
    </row>
    <row r="77" spans="1:7" ht="20.100000000000001" customHeight="1">
      <c r="A77" s="492" t="s">
        <v>695</v>
      </c>
      <c r="B77" s="182"/>
      <c r="C77" s="182"/>
      <c r="D77" s="182"/>
      <c r="E77" s="182"/>
      <c r="F77" s="185">
        <v>42130</v>
      </c>
      <c r="G77" s="516">
        <v>846604</v>
      </c>
    </row>
    <row r="78" spans="1:7" ht="20.100000000000001" customHeight="1">
      <c r="A78" s="494" t="s">
        <v>328</v>
      </c>
      <c r="B78" s="495"/>
      <c r="C78" s="495"/>
      <c r="D78" s="495"/>
      <c r="E78" s="495"/>
      <c r="F78" s="201" t="s">
        <v>329</v>
      </c>
      <c r="G78" s="517">
        <v>337943</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v>393003</v>
      </c>
    </row>
    <row r="82" spans="1:10" ht="20.100000000000001" customHeight="1">
      <c r="A82" s="492" t="s">
        <v>335</v>
      </c>
      <c r="B82" s="182"/>
      <c r="C82" s="182"/>
      <c r="D82" s="182"/>
      <c r="E82" s="182"/>
      <c r="F82" s="187" t="s">
        <v>336</v>
      </c>
      <c r="G82" s="515">
        <f>'CHECK SHEET'!D86</f>
        <v>4377734.5898775999</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30711285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443795</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443795</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187290</v>
      </c>
    </row>
    <row r="112" spans="1:7" ht="20.100000000000001" customHeight="1">
      <c r="A112" s="492" t="s">
        <v>364</v>
      </c>
      <c r="B112" s="182"/>
      <c r="C112" s="182"/>
      <c r="D112" s="182"/>
      <c r="E112" s="182"/>
      <c r="F112" s="187" t="s">
        <v>365</v>
      </c>
      <c r="G112" s="443">
        <v>3600</v>
      </c>
    </row>
    <row r="113" spans="1:7" ht="20.100000000000001" customHeight="1">
      <c r="A113" s="492" t="s">
        <v>366</v>
      </c>
      <c r="B113" s="182"/>
      <c r="C113" s="182"/>
      <c r="D113" s="182"/>
      <c r="E113" s="182"/>
      <c r="F113" s="187" t="s">
        <v>367</v>
      </c>
      <c r="G113" s="443">
        <v>11000</v>
      </c>
    </row>
    <row r="114" spans="1:7" ht="20.100000000000001" customHeight="1">
      <c r="A114" s="492" t="s">
        <v>368</v>
      </c>
      <c r="B114" s="182"/>
      <c r="C114" s="182"/>
      <c r="D114" s="182"/>
      <c r="E114" s="182"/>
      <c r="F114" s="187" t="s">
        <v>369</v>
      </c>
      <c r="G114" s="1078">
        <v>38500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240390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350000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925</v>
      </c>
    </row>
    <row r="127" spans="1:7" ht="20.100000000000001" customHeight="1">
      <c r="A127" s="492" t="s">
        <v>381</v>
      </c>
      <c r="B127" s="182"/>
      <c r="C127" s="182"/>
      <c r="D127" s="182"/>
      <c r="E127" s="182"/>
      <c r="F127" s="187" t="s">
        <v>382</v>
      </c>
      <c r="G127" s="443">
        <v>36750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387675</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6">
        <v>49200</v>
      </c>
      <c r="G134" s="443">
        <v>2525000</v>
      </c>
    </row>
    <row r="135" spans="1:7" ht="20.100000000000001" customHeight="1">
      <c r="A135" s="492" t="s">
        <v>387</v>
      </c>
      <c r="B135" s="182"/>
      <c r="C135" s="182"/>
      <c r="D135" s="182"/>
      <c r="E135" s="182"/>
      <c r="F135" s="1052" t="s">
        <v>388</v>
      </c>
      <c r="G135" s="443">
        <v>30000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-1</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2554999</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46380225</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842064</v>
      </c>
    </row>
    <row r="148" spans="1:7" ht="20.100000000000001" customHeight="1">
      <c r="A148" s="492" t="s">
        <v>399</v>
      </c>
      <c r="F148" s="187" t="s">
        <v>400</v>
      </c>
      <c r="G148" s="447">
        <v>333400</v>
      </c>
    </row>
    <row r="149" spans="1:7" ht="20.100000000000001" customHeight="1">
      <c r="A149" s="492" t="s">
        <v>401</v>
      </c>
      <c r="F149" s="187" t="s">
        <v>402</v>
      </c>
      <c r="G149" s="447">
        <v>650549</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5976722</v>
      </c>
    </row>
    <row r="153" spans="1:7" ht="20.100000000000001" customHeight="1">
      <c r="A153" s="492" t="s">
        <v>409</v>
      </c>
      <c r="B153" s="182"/>
      <c r="C153" s="182"/>
      <c r="D153" s="182"/>
      <c r="E153" s="182"/>
      <c r="F153" s="187" t="s">
        <v>410</v>
      </c>
      <c r="G153" s="447">
        <v>1323009</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6075692</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2090110</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2508745</v>
      </c>
    </row>
    <row r="173" spans="1:7" ht="20.100000000000001" customHeight="1">
      <c r="A173" s="492" t="s">
        <v>447</v>
      </c>
      <c r="B173" s="182"/>
      <c r="C173" s="182"/>
      <c r="D173" s="182"/>
      <c r="E173" s="182"/>
      <c r="F173" s="185">
        <v>56002</v>
      </c>
      <c r="G173" s="447">
        <f>71000+78270</f>
        <v>149270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258063</v>
      </c>
    </row>
    <row r="178" spans="1:7" ht="20.100000000000001" customHeight="1">
      <c r="A178" s="492" t="s">
        <v>455</v>
      </c>
      <c r="B178" s="182"/>
      <c r="C178" s="182"/>
      <c r="D178" s="182"/>
      <c r="E178" s="182"/>
      <c r="F178" s="187" t="s">
        <v>456</v>
      </c>
      <c r="G178" s="447">
        <v>802089</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900338</v>
      </c>
    </row>
    <row r="186" spans="1:7" ht="20.100000000000001" customHeight="1">
      <c r="A186" s="492" t="s">
        <v>471</v>
      </c>
      <c r="B186" s="182"/>
      <c r="C186" s="182"/>
      <c r="D186" s="182"/>
      <c r="E186" s="182"/>
      <c r="F186" s="187" t="s">
        <v>472</v>
      </c>
      <c r="G186" s="447">
        <v>1663458</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2130999</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825000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26529508</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659188</v>
      </c>
    </row>
    <row r="200" spans="1:7" ht="20.100000000000001" customHeight="1">
      <c r="A200" s="492" t="s">
        <v>490</v>
      </c>
      <c r="B200" s="182"/>
      <c r="C200" s="182"/>
      <c r="D200" s="182"/>
      <c r="E200" s="182"/>
      <c r="F200" s="187" t="s">
        <v>491</v>
      </c>
      <c r="G200" s="447">
        <v>44945</v>
      </c>
    </row>
    <row r="201" spans="1:7" ht="20.100000000000001" customHeight="1">
      <c r="A201" s="492" t="s">
        <v>492</v>
      </c>
      <c r="B201" s="182"/>
      <c r="C201" s="182"/>
      <c r="D201" s="182"/>
      <c r="E201" s="182"/>
      <c r="F201" s="187" t="s">
        <v>493</v>
      </c>
      <c r="G201" s="447">
        <v>134000</v>
      </c>
    </row>
    <row r="202" spans="1:7" ht="20.100000000000001" customHeight="1">
      <c r="A202" s="492" t="s">
        <v>494</v>
      </c>
      <c r="B202" s="182"/>
      <c r="C202" s="182"/>
      <c r="D202" s="182"/>
      <c r="E202" s="182"/>
      <c r="F202" s="187" t="s">
        <v>495</v>
      </c>
      <c r="G202" s="447">
        <v>129290</v>
      </c>
    </row>
    <row r="203" spans="1:7" ht="20.100000000000001" customHeight="1">
      <c r="A203" s="492" t="s">
        <v>496</v>
      </c>
      <c r="B203" s="182"/>
      <c r="C203" s="182"/>
      <c r="D203" s="182"/>
      <c r="E203" s="182"/>
      <c r="F203" s="187" t="s">
        <v>497</v>
      </c>
      <c r="G203" s="447">
        <v>1312855</v>
      </c>
    </row>
    <row r="204" spans="1:7" ht="20.100000000000001" customHeight="1">
      <c r="A204" s="492" t="s">
        <v>498</v>
      </c>
      <c r="B204" s="182"/>
      <c r="C204" s="182"/>
      <c r="D204" s="182"/>
      <c r="E204" s="182"/>
      <c r="F204" s="187" t="s">
        <v>499</v>
      </c>
      <c r="G204" s="447">
        <v>171410</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v>1372070</v>
      </c>
    </row>
    <row r="207" spans="1:7" ht="20.100000000000001" customHeight="1">
      <c r="A207" s="492" t="s">
        <v>502</v>
      </c>
      <c r="B207" s="182"/>
      <c r="C207" s="182"/>
      <c r="D207" s="182"/>
      <c r="E207" s="182"/>
      <c r="F207" s="187" t="s">
        <v>503</v>
      </c>
      <c r="G207" s="447">
        <v>2049987</v>
      </c>
    </row>
    <row r="208" spans="1:7" ht="20.100000000000001" customHeight="1">
      <c r="A208" s="492" t="s">
        <v>504</v>
      </c>
      <c r="B208" s="182"/>
      <c r="C208" s="182"/>
      <c r="D208" s="182"/>
      <c r="E208" s="182"/>
      <c r="F208" s="187" t="s">
        <v>505</v>
      </c>
      <c r="G208" s="447">
        <v>5602125</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275035</v>
      </c>
    </row>
    <row r="212" spans="1:7" ht="20.100000000000001" customHeight="1">
      <c r="A212" s="492" t="s">
        <v>511</v>
      </c>
      <c r="B212" s="182"/>
      <c r="C212" s="182"/>
      <c r="D212" s="182"/>
      <c r="E212" s="182"/>
      <c r="F212" s="187" t="s">
        <v>512</v>
      </c>
      <c r="G212" s="447">
        <v>629449</v>
      </c>
    </row>
    <row r="213" spans="1:7" ht="20.100000000000001" customHeight="1">
      <c r="A213" s="492" t="s">
        <v>513</v>
      </c>
      <c r="F213" s="205" t="s">
        <v>514</v>
      </c>
      <c r="G213" s="447">
        <v>1403882</v>
      </c>
    </row>
    <row r="214" spans="1:7" ht="20.100000000000001" customHeight="1">
      <c r="A214" s="492" t="s">
        <v>515</v>
      </c>
      <c r="B214" s="182"/>
      <c r="C214" s="182"/>
      <c r="D214" s="182"/>
      <c r="E214" s="182"/>
      <c r="F214" s="187" t="s">
        <v>516</v>
      </c>
      <c r="G214" s="447">
        <v>452250</v>
      </c>
    </row>
    <row r="215" spans="1:7" ht="20.100000000000001" customHeight="1">
      <c r="A215" s="492" t="s">
        <v>517</v>
      </c>
      <c r="B215" s="182"/>
      <c r="C215" s="182"/>
      <c r="D215" s="182"/>
      <c r="E215" s="182"/>
      <c r="F215" s="187" t="s">
        <v>518</v>
      </c>
      <c r="G215" s="447">
        <v>364039</v>
      </c>
    </row>
    <row r="216" spans="1:7" ht="20.100000000000001" customHeight="1">
      <c r="A216" s="492" t="s">
        <v>519</v>
      </c>
      <c r="B216" s="182"/>
      <c r="C216" s="182"/>
      <c r="D216" s="182"/>
      <c r="E216" s="182"/>
      <c r="F216" s="187" t="s">
        <v>520</v>
      </c>
      <c r="G216" s="447">
        <v>138250</v>
      </c>
    </row>
    <row r="217" spans="1:7" ht="20.100000000000001" customHeight="1">
      <c r="A217" s="492" t="s">
        <v>521</v>
      </c>
      <c r="B217" s="182"/>
      <c r="C217" s="182"/>
      <c r="D217" s="182"/>
      <c r="E217" s="182"/>
      <c r="F217" s="203" t="s">
        <v>522</v>
      </c>
      <c r="G217" s="447">
        <v>22950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69000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1806250</v>
      </c>
    </row>
    <row r="224" spans="1:7" ht="20.100000000000001" customHeight="1">
      <c r="A224" s="503" t="s">
        <v>699</v>
      </c>
      <c r="B224" s="212"/>
      <c r="C224" s="212"/>
      <c r="D224" s="213"/>
      <c r="E224" s="212"/>
      <c r="F224" s="1096">
        <v>69200</v>
      </c>
      <c r="G224" s="447">
        <v>0</v>
      </c>
    </row>
    <row r="225" spans="1:9" ht="20.100000000000001" customHeight="1">
      <c r="A225" s="492" t="s">
        <v>533</v>
      </c>
      <c r="B225" s="182"/>
      <c r="C225" s="182"/>
      <c r="D225" s="182"/>
      <c r="E225" s="182"/>
      <c r="F225" s="187" t="s">
        <v>534</v>
      </c>
      <c r="G225" s="447">
        <v>27300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2468363</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19132638</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309529</v>
      </c>
    </row>
    <row r="234" spans="1:9" ht="20.100000000000001" customHeight="1">
      <c r="A234" s="492" t="s">
        <v>542</v>
      </c>
      <c r="B234" s="182"/>
      <c r="C234" s="182"/>
      <c r="D234" s="182"/>
      <c r="E234" s="182"/>
      <c r="F234" s="187" t="s">
        <v>543</v>
      </c>
      <c r="G234" s="447">
        <v>19400</v>
      </c>
    </row>
    <row r="235" spans="1:9" ht="20.100000000000001" customHeight="1">
      <c r="A235" s="492" t="s">
        <v>544</v>
      </c>
      <c r="B235" s="182"/>
      <c r="C235" s="182"/>
      <c r="D235" s="182"/>
      <c r="E235" s="182"/>
      <c r="F235" s="187" t="s">
        <v>545</v>
      </c>
      <c r="G235" s="447">
        <v>182150</v>
      </c>
    </row>
    <row r="236" spans="1:9" ht="20.100000000000001" customHeight="1">
      <c r="A236" s="492" t="s">
        <v>546</v>
      </c>
      <c r="B236" s="182"/>
      <c r="C236" s="182"/>
      <c r="D236" s="182"/>
      <c r="E236" s="182"/>
      <c r="F236" s="1052" t="s">
        <v>547</v>
      </c>
      <c r="G236" s="447">
        <v>0</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206000</v>
      </c>
    </row>
    <row r="241" spans="1:7" ht="20.100000000000001" customHeight="1">
      <c r="A241" s="492" t="s">
        <v>549</v>
      </c>
      <c r="B241" s="182"/>
      <c r="C241" s="182"/>
      <c r="D241" s="182"/>
      <c r="E241" s="182"/>
      <c r="F241" s="187" t="s">
        <v>550</v>
      </c>
      <c r="G241" s="447">
        <v>1000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718079</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46380225</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11038493.550000001</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11038493.550000001</v>
      </c>
    </row>
    <row r="264" spans="1:12" ht="20.100000000000001" customHeight="1">
      <c r="A264" s="493"/>
      <c r="B264" s="182"/>
      <c r="C264" s="182"/>
      <c r="D264" s="182"/>
      <c r="E264" s="182"/>
      <c r="F264" s="199"/>
      <c r="G264" s="215"/>
    </row>
    <row r="265" spans="1:12" ht="20.100000000000001" customHeight="1" thickBot="1">
      <c r="A265" s="504" t="s">
        <v>772</v>
      </c>
      <c r="F265" s="205">
        <v>30800</v>
      </c>
      <c r="G265" s="448">
        <v>-15400278</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-4361784.4499999993</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sUQnXe1bNZBRwh8O/hlEjdfrCDMCFsH95NykOsiYQoyyCQLJpFlKQg4CXrYJ7jBlz2ul+Ftq2mVToNaXu7z54w==" saltValue="OOQQ+rDx1lnhCpLnP+q9R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68</vt:i4>
      </vt:variant>
    </vt:vector>
  </HeadingPairs>
  <TitlesOfParts>
    <vt:vector size="83" baseType="lpstr">
      <vt:lpstr>SUMMARY OF CHANGES</vt:lpstr>
      <vt:lpstr>OPB WORKBOOK INSTRUCTIONS</vt:lpstr>
      <vt:lpstr>VLOOKUP</vt:lpstr>
      <vt:lpstr>CHECK SHEET</vt:lpstr>
      <vt:lpstr>EXHIBIT A</vt:lpstr>
      <vt:lpstr>EXHIBIT B</vt:lpstr>
      <vt:lpstr>EXHIBIT C</vt:lpstr>
      <vt:lpstr>EXHIBIT C(2)</vt:lpstr>
      <vt:lpstr>EXHIBIT D</vt:lpstr>
      <vt:lpstr>Sheet2</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2024-06-24T20:45:22Z</cp:lastPrinted>
  <dcterms:created xsi:type="dcterms:W3CDTF">2005-03-22T15:46:43Z</dcterms:created>
  <dcterms:modified xsi:type="dcterms:W3CDTF">2024-08-20T14:10:25Z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