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SCF, Manatee-Sarasota\"/>
    </mc:Choice>
  </mc:AlternateContent>
  <xr:revisionPtr revIDLastSave="0" documentId="8_{649512B7-1C7F-44BF-A871-4407B862282E}"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Title">'EXHIBIT D'!$A$9</definedName>
    <definedName name="ADD_______________REVENUES">'EXHIBIT A'!$B$18</definedName>
    <definedName name="ADD_ACCRUED_LEAVE_EXPENSE__GLC_59300">'EXHIBIT A'!$B$33</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APPROPRIATIONS">'CHECK SHEET'!$C$83</definedName>
    <definedName name="AS_OF_JUNE_30__2025__TO_ESTIMATED_FUNDS_AVAILABLE">'EXHIBIT A'!$B$44</definedName>
    <definedName name="BEGINNING_FUND_BALANCE___JULY_1__2024">'EXHIBIT A'!$B$11</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G'!$A$97</definedName>
    <definedName name="CAPITAL_OUTLAY_______GLC_700S">'EXHIBIT E'!$D$9</definedName>
    <definedName name="CapitalOutlay">'EXHIBIT D'!$A$231</definedName>
    <definedName name="CERTIFY_BOARD_OF_TRUSTEES_APPROVAL">'EXHIBIT A'!$B$46</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OLLEGE_PRESIDENT">'EXHIBIT A'!$B$51</definedName>
    <definedName name="CONVERTED_TO_30_CRHR">'CHECK SHEET'!$D$58</definedName>
    <definedName name="CR_AD" localSheetId="13">'[1]VOC PREP'!$A$4:$O$54</definedName>
    <definedName name="CREDIT" localSheetId="12">#REF!</definedName>
    <definedName name="CREDIT">#REF!</definedName>
    <definedName name="CREDIT_HOURS">'CHECK SHEET'!$E$58</definedName>
    <definedName name="CURRENT_EXPENSE">'EXHIBIT G'!$A$63</definedName>
    <definedName name="CURRENT_EXPENSE_______GLC_600S">'EXHIBIT E'!$C$9</definedName>
    <definedName name="CURRENT_EXPENSES">'EXHIBIT D'!$A$197</definedName>
    <definedName name="CURRENT_FUNDS___UNRESTRICTED_LOWER_AND_UPPER_LEVEL">'EXHIBIT D'!$G$9</definedName>
    <definedName name="DEDUCT_______EXPENDITURES">'EXHIBIT A'!$B$25</definedName>
    <definedName name="DIFFERENCE">'CHECK SHEET'!$F$83</definedName>
    <definedName name="DiffGreaterthan3">'CHECK SHEET'!$G$41</definedName>
    <definedName name="Disciplin2">'EXHIBIT C'!$B$32</definedName>
    <definedName name="DISCIPLINE">'EXHIBIT C'!$B$9</definedName>
    <definedName name="Discipline4">'EXHIBIT C(2)'!$B$12</definedName>
    <definedName name="ENDOWMENT_INCOME">'EXHIBIT D'!$A$118</definedName>
    <definedName name="Enter_amounts_only_for_cells_highlighted_in_light_yellow.">'EXHIBIT G'!$A$7</definedName>
    <definedName name="ESTIMATED_AFR_FUND_BALANCE___JUNE_30__2024__IF_DEBIT_BALANCE_USE__MINUS_SIGN">'EXHIBIT A'!$B$13</definedName>
    <definedName name="ESTIMATED_FUND_BALANCE___JUNE_30__2024">'EXHIBIT A'!$B$30</definedName>
    <definedName name="ESTIMATED_UNENCUMBERED_FUND_BALANCE___JUNE_30__2025">'EXHIBIT A'!$B$40</definedName>
    <definedName name="EstimatedFTE">'CHECK SHEET'!$D$40</definedName>
    <definedName name="EstimatedStudentCreditHr">'CHECK SHEET'!$E$40</definedName>
    <definedName name="EXHIBIT_D">'CHECK SHEET'!$E$83</definedName>
    <definedName name="FEDERAL_SUPPORT">'EXHIBIT D'!$A$88</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APPROPRIATIONS_ACT">'CHECK SHEET'!$D$83</definedName>
    <definedName name="GENERAL_LEDGER_CODE">'EXHIBIT C(2)'!$C$12</definedName>
    <definedName name="GIFTS__PRIVATE_GRANTS_AND_CONTRACTS">'EXHIBIT D'!$A$99</definedName>
    <definedName name="GL25p">'EXHIBIT G'!$C$62</definedName>
    <definedName name="GLC">'EXHIBIT G'!$C$8</definedName>
    <definedName name="GLC21b">'EXHIBIT G'!$C$116</definedName>
    <definedName name="GLC23b">'EXHIBIT G'!$C$97</definedName>
    <definedName name="GLCode">'EXHIBIT D'!$F$9</definedName>
    <definedName name="GLCode_ExhibitG">'EXHIBIT G'!$C$8</definedName>
    <definedName name="GLCode_G2">'EXHIBIT G'!$C$62</definedName>
    <definedName name="GLCode_G3">'EXHIBIT G'!$C$97</definedName>
    <definedName name="GLCode_G4">'EXHIBIT G'!$C$116</definedName>
    <definedName name="GLCode2">'EXHIBIT C'!$C$39</definedName>
    <definedName name="GRAND_TOTAL_EXPENDITURES">'EXHIBIT D'!$A$249</definedName>
    <definedName name="Grand_Total_Expenditures_G">'EXHIBIT G'!$A$113</definedName>
    <definedName name="InStateDifference">'CHECK SHEET'!$F$42</definedName>
    <definedName name="Item1">'CHECK SHEET'!$A$7</definedName>
    <definedName name="Item10">'CHECK SHEET'!$A$99</definedName>
    <definedName name="Item11">'CHECK SHEET'!$A$106</definedName>
    <definedName name="Item12">'CHECK SHEET'!$A$117</definedName>
    <definedName name="Item13">'CHECK SHEET'!$A$124</definedName>
    <definedName name="Item14">'CHECK SHEET'!$A$133</definedName>
    <definedName name="Item2">'CHECK SHEET'!$A$10</definedName>
    <definedName name="Item3">'CHECK SHEET'!$A$15</definedName>
    <definedName name="Item4">'CHECK SHEET'!$A$21</definedName>
    <definedName name="Item5">'CHECK SHEET'!$A$32</definedName>
    <definedName name="Item6">'CHECK SHEET'!$A$37</definedName>
    <definedName name="Item7">'CHECK SHEET'!$A$71</definedName>
    <definedName name="Item8">'CHECK SHEET'!$A$81</definedName>
    <definedName name="Item9">'CHECK SHEET'!$A$91</definedName>
    <definedName name="Ledger">'EXHIBIT C(2)'!$C$21</definedName>
    <definedName name="LESS_ESTIMATED_AMOUNT_EXPECTED_TO_BE_FINANCED_IN_FUTURE_YEARS__GLC_30800____JUNE_30__2025">'EXHIBIT A'!$B$36</definedName>
    <definedName name="NON_REVENUE_RECEIPTS">'EXHIBIT D'!$A$131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THER_REVENUES">'EXHIBIT D'!$A$122</definedName>
    <definedName name="OUT_OF_STATE">'CHECK SHEET'!$C$58</definedName>
    <definedName name="OUT_OF_STATE_FEES">'EXHIBIT B'!$C$28</definedName>
    <definedName name="OutofState_Difference">'CHECK SHEET'!$F$58</definedName>
    <definedName name="PERCENT_OF_ESTIMATED_UNENCUMBERED_FUND_BALANCE">'EXHIBIT A'!$B$43</definedName>
    <definedName name="PERSONNEL____GLC_500S">'EXHIBIT E'!$B$9</definedName>
    <definedName name="PERSONNEL_COSTS">'EXHIBIT D'!$A$145</definedName>
    <definedName name="PersonnelCosts_">'EXHIBIT G'!$B$9</definedName>
    <definedName name="PLANNED">'EXHIBIT G'!$B$62</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OOS">'EXHIBIT B'!$A$28</definedName>
    <definedName name="PROGRAMS">'EXHIBIT B'!$A$13</definedName>
    <definedName name="PSAV" localSheetId="12">#REF!</definedName>
    <definedName name="PSAV">#REF!</definedName>
    <definedName name="PURPOSE_OF_TRANSFER">'EXHIBIT C'!$A$52</definedName>
    <definedName name="RESIDENT">'CHECK SHEET'!$C$43</definedName>
    <definedName name="RESTRICTED_SOURCES">'EXHIBIT G'!$E$8</definedName>
    <definedName name="restrictedandunrestrictedsources">'EXHIBIT G'!$G$116</definedName>
    <definedName name="RestrictedSources">'EXHIBIT G'!$E$97</definedName>
    <definedName name="Restrictedsources1">'EXHIBIT G'!$E$116</definedName>
    <definedName name="RSources">'EXHIBIT G'!$E$62</definedName>
    <definedName name="SALES_AND_SERVICES_DEPARTMENT">'EXHIBIT D'!$A$108</definedName>
    <definedName name="SOURCES_OF_FUNDS">'EXHIBIT G'!$A$116</definedName>
    <definedName name="STATE_SUPPORT">'EXHIBIT D'!$A$74</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StudentTuition">'EXHIBIT D'!$A$10</definedName>
    <definedName name="SUPPORT_FROM_LOCAL_GOVERNMENT">'EXHIBIT D'!$A$66</definedName>
    <definedName name="TECHNOLOGY_FEE__1">'EXHIBIT B'!$F$13</definedName>
    <definedName name="THAN_5">'CHECK SHEET'!$G$58</definedName>
    <definedName name="TOTAL">'EXHIBIT B'!$G$13</definedName>
    <definedName name="TOTAL_ANNUAL_HEADCOUNT_UNDUPLICATED_BY_TERM_BLOCK">'EXHIBIT C'!$D$39</definedName>
    <definedName name="TOTAL_AVAILABLE_LESS_DISBURSEMENTS">'EXHIBIT A'!$B$32</definedName>
    <definedName name="TOTAL_DISBURSEMENTS">'EXHIBIT A'!$B$28</definedName>
    <definedName name="TOTAL_ESTIMATED_AVAILABLE">'EXHIBIT A'!$B$23</definedName>
    <definedName name="TOTAL_ESTIMATED_FUND_BALANCE">'EXHIBIT D'!$A$267</definedName>
    <definedName name="TOTAL_ESTIMATED_FUND_BALANCE___JUNE_30__2025">'EXHIBIT A'!$B$38</definedName>
    <definedName name="TOTAL_ESTIMATED_RESERVE_AND_UNENCUMBERED_FUND_BALANCE___JUNE_30__2025">'EXHIBIT A'!$B$35</definedName>
    <definedName name="TOTAL_FEE_PAYING">'EXHIBIT C'!$F$9</definedName>
    <definedName name="TOTAL_PLANNED_CREDIT_HOURS">'EXHIBIT C'!$D$9</definedName>
    <definedName name="TOTAL_RECEIPTS">'EXHIBIT A'!$B$21</definedName>
    <definedName name="TOTAL_RESERVE_AND_UNENCUMBERED_FUND_BALANCE___JULY_1__2024">'EXHIBIT A'!$B$16</definedName>
    <definedName name="TOTAL_SOURCES_OF_FUNDS">'EXHIBIT G'!$A$129</definedName>
    <definedName name="TOTAL_UNRESTRICTED_AND_RESTRICTED_SOURCES">'EXHIBIT G'!$F$8</definedName>
    <definedName name="total25b">'EXHIBIT G'!$F$62</definedName>
    <definedName name="Total4">'EXHIBIT E'!$E$9</definedName>
    <definedName name="Totalsources">'EXHIBIT G'!$F$97</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G'!$D$116</definedName>
    <definedName name="UNRESTRICTED_SOURCES">'EXHIBIT G'!$D$8</definedName>
    <definedName name="UNSources">'EXHIBIT G'!$D$62</definedName>
    <definedName name="UPDATED_CHARGE_PER_STUDENT_CREDIT_HOUR">'EXHIBIT C(2)'!$D$21</definedName>
    <definedName name="USouces24">'EXHIBIT G'!$D$97</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9" i="7" l="1"/>
  <c r="G167" i="7"/>
  <c r="G165" i="7"/>
  <c r="G162" i="7"/>
  <c r="G155" i="7"/>
  <c r="G152" i="7"/>
  <c r="G149" i="7"/>
  <c r="C10" i="8"/>
  <c r="E80" i="15" l="1"/>
  <c r="E73" i="15"/>
  <c r="D81" i="15"/>
  <c r="D77" i="15"/>
  <c r="D76" i="15"/>
  <c r="D73" i="15"/>
  <c r="D66" i="15"/>
  <c r="D64" i="15"/>
  <c r="D54" i="15"/>
  <c r="D49" i="15"/>
  <c r="D48" i="15"/>
  <c r="D39" i="15"/>
  <c r="D16" i="15"/>
  <c r="D15" i="15"/>
  <c r="G208" i="7" l="1"/>
  <c r="G216" i="7"/>
  <c r="G225" i="7"/>
  <c r="G201" i="7"/>
  <c r="G203" i="7"/>
  <c r="G206" i="7"/>
  <c r="G211" i="7"/>
  <c r="G214" i="7"/>
  <c r="G199" i="7" l="1"/>
  <c r="G220" i="7"/>
  <c r="G213" i="7"/>
  <c r="G212" i="7"/>
  <c r="G202" i="7"/>
  <c r="G200" i="7"/>
  <c r="G234" i="7"/>
  <c r="G222" i="7"/>
  <c r="G215" i="7"/>
  <c r="G209" i="7"/>
  <c r="G207" i="7"/>
  <c r="G204" i="7"/>
  <c r="G193" i="7"/>
  <c r="G191" i="7"/>
  <c r="G186" i="7"/>
  <c r="G185" i="7"/>
  <c r="G171" i="7"/>
  <c r="G176" i="7"/>
  <c r="G153" i="7"/>
  <c r="G148" i="7" l="1"/>
  <c r="G127" i="7" l="1"/>
  <c r="G134" i="7"/>
  <c r="G124" i="7" l="1"/>
  <c r="G112" i="7"/>
  <c r="G111" i="7"/>
  <c r="G60" i="7"/>
  <c r="G59" i="7"/>
  <c r="G57" i="7"/>
  <c r="G49" i="7"/>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c r="I31" i="5"/>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c r="G38" i="7"/>
  <c r="G43" i="7" s="1"/>
  <c r="H17" i="6"/>
  <c r="H28" i="6"/>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<sst xmlns="http://schemas.openxmlformats.org/spreadsheetml/2006/main" count="1320" uniqueCount="793">
  <si>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</si>
  <si>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</si>
  <si>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</si>
  <si>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</si>
  <si>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</si>
  <si>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</si>
  <si>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</si>
  <si>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</si>
  <si>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</si>
  <si>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</si>
  <si>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</si>
  <si>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2024-25 INSTRUCTIONS </t>
  </si>
  <si>
    <t>ANNUAL COLLEGE OPERATING BUDGET WORKBOOK FORMS</t>
  </si>
  <si>
    <t>Double Click to download a PDF of the document.</t>
  </si>
  <si>
    <t xml:space="preserve">VLOOKUP CHARTS - DO NOT DELETE - UPDATE EACH YEAR </t>
  </si>
  <si>
    <t>UPDATE COLUMNS HIGHLIGHTED IN YELLOW</t>
  </si>
  <si>
    <t>Updated 4.3.24 EN</t>
  </si>
  <si>
    <t xml:space="preserve"> FLORIDA COLLEGE SYSTEM PROGRAM FUND (FCSPF) APPROPRIATIONS </t>
  </si>
  <si>
    <t xml:space="preserve">2024-25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</si>
  <si>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</si>
  <si>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</si>
  <si>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</si>
  <si>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</si>
  <si>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</si>
  <si>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</si>
  <si>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</si>
  <si>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</si>
  <si>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</si>
  <si>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</si>
  <si>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</si>
  <si>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</si>
  <si>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</si>
  <si>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</si>
  <si>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</si>
  <si>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</si>
  <si>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</si>
  <si>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</si>
  <si>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</si>
  <si>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</si>
  <si>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</si>
  <si>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</si>
  <si>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</si>
  <si>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</si>
  <si>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</si>
  <si>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</si>
  <si>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</si>
  <si>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</si>
  <si>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</si>
  <si>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</si>
  <si>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</si>
  <si>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State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</si>
  <si>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</si>
  <si>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</si>
  <si>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</si>
  <si>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2024-25 General Revenue appropriations does not include the $30,000,000 appropriated for Performance Based Incentive Funding.  </t>
  </si>
  <si>
    <t>2024-25 SPECIAL PROJECTS</t>
  </si>
  <si>
    <t>Updated: 4.4.24 EN</t>
  </si>
  <si>
    <t xml:space="preserve">Program/Project </t>
  </si>
  <si>
    <t xml:space="preserve">Recurring </t>
  </si>
  <si>
    <t>Nonrecurring</t>
  </si>
  <si>
    <t>Total</t>
  </si>
  <si>
    <t>Heating, Air Conditioning and Refrigeration Program</t>
  </si>
  <si>
    <t>Auto Service Technology Program Improvements</t>
  </si>
  <si>
    <t>Fire Fighting Training Program Breathing Apparatus</t>
  </si>
  <si>
    <t>Emergency Medical Services Training Center Critical Equipment</t>
  </si>
  <si>
    <t>Florida Southwestern State College</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</si>
  <si>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</si>
  <si>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</si>
  <si>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</si>
  <si>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</si>
  <si>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</si>
  <si>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</si>
  <si>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</si>
  <si>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CDL Consortium</t>
  </si>
  <si>
    <t>The Special Projects Recurring and Nonrecurring amounts are included in the General Revenue appropriations, Column B above.</t>
  </si>
  <si>
    <t>2024-25</t>
  </si>
  <si>
    <t>Date Updated 4.4.24</t>
  </si>
  <si>
    <t>ADULTS WITH DISABILITIES APPROPRIATION  (PROVIDED FOR INFORMATION PURPOSES ONLY APPROPRIATION 28 NOT ADDED INTO GR ABOVE)</t>
  </si>
  <si>
    <t>UPDATE COLUMN B</t>
  </si>
  <si>
    <t>2024-25 FINANCIAL AID FEES ADDITIONAL 2% CALCULATION</t>
  </si>
  <si>
    <t>updated 4.3.24 EN</t>
  </si>
  <si>
    <t xml:space="preserve"> TOTAL 2024-25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</si>
  <si>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</si>
  <si>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</si>
  <si>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</si>
  <si>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</si>
  <si>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</si>
  <si>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J:\Finance\Fees\2023-24\Fee Calculator 2023-24 (Using 2023-24 FTE-2A) FALL 2023 FEES 4.3.24.DRS.xlsx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</si>
  <si>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</si>
  <si>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</si>
  <si>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</si>
  <si>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2023-24 FTE-2A REPORT</t>
  </si>
  <si>
    <t>Date Updated:   04.3.24;    BY:  EN</t>
  </si>
  <si>
    <t>LOWER LEVEL</t>
  </si>
  <si>
    <t>FEE PAYING FTE TOTALS</t>
  </si>
  <si>
    <t>UPPER LEVEL</t>
  </si>
  <si>
    <t>CREDIT</t>
  </si>
  <si>
    <t>NON-CREDIT</t>
  </si>
  <si>
    <t>FEE PAYING</t>
  </si>
  <si>
    <t>THIS IS THE DIVISION'S ESTIMATES BASED ON THE 2023-24 ESTIMATED FTE-2A  REPORT</t>
  </si>
  <si>
    <t>BACCALAUREATE</t>
  </si>
  <si>
    <t>A &amp; P</t>
  </si>
  <si>
    <t>PSV</t>
  </si>
  <si>
    <t>DEV ED</t>
  </si>
  <si>
    <t>EPI</t>
  </si>
  <si>
    <t>CAREER CERTIFICATE AND APPLIED TECHNOLOGY DIPLOMA (PSAV)</t>
  </si>
  <si>
    <t>VOC PREP</t>
  </si>
  <si>
    <t>ADULT EDUCATION</t>
  </si>
  <si>
    <t>VLOOKUP CHARTS - DO NOT DELETE</t>
  </si>
  <si>
    <t>DO NOT DELETE (THIS CALCULATION CHECKS THE ACCURACY OF THE DATA EACH EACH YEAR)</t>
  </si>
  <si>
    <t>Resident</t>
  </si>
  <si>
    <t>Non Resident</t>
  </si>
  <si>
    <t>VOC. PREP FTE/ADULT EDUCATION FTE ARE EXCLUDED</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</si>
  <si>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</si>
  <si>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</si>
  <si>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</si>
  <si>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</si>
  <si>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</si>
  <si>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</si>
  <si>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2023-24 Estimated FTE-2A Report</t>
  </si>
  <si>
    <t>This amount should agree with the FTE-2A Report Total Fee Paying (Cell U121)</t>
  </si>
  <si>
    <t>This amount should agree with 2023-24 FTE-2A Report (Cell L82)</t>
  </si>
  <si>
    <t xml:space="preserve">Save the FTE-2A Report at: </t>
  </si>
  <si>
    <t>J:\Finance\Operating Budgets - current year\2024-25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</si>
  <si>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</si>
  <si>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</si>
  <si>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</si>
  <si>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UPDATE COLUMN HIGHLIGHTED IN YELLOW</t>
  </si>
  <si>
    <t>Date Updated: 4.3.24</t>
  </si>
  <si>
    <t>FCSPF - PERFORMANCE BASED INCENTIVES (GL 42150)</t>
  </si>
  <si>
    <t>PIPELINE (GL Code 42130)</t>
  </si>
  <si>
    <t xml:space="preserve"> FALL 2024-25 COLLEGE OPERATING BUDGET CHECK SHEET</t>
  </si>
  <si>
    <t>THE PURPOSE OF THIS CHECK SHEET WILL ALLOW THE COLLEGE TO VERIFY THE OPERATING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</si>
  <si>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</si>
  <si>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</si>
  <si>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</si>
  <si>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</si>
  <si>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</si>
  <si>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</si>
  <si>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</si>
  <si>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</si>
  <si>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</si>
  <si>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</si>
  <si>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</si>
  <si>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</si>
  <si>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</si>
  <si>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</si>
  <si>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</si>
  <si>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</si>
  <si>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</si>
  <si>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</si>
  <si>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</si>
  <si>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</si>
  <si>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</si>
  <si>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</si>
  <si>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</si>
  <si>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</si>
  <si>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</si>
  <si>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</si>
  <si>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</si>
  <si>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</si>
  <si>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</si>
  <si>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</si>
  <si>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</si>
  <si>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</si>
  <si>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</si>
  <si>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</si>
  <si>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</si>
  <si>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</si>
  <si>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CAREER CERTIFICATE AND APPLIED TECHNOLOGY DIPLOMA</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</si>
  <si>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</si>
  <si>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</si>
  <si>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</si>
  <si>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Explanation: Do not press Enter until complete.</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</si>
  <si>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</si>
  <si>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</si>
  <si>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</si>
  <si>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</si>
  <si>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</si>
  <si>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 xml:space="preserve">Postescondary vocational: The College uses estimated actual load hours versus estimated load hours from FTE.  Developmental Education: The College uses estimated actual load hours versus estimated load hours from FTE to calculate tuition revenue.  Educational Preparation Institutes: The College uses estimated actual load hours versus estimated load hours from FTE.  </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</si>
  <si>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</si>
  <si>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</si>
  <si>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</si>
  <si>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</si>
  <si>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</si>
  <si>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</si>
  <si>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</si>
  <si>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</si>
  <si>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</si>
  <si>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</si>
  <si>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</si>
  <si>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</si>
  <si>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</si>
  <si>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</si>
  <si>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</si>
  <si>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</si>
  <si>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</si>
  <si>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</si>
  <si>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</si>
  <si>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</si>
  <si>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</si>
  <si>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</si>
  <si>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</si>
  <si>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</si>
  <si>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</si>
  <si>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</si>
  <si>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11.</t>
  </si>
  <si>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</si>
  <si>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</si>
  <si>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</si>
  <si>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Difference</t>
  </si>
  <si>
    <t>Amount budgeted in GLC 59300 for the Compensated Absence Expense</t>
  </si>
  <si>
    <t>Cell C114 should be "zero (0)". If this cell is red, please verify that the amounts automatically populated in Cells C108, C109 and C112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</si>
  <si>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</si>
  <si>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</si>
  <si>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</si>
  <si>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</si>
  <si>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</si>
  <si>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</si>
  <si>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</si>
  <si>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t>14.</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</si>
  <si>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</si>
  <si>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</si>
  <si>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 Do not press Enter until complete.</t>
  </si>
  <si>
    <t>EXHIBIT A</t>
  </si>
  <si>
    <t>COLLEGE OPERATING BUDGET</t>
  </si>
  <si>
    <t>ANNUAL BUDGET SUMMARY</t>
  </si>
  <si>
    <t xml:space="preserve"> FISCAL YEAR 2024-25</t>
  </si>
  <si>
    <t>COLLEGE:</t>
  </si>
  <si>
    <t>CURRENT FUNDS - UNRESTRICTED</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</si>
  <si>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</si>
  <si>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</si>
  <si>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</si>
  <si>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2024</t>
    </r>
  </si>
  <si>
    <t>ADD:              REVENUES</t>
  </si>
  <si>
    <t xml:space="preserve">                       TRANSFERS IN</t>
  </si>
  <si>
    <t>TOTAL RECEIPTS</t>
  </si>
  <si>
    <t>TOTAL ESTIMATED AVAILABLE</t>
  </si>
  <si>
    <t>DEDUCT:      EXPENDITURES</t>
  </si>
  <si>
    <t xml:space="preserve">                       TRANSFERS OUT</t>
  </si>
  <si>
    <t>TOTAL DISBURSEMENTS</t>
  </si>
  <si>
    <t>ESTIMATED FUND BALANCE - JUNE 30, 2024:</t>
  </si>
  <si>
    <t>TOTAL AVAILABLE LESS DISBURSEMENTS</t>
  </si>
  <si>
    <t>ADD ACCRUED LEAVE EXPENSE (GLC 59300)</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</si>
  <si>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</si>
  <si>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</si>
  <si>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</si>
  <si>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</si>
  <si>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 xml:space="preserve">       (Includes GL's: 30200, 30300, 30400, 30500, 30600, 30700, 30900, and 31100)</t>
  </si>
  <si>
    <t xml:space="preserve">PERCENT OF ESTIMATED UNENCUMBERED FUND BALANCE </t>
  </si>
  <si>
    <t>AS OF JUNE 30, 2025, TO ESTIMATED FUNDS AVAILABLE</t>
  </si>
  <si>
    <t>CERTIFY BOARD OF TRUSTEES APPROVAL:</t>
  </si>
  <si>
    <t>COLLEGE PRESIDENT</t>
  </si>
  <si>
    <t>DATE</t>
  </si>
  <si>
    <t>EXHIBIT B</t>
  </si>
  <si>
    <t xml:space="preserve">FALL 2024-25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</si>
  <si>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</si>
  <si>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</si>
  <si>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</si>
  <si>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</si>
  <si>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</si>
  <si>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</si>
  <si>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</si>
  <si>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</si>
  <si>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</si>
  <si>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</si>
  <si>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</si>
  <si>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</si>
  <si>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</si>
  <si>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</si>
  <si>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</si>
  <si>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</si>
  <si>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</si>
  <si>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</si>
  <si>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</si>
  <si>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</si>
  <si>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DISTANCE LEARNING (2)</t>
  </si>
  <si>
    <t xml:space="preserve">Note:  </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</si>
  <si>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</si>
  <si>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</si>
  <si>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</si>
  <si>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</si>
  <si>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EXHIBIT C</t>
  </si>
  <si>
    <t>FALL 2024-25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</si>
  <si>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</si>
  <si>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</si>
  <si>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</si>
  <si>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</si>
  <si>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</si>
  <si>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</si>
  <si>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</si>
  <si>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</si>
  <si>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</si>
  <si>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</si>
  <si>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</si>
  <si>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</si>
  <si>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</si>
  <si>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</si>
  <si>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</si>
  <si>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</si>
  <si>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</si>
  <si>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</si>
  <si>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</si>
  <si>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</si>
  <si>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</si>
  <si>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</si>
  <si>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DISTANCE LEARNING</t>
  </si>
  <si>
    <t>XXXXX</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</si>
  <si>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</si>
  <si>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</si>
  <si>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</si>
  <si>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</si>
  <si>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</si>
  <si>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</si>
  <si>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</si>
  <si>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</si>
  <si>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</si>
  <si>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</si>
  <si>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</si>
  <si>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</si>
  <si>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</si>
  <si>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</si>
  <si>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</si>
  <si>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</si>
  <si>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</si>
  <si>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</si>
  <si>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</si>
  <si>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IF YOU ENTER AN AMOUNT BELOW, YOU MUST 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</si>
  <si>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</si>
  <si>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</si>
  <si>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</si>
  <si>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</si>
  <si>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</si>
  <si>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</si>
  <si>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President's Discretionary</t>
  </si>
  <si>
    <t>Fund 3</t>
  </si>
  <si>
    <t>Fund 1</t>
  </si>
  <si>
    <t>Business Hospitality</t>
  </si>
  <si>
    <t>Human Resources - Leadership Excellence</t>
  </si>
  <si>
    <t>Recognition and Wellness</t>
  </si>
  <si>
    <t>VP's, Dean's In-district meals</t>
  </si>
  <si>
    <t>Operational Support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</si>
  <si>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</si>
  <si>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</si>
  <si>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</si>
  <si>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</si>
  <si>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</si>
  <si>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</si>
  <si>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</si>
  <si>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</si>
  <si>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</si>
  <si>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</si>
  <si>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</si>
  <si>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</si>
  <si>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</si>
  <si>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</si>
  <si>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2024-25</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</si>
  <si>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</si>
  <si>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</si>
  <si>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</si>
  <si>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</si>
  <si>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</si>
  <si>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</si>
  <si>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</si>
  <si>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</si>
  <si>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</si>
  <si>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</si>
  <si>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</si>
  <si>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</si>
  <si>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</si>
  <si>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</si>
  <si>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</si>
  <si>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</si>
  <si>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</si>
  <si>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</si>
  <si>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</si>
  <si>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</si>
  <si>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</si>
  <si>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</si>
  <si>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</si>
  <si>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</si>
  <si>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</si>
  <si>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</si>
  <si>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</si>
  <si>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</si>
  <si>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</si>
  <si>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</si>
  <si>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</si>
  <si>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</si>
  <si>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</si>
  <si>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</si>
  <si>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</si>
  <si>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</si>
  <si>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</si>
  <si>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</si>
  <si>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</si>
  <si>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</si>
  <si>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</si>
  <si>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</si>
  <si>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</si>
  <si>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</si>
  <si>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</si>
  <si>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</si>
  <si>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</si>
  <si>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</si>
  <si>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</si>
  <si>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</si>
  <si>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</si>
  <si>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</si>
  <si>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</si>
  <si>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</si>
  <si>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</si>
  <si>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</si>
  <si>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</si>
  <si>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</si>
  <si>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</si>
  <si>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</si>
  <si>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</si>
  <si>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</si>
  <si>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</si>
  <si>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</si>
  <si>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</si>
  <si>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 INDUSTRY CERTIFICATIONS)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</si>
  <si>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</si>
  <si>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</si>
  <si>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</si>
  <si>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</si>
  <si>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</si>
  <si>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</si>
  <si>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</si>
  <si>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</si>
  <si>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</si>
  <si>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</si>
  <si>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</si>
  <si>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</si>
  <si>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</si>
  <si>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</si>
  <si>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</si>
  <si>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</si>
  <si>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</si>
  <si>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</si>
  <si>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</si>
  <si>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</si>
  <si>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</si>
  <si>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</si>
  <si>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</si>
  <si>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</si>
  <si>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</si>
  <si>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</si>
  <si>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</si>
  <si>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</si>
  <si>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</si>
  <si>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</si>
  <si>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</si>
  <si>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</si>
  <si>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</si>
  <si>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</si>
  <si>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</si>
  <si>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</si>
  <si>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</si>
  <si>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</si>
  <si>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</si>
  <si>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</si>
  <si>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</si>
  <si>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</si>
  <si>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</si>
  <si>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</si>
  <si>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</si>
  <si>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</si>
  <si>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</si>
  <si>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</si>
  <si>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</si>
  <si>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</si>
  <si>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</si>
  <si>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</si>
  <si>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</si>
  <si>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</si>
  <si>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</si>
  <si>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t>
  </si>
  <si>
    <t>PROCEEDS FROM SALE OF PROPERTY</t>
  </si>
  <si>
    <t>49500</t>
  </si>
  <si>
    <t>INSURANCE RECOVERY</t>
  </si>
  <si>
    <t>UNINSURED LOSS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</si>
  <si>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</si>
  <si>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</si>
  <si>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</si>
  <si>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</si>
  <si>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</si>
  <si>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</si>
  <si>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</si>
  <si>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</si>
  <si>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</si>
  <si>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</si>
  <si>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</si>
  <si>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</si>
  <si>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</si>
  <si>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</si>
  <si>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</si>
  <si>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</si>
  <si>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</si>
  <si>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</si>
  <si>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</si>
  <si>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</si>
  <si>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</si>
  <si>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</si>
  <si>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</si>
  <si>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</si>
  <si>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</si>
  <si>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</si>
  <si>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</si>
  <si>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</si>
  <si>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</si>
  <si>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</si>
  <si>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</si>
  <si>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</si>
  <si>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</si>
  <si>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</si>
  <si>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</si>
  <si>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</si>
  <si>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</si>
  <si>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</si>
  <si>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</si>
  <si>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</si>
  <si>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</si>
  <si>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</si>
  <si>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</si>
  <si>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</si>
  <si>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</si>
  <si>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</si>
  <si>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</si>
  <si>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</si>
  <si>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</si>
  <si>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</si>
  <si>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</si>
  <si>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</si>
  <si>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</si>
  <si>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</si>
  <si>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</si>
  <si>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</si>
  <si>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</si>
  <si>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</si>
  <si>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</si>
  <si>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</si>
  <si>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</si>
  <si>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</si>
  <si>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</si>
  <si>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</si>
  <si>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</si>
  <si>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</si>
  <si>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</si>
  <si>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</si>
  <si>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</si>
  <si>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</si>
  <si>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</si>
  <si>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</si>
  <si>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</si>
  <si>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</si>
  <si>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</si>
  <si>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</si>
  <si>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</si>
  <si>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</si>
  <si>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</si>
  <si>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</si>
  <si>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</si>
  <si>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</si>
  <si>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</si>
  <si>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</si>
  <si>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</si>
  <si>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</si>
  <si>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</si>
  <si>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</si>
  <si>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</si>
  <si>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</si>
  <si>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</si>
  <si>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</si>
  <si>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</si>
  <si>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</si>
  <si>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</si>
  <si>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</si>
  <si>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</si>
  <si>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</si>
  <si>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</si>
  <si>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</si>
  <si>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</si>
  <si>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</si>
  <si>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</si>
  <si>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</si>
  <si>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</si>
  <si>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</si>
  <si>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</si>
  <si>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</si>
  <si>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</si>
  <si>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</si>
  <si>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</si>
  <si>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</si>
  <si>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</si>
  <si>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</si>
  <si>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</si>
  <si>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</si>
  <si>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</si>
  <si>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</si>
  <si>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</si>
  <si>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</si>
  <si>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</si>
  <si>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</si>
  <si>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</si>
  <si>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</si>
  <si>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</si>
  <si>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</si>
  <si>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</si>
  <si>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</si>
  <si>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</si>
  <si>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</si>
  <si>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</si>
  <si>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</si>
  <si>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</si>
  <si>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</si>
  <si>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</si>
  <si>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</si>
  <si>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</si>
  <si>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</si>
  <si>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</si>
  <si>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</si>
  <si>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</si>
  <si>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</si>
  <si>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</si>
  <si>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</si>
  <si>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</si>
  <si>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t>
  </si>
  <si>
    <t>NON-MANDATORY TRANSFERS-OUT</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</si>
  <si>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</si>
  <si>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</si>
  <si>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</si>
  <si>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</si>
  <si>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</si>
  <si>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</si>
  <si>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</si>
  <si>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</si>
  <si>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</si>
  <si>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</si>
  <si>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</si>
  <si>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</si>
  <si>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</si>
  <si>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</si>
  <si>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</si>
  <si>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</si>
  <si>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</si>
  <si>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</si>
  <si>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</si>
  <si>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</si>
  <si>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</si>
  <si>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</si>
  <si>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</si>
  <si>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</si>
  <si>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</si>
  <si>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</si>
  <si>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</si>
  <si>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</si>
  <si>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</si>
  <si>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</si>
  <si>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</si>
  <si>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</si>
  <si>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</si>
  <si>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</si>
  <si>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</si>
  <si>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</si>
  <si>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</si>
  <si>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</si>
  <si>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</si>
  <si>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</si>
  <si>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</si>
  <si>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2025</t>
  </si>
  <si>
    <t>TOTAL ESTIMATED FUND BALANCE</t>
  </si>
  <si>
    <t>EXHIBIT  E</t>
  </si>
  <si>
    <t>SUMMARY OF BUDGETED EXPENDITURES BY FUNCTION</t>
  </si>
  <si>
    <t>CURRENT FUND-UNRESTRICTED</t>
  </si>
  <si>
    <t>FISCAL YEAR 2024-25</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</si>
  <si>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</si>
  <si>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</si>
  <si>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</si>
  <si>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</si>
  <si>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</si>
  <si>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</si>
  <si>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</si>
  <si>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</si>
  <si>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</si>
  <si>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</si>
  <si>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</si>
  <si>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</si>
  <si>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</si>
  <si>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</si>
  <si>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</si>
  <si>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</si>
  <si>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</si>
  <si>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</si>
  <si>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</si>
  <si>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</si>
  <si>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</si>
  <si>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</si>
  <si>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</si>
  <si>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</si>
  <si>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</si>
  <si>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</si>
  <si>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</si>
  <si>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</si>
  <si>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</si>
  <si>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 xml:space="preserve">UTILITIES </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</si>
  <si>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</si>
  <si>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</si>
  <si>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</si>
  <si>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</si>
  <si>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</si>
  <si>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</si>
  <si>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</si>
  <si>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</si>
  <si>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</si>
  <si>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</si>
  <si>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</si>
  <si>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</si>
  <si>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</si>
  <si>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</si>
  <si>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</si>
  <si>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</si>
  <si>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</si>
  <si>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</si>
  <si>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</si>
  <si>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</si>
  <si>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</si>
  <si>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**PROVIDE A BRIEF EXPLANATION FOR ITEM NUMBER 4. ABOVE - OTHER GRANTS OR REVENUES:</t>
  </si>
  <si>
    <t>FALL 2024-25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</si>
  <si>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</si>
  <si>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</si>
  <si>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</si>
  <si>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</si>
  <si>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</si>
  <si>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</si>
  <si>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</si>
  <si>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</si>
  <si>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</si>
  <si>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</si>
  <si>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</si>
  <si>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</si>
  <si>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</si>
  <si>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</si>
  <si>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</si>
  <si>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</si>
  <si>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</si>
  <si>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</si>
  <si>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</si>
  <si>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</si>
  <si>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</si>
  <si>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</si>
  <si>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</si>
  <si>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</si>
  <si>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</si>
  <si>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</si>
  <si>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</si>
  <si>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</si>
  <si>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</si>
  <si>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</si>
  <si>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</si>
  <si>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</si>
  <si>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</si>
  <si>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</si>
  <si>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</si>
  <si>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2023-24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</si>
  <si>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</si>
  <si>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</si>
  <si>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</si>
  <si>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</si>
  <si>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</si>
  <si>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</si>
  <si>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</si>
  <si>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</si>
  <si>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</si>
  <si>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</si>
  <si>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</si>
  <si>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</si>
  <si>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</si>
  <si>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</si>
  <si>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</si>
  <si>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</si>
  <si>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</si>
  <si>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</si>
  <si>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</si>
  <si>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</si>
  <si>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</si>
  <si>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</si>
  <si>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</si>
  <si>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</si>
  <si>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</si>
  <si>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</si>
  <si>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Difference reported on row 131 is due to additional ROI.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</si>
</sst>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2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style="medium">
        <color theme="1"/>
      </left>
      <right style="medium">
        <color indexed="8"/>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theme="1"/>
      </right>
      <top/>
      <bottom style="medium">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bottom style="medium">
        <color indexed="8"/>
      </bottom>
      <diagonal/>
    </border>
    <border>
      <left/>
      <right style="thin">
        <color auto="1"/>
      </right>
      <top/>
      <bottom style="thin">
        <color indexed="8"/>
      </bottom>
      <diagonal/>
    </border>
    <border>
      <left style="thin">
        <color theme="1"/>
      </left>
      <right/>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indexed="64"/>
      </bottom>
      <diagonal/>
    </border>
    <border>
      <left/>
      <right style="thin">
        <color auto="1"/>
      </right>
      <top/>
      <bottom style="thin">
        <color indexed="8"/>
      </bottom>
      <diagonal/>
    </border>
    <border>
      <left style="medium">
        <color auto="1"/>
      </left>
      <right style="medium">
        <color auto="1"/>
      </right>
      <top/>
      <bottom style="thin">
        <color auto="1"/>
      </bottom>
      <diagonal/>
    </border>
    <border>
      <left style="medium">
        <color theme="1"/>
      </left>
      <right/>
      <top/>
      <bottom style="thin">
        <color auto="1"/>
      </bottom>
      <diagonal/>
    </border>
    <border>
      <left style="medium">
        <color auto="1"/>
      </left>
      <right style="thin">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65" applyNumberFormat="0" applyAlignment="0" applyProtection="0"/>
    <xf numFmtId="0" fontId="30" fillId="20" borderId="65" applyNumberFormat="0" applyAlignment="0" applyProtection="0"/>
    <xf numFmtId="0" fontId="30" fillId="20" borderId="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1" applyNumberFormat="0" applyAlignment="0" applyProtection="0"/>
    <xf numFmtId="0" fontId="28" fillId="7" borderId="69" applyNumberFormat="0" applyAlignment="0" applyProtection="0"/>
    <xf numFmtId="0" fontId="50" fillId="7" borderId="69" applyNumberFormat="0" applyAlignment="0" applyProtection="0"/>
    <xf numFmtId="0" fontId="50" fillId="7" borderId="81" applyNumberFormat="0" applyAlignment="0" applyProtection="0"/>
    <xf numFmtId="44" fontId="13" fillId="0" borderId="0" applyFont="0" applyFill="0" applyBorder="0" applyAlignment="0" applyProtection="0"/>
    <xf numFmtId="0" fontId="50" fillId="7" borderId="73" applyNumberFormat="0" applyAlignment="0" applyProtection="0"/>
    <xf numFmtId="0" fontId="28" fillId="7" borderId="73" applyNumberFormat="0" applyAlignment="0" applyProtection="0"/>
    <xf numFmtId="0" fontId="50" fillId="7" borderId="65" applyNumberFormat="0" applyAlignment="0" applyProtection="0"/>
    <xf numFmtId="0" fontId="28" fillId="7" borderId="65" applyNumberFormat="0" applyAlignment="0" applyProtection="0"/>
    <xf numFmtId="0" fontId="30" fillId="20" borderId="81" applyNumberFormat="0" applyAlignment="0" applyProtection="0"/>
    <xf numFmtId="0" fontId="30" fillId="20" borderId="81" applyNumberFormat="0" applyAlignment="0" applyProtection="0"/>
    <xf numFmtId="0" fontId="30" fillId="20" borderId="69" applyNumberFormat="0" applyAlignment="0" applyProtection="0"/>
    <xf numFmtId="0" fontId="30" fillId="20" borderId="69" applyNumberFormat="0" applyAlignment="0" applyProtection="0"/>
    <xf numFmtId="0" fontId="43" fillId="20" borderId="69" applyNumberFormat="0" applyAlignment="0" applyProtection="0"/>
    <xf numFmtId="0" fontId="43" fillId="20" borderId="81" applyNumberFormat="0" applyAlignment="0" applyProtection="0"/>
    <xf numFmtId="0" fontId="11" fillId="0" borderId="0"/>
    <xf numFmtId="0" fontId="11" fillId="0" borderId="0"/>
    <xf numFmtId="0" fontId="11" fillId="0" borderId="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4"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53" fillId="20" borderId="67" applyNumberFormat="0" applyAlignment="0" applyProtection="0"/>
    <xf numFmtId="0" fontId="29" fillId="20" borderId="67" applyNumberFormat="0" applyAlignment="0" applyProtection="0"/>
    <xf numFmtId="0" fontId="29" fillId="20" borderId="67" applyNumberForma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9" fontId="13"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54" fillId="0" borderId="68" applyNumberFormat="0" applyFill="0" applyAlignment="0" applyProtection="0"/>
    <xf numFmtId="0" fontId="35" fillId="0" borderId="68" applyNumberFormat="0" applyFill="0" applyAlignment="0" applyProtection="0"/>
    <xf numFmtId="0" fontId="35" fillId="0" borderId="68"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88" applyNumberFormat="0" applyAlignment="0" applyProtection="0"/>
    <xf numFmtId="0" fontId="30" fillId="20" borderId="88" applyNumberFormat="0" applyAlignment="0" applyProtection="0"/>
    <xf numFmtId="0" fontId="30" fillId="20" borderId="88" applyNumberFormat="0" applyAlignment="0" applyProtection="0"/>
    <xf numFmtId="0" fontId="50" fillId="7" borderId="88" applyNumberFormat="0" applyAlignment="0" applyProtection="0"/>
    <xf numFmtId="0" fontId="28" fillId="7" borderId="88" applyNumberFormat="0" applyAlignment="0" applyProtection="0"/>
    <xf numFmtId="0" fontId="10" fillId="0" borderId="0"/>
    <xf numFmtId="0" fontId="10" fillId="0" borderId="0"/>
    <xf numFmtId="0" fontId="10"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4"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53" fillId="20" borderId="90" applyNumberFormat="0" applyAlignment="0" applyProtection="0"/>
    <xf numFmtId="0" fontId="29" fillId="20" borderId="90" applyNumberFormat="0" applyAlignment="0" applyProtection="0"/>
    <xf numFmtId="0" fontId="29" fillId="20" borderId="90" applyNumberFormat="0" applyAlignment="0" applyProtection="0"/>
    <xf numFmtId="0" fontId="54" fillId="0" borderId="91" applyNumberFormat="0" applyFill="0" applyAlignment="0" applyProtection="0"/>
    <xf numFmtId="0" fontId="35" fillId="0" borderId="91" applyNumberFormat="0" applyFill="0" applyAlignment="0" applyProtection="0"/>
    <xf numFmtId="0" fontId="35" fillId="0" borderId="91" applyNumberFormat="0" applyFill="0" applyAlignment="0" applyProtection="0"/>
    <xf numFmtId="0" fontId="9" fillId="0" borderId="0"/>
    <xf numFmtId="0" fontId="9" fillId="0" borderId="0"/>
    <xf numFmtId="0" fontId="9"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6" fillId="0" borderId="0"/>
    <xf numFmtId="0" fontId="6" fillId="0" borderId="0"/>
    <xf numFmtId="0" fontId="6"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28"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43" fillId="20"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25" applyNumberFormat="0" applyAlignment="0" applyProtection="0"/>
    <xf numFmtId="0" fontId="87" fillId="43" borderId="128"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2"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23"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24"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25" applyNumberFormat="0" applyAlignment="0" applyProtection="0"/>
    <xf numFmtId="0" fontId="94" fillId="0" borderId="127"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06"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96" fillId="42" borderId="126"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0"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28"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43" fillId="20"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53">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8" xfId="0" applyFont="1" applyBorder="1"/>
    <xf numFmtId="0" fontId="74" fillId="0" borderId="0" xfId="0" applyFont="1" applyAlignment="1">
      <alignment horizontal="center"/>
    </xf>
    <xf numFmtId="3" fontId="72" fillId="0" borderId="39"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8" xfId="0" applyFont="1" applyBorder="1" applyAlignment="1">
      <alignment horizontal="center" wrapText="1"/>
    </xf>
    <xf numFmtId="0" fontId="74" fillId="0" borderId="40" xfId="0" applyFont="1" applyBorder="1" applyAlignment="1">
      <alignment horizontal="center" wrapText="1"/>
    </xf>
    <xf numFmtId="0" fontId="74" fillId="0" borderId="36" xfId="0" applyFont="1" applyBorder="1" applyAlignment="1">
      <alignment horizontal="center" wrapText="1"/>
    </xf>
    <xf numFmtId="3" fontId="72" fillId="0" borderId="38" xfId="0" applyNumberFormat="1" applyFont="1" applyBorder="1"/>
    <xf numFmtId="0" fontId="74" fillId="0" borderId="0" xfId="0" applyFont="1"/>
    <xf numFmtId="0" fontId="75" fillId="0" borderId="0" xfId="0" applyFont="1"/>
    <xf numFmtId="0" fontId="74" fillId="0" borderId="79" xfId="0" applyFont="1" applyBorder="1"/>
    <xf numFmtId="0" fontId="72" fillId="0" borderId="0" xfId="0" applyFont="1" applyAlignment="1">
      <alignment horizontal="center"/>
    </xf>
    <xf numFmtId="0" fontId="74" fillId="0" borderId="0" xfId="0" applyFont="1" applyAlignment="1">
      <alignment wrapText="1"/>
    </xf>
    <xf numFmtId="0" fontId="74" fillId="0" borderId="77" xfId="0" applyFont="1" applyBorder="1" applyAlignment="1">
      <alignment wrapText="1"/>
    </xf>
    <xf numFmtId="0" fontId="74" fillId="0" borderId="79" xfId="0" applyFont="1" applyBorder="1" applyAlignment="1">
      <alignment wrapText="1"/>
    </xf>
    <xf numFmtId="0" fontId="74" fillId="0" borderId="78" xfId="0" applyFont="1" applyBorder="1" applyAlignment="1">
      <alignment wrapText="1"/>
    </xf>
    <xf numFmtId="0" fontId="72" fillId="0" borderId="43" xfId="0" applyFont="1" applyBorder="1" applyAlignment="1">
      <alignment horizontal="center"/>
    </xf>
    <xf numFmtId="0" fontId="74" fillId="0" borderId="98" xfId="0" applyFont="1" applyBorder="1" applyAlignment="1">
      <alignment horizontal="center"/>
    </xf>
    <xf numFmtId="0" fontId="74" fillId="0" borderId="77" xfId="0" applyFont="1" applyBorder="1" applyAlignment="1">
      <alignment horizontal="center" wrapText="1"/>
    </xf>
    <xf numFmtId="0" fontId="74" fillId="0" borderId="78" xfId="0" applyFont="1" applyBorder="1" applyAlignment="1">
      <alignment horizontal="center" wrapText="1"/>
    </xf>
    <xf numFmtId="0" fontId="74" fillId="0" borderId="37"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77" xfId="0" applyFont="1" applyBorder="1" applyAlignment="1">
      <alignment horizontal="center"/>
    </xf>
    <xf numFmtId="0" fontId="73" fillId="0" borderId="18" xfId="0" applyFont="1" applyBorder="1" applyAlignment="1">
      <alignment horizontal="center"/>
    </xf>
    <xf numFmtId="0" fontId="74" fillId="0" borderId="18" xfId="0" applyFont="1" applyBorder="1" applyAlignment="1">
      <alignment horizontal="center"/>
    </xf>
    <xf numFmtId="0" fontId="99" fillId="0" borderId="18" xfId="0" applyFont="1" applyBorder="1" applyAlignment="1">
      <alignment horizontal="left" wrapText="1"/>
    </xf>
    <xf numFmtId="3" fontId="72" fillId="0" borderId="0" xfId="0" applyNumberFormat="1" applyFont="1"/>
    <xf numFmtId="0" fontId="74" fillId="0" borderId="18" xfId="495" applyFont="1" applyBorder="1" applyAlignment="1">
      <alignment horizontal="center" wrapText="1"/>
    </xf>
    <xf numFmtId="3" fontId="75" fillId="0" borderId="18" xfId="495" applyNumberFormat="1" applyFont="1" applyBorder="1" applyAlignment="1">
      <alignment horizontal="center"/>
    </xf>
    <xf numFmtId="10" fontId="75" fillId="0" borderId="78" xfId="495" applyNumberFormat="1" applyFont="1" applyBorder="1" applyAlignment="1">
      <alignment horizontal="center"/>
    </xf>
    <xf numFmtId="0" fontId="73" fillId="0" borderId="25" xfId="0" applyFont="1" applyBorder="1" applyAlignment="1">
      <alignment horizontal="center"/>
    </xf>
    <xf numFmtId="0" fontId="77" fillId="0" borderId="0" xfId="0" applyFont="1" applyAlignment="1">
      <alignment wrapText="1"/>
    </xf>
    <xf numFmtId="166" fontId="72" fillId="36" borderId="30" xfId="0" applyNumberFormat="1" applyFont="1" applyFill="1" applyBorder="1"/>
    <xf numFmtId="0" fontId="103" fillId="0" borderId="18" xfId="0" applyFont="1" applyBorder="1" applyAlignment="1">
      <alignment horizontal="center"/>
    </xf>
    <xf numFmtId="0" fontId="74" fillId="0" borderId="16" xfId="0" applyFont="1" applyBorder="1" applyAlignment="1">
      <alignment horizontal="center"/>
    </xf>
    <xf numFmtId="0" fontId="74" fillId="70" borderId="79" xfId="0" applyFont="1" applyFill="1" applyBorder="1" applyAlignment="1">
      <alignment horizontal="center"/>
    </xf>
    <xf numFmtId="0" fontId="74" fillId="70" borderId="79" xfId="0" applyFont="1" applyFill="1" applyBorder="1" applyAlignment="1">
      <alignment wrapText="1"/>
    </xf>
    <xf numFmtId="3" fontId="77" fillId="0" borderId="0" xfId="0" applyNumberFormat="1" applyFont="1" applyAlignment="1">
      <alignment wrapText="1"/>
    </xf>
    <xf numFmtId="0" fontId="74" fillId="0" borderId="20" xfId="0" applyFont="1" applyBorder="1" applyAlignment="1">
      <alignment horizontal="center" wrapText="1"/>
    </xf>
    <xf numFmtId="0" fontId="73" fillId="0" borderId="77" xfId="0" applyFont="1" applyBorder="1" applyAlignment="1">
      <alignment horizontal="center"/>
    </xf>
    <xf numFmtId="0" fontId="71" fillId="0" borderId="77" xfId="0" applyFont="1" applyBorder="1"/>
    <xf numFmtId="0" fontId="71" fillId="0" borderId="79" xfId="0" applyFont="1" applyBorder="1"/>
    <xf numFmtId="0" fontId="105" fillId="0" borderId="18" xfId="0" applyFont="1" applyBorder="1"/>
    <xf numFmtId="3" fontId="105" fillId="0" borderId="33" xfId="0" applyNumberFormat="1" applyFont="1" applyBorder="1"/>
    <xf numFmtId="166" fontId="105" fillId="69" borderId="14" xfId="0" applyNumberFormat="1" applyFont="1" applyFill="1" applyBorder="1"/>
    <xf numFmtId="0" fontId="106" fillId="0" borderId="0" xfId="0" applyFont="1"/>
    <xf numFmtId="166" fontId="105" fillId="70" borderId="97" xfId="0" applyNumberFormat="1" applyFont="1" applyFill="1" applyBorder="1"/>
    <xf numFmtId="3" fontId="105" fillId="0" borderId="0" xfId="0" applyNumberFormat="1" applyFont="1"/>
    <xf numFmtId="0" fontId="73" fillId="0" borderId="0" xfId="0" applyFont="1" applyAlignment="1">
      <alignment horizontal="center"/>
    </xf>
    <xf numFmtId="0" fontId="71" fillId="0" borderId="78" xfId="0" applyFont="1" applyBorder="1"/>
    <xf numFmtId="3" fontId="72" fillId="36" borderId="143" xfId="0" applyNumberFormat="1" applyFont="1" applyFill="1" applyBorder="1"/>
    <xf numFmtId="3" fontId="72" fillId="36" borderId="144" xfId="0" applyNumberFormat="1" applyFont="1" applyFill="1" applyBorder="1"/>
    <xf numFmtId="0" fontId="74" fillId="0" borderId="21"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168" fontId="72" fillId="36" borderId="142"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1" xfId="0" applyFont="1" applyBorder="1"/>
    <xf numFmtId="0" fontId="74" fillId="0" borderId="112" xfId="0" applyFont="1" applyBorder="1" applyAlignment="1">
      <alignment horizontal="center"/>
    </xf>
    <xf numFmtId="0" fontId="72" fillId="0" borderId="113" xfId="0" applyFont="1" applyBorder="1"/>
    <xf numFmtId="0" fontId="72" fillId="0" borderId="114" xfId="0" applyFont="1" applyBorder="1"/>
    <xf numFmtId="49" fontId="75" fillId="0" borderId="115" xfId="0" applyNumberFormat="1" applyFont="1" applyBorder="1" applyAlignment="1">
      <alignment horizontal="center"/>
    </xf>
    <xf numFmtId="0" fontId="75" fillId="0" borderId="10" xfId="0" applyFont="1" applyBorder="1" applyAlignment="1">
      <alignment horizontal="center"/>
    </xf>
    <xf numFmtId="0" fontId="75" fillId="0" borderId="110" xfId="0" applyFont="1" applyBorder="1" applyAlignment="1">
      <alignment horizontal="center"/>
    </xf>
    <xf numFmtId="0" fontId="75" fillId="0" borderId="40" xfId="0" applyFont="1" applyBorder="1" applyAlignment="1">
      <alignment horizontal="center"/>
    </xf>
    <xf numFmtId="0" fontId="74" fillId="0" borderId="115" xfId="0" applyFont="1" applyBorder="1" applyAlignment="1">
      <alignment horizontal="center"/>
    </xf>
    <xf numFmtId="0" fontId="75" fillId="0" borderId="116" xfId="0" applyFont="1" applyBorder="1" applyAlignment="1">
      <alignment horizontal="center"/>
    </xf>
    <xf numFmtId="37" fontId="72" fillId="0" borderId="117" xfId="0" applyNumberFormat="1" applyFont="1" applyBorder="1"/>
    <xf numFmtId="3" fontId="78" fillId="0" borderId="26" xfId="192" quotePrefix="1" applyNumberFormat="1" applyFont="1" applyFill="1" applyBorder="1" applyAlignment="1" applyProtection="1"/>
    <xf numFmtId="3" fontId="78" fillId="0" borderId="27" xfId="181" applyNumberFormat="1" applyFont="1" applyBorder="1" applyProtection="1"/>
    <xf numFmtId="10" fontId="78" fillId="0" borderId="17" xfId="3292" quotePrefix="1" applyNumberFormat="1" applyFont="1" applyFill="1" applyBorder="1" applyAlignment="1" applyProtection="1">
      <alignment horizontal="right"/>
    </xf>
    <xf numFmtId="167" fontId="78" fillId="0" borderId="118" xfId="3292" applyNumberFormat="1" applyFont="1" applyBorder="1" applyAlignment="1" applyProtection="1">
      <alignment horizontal="right"/>
    </xf>
    <xf numFmtId="0" fontId="72" fillId="0" borderId="115" xfId="0" applyFont="1" applyBorder="1"/>
    <xf numFmtId="3" fontId="78" fillId="0" borderId="110" xfId="181" applyNumberFormat="1" applyFont="1" applyBorder="1" applyProtection="1"/>
    <xf numFmtId="0" fontId="74" fillId="0" borderId="119" xfId="0" applyFont="1" applyBorder="1"/>
    <xf numFmtId="3" fontId="75" fillId="0" borderId="86" xfId="181" applyNumberFormat="1" applyFont="1" applyFill="1" applyBorder="1" applyAlignment="1" applyProtection="1"/>
    <xf numFmtId="3" fontId="75" fillId="0" borderId="87" xfId="181" applyNumberFormat="1" applyFont="1" applyBorder="1" applyProtection="1"/>
    <xf numFmtId="10" fontId="75" fillId="0" borderId="85" xfId="3292" quotePrefix="1" applyNumberFormat="1" applyFont="1" applyFill="1" applyBorder="1" applyAlignment="1" applyProtection="1">
      <alignment horizontal="right"/>
    </xf>
    <xf numFmtId="167" fontId="75" fillId="0" borderId="120"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3" fontId="78" fillId="0" borderId="23" xfId="181" applyNumberFormat="1" applyFont="1" applyBorder="1" applyProtection="1"/>
    <xf numFmtId="3" fontId="78" fillId="0" borderId="10" xfId="181" applyNumberFormat="1" applyFont="1" applyBorder="1" applyProtection="1"/>
    <xf numFmtId="37" fontId="75" fillId="0" borderId="24" xfId="181" applyNumberFormat="1" applyFont="1" applyBorder="1" applyProtection="1"/>
    <xf numFmtId="3" fontId="75" fillId="0" borderId="22" xfId="181" applyNumberFormat="1" applyFont="1" applyBorder="1" applyProtection="1"/>
    <xf numFmtId="10" fontId="75" fillId="0" borderId="28" xfId="3292" quotePrefix="1" applyNumberFormat="1" applyFont="1" applyFill="1" applyBorder="1" applyAlignment="1" applyProtection="1">
      <alignment horizontal="right"/>
    </xf>
    <xf numFmtId="167" fontId="75" fillId="0" borderId="121"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99" xfId="0" applyFont="1" applyBorder="1" applyAlignment="1">
      <alignment horizontal="center"/>
    </xf>
    <xf numFmtId="0" fontId="75" fillId="0" borderId="32" xfId="0" applyFont="1" applyBorder="1" applyAlignment="1">
      <alignment horizontal="center" wrapText="1"/>
    </xf>
    <xf numFmtId="0" fontId="75" fillId="0" borderId="100" xfId="0" applyFont="1" applyBorder="1"/>
    <xf numFmtId="37" fontId="78" fillId="24" borderId="33"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58" xfId="0" quotePrefix="1" applyNumberFormat="1" applyFont="1" applyBorder="1" applyAlignment="1">
      <alignment horizontal="center"/>
    </xf>
    <xf numFmtId="0" fontId="122" fillId="0" borderId="0" xfId="0" applyFont="1"/>
    <xf numFmtId="4" fontId="71" fillId="0" borderId="58"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8" xfId="0" applyFont="1" applyFill="1" applyBorder="1" applyAlignment="1">
      <alignment horizontal="center" wrapText="1"/>
    </xf>
    <xf numFmtId="0" fontId="140" fillId="30" borderId="19" xfId="0" applyFont="1" applyFill="1" applyBorder="1" applyAlignment="1">
      <alignment horizontal="center" wrapText="1"/>
    </xf>
    <xf numFmtId="0" fontId="106" fillId="0" borderId="31" xfId="0" applyFont="1" applyBorder="1"/>
    <xf numFmtId="168" fontId="106" fillId="0" borderId="30" xfId="0" applyNumberFormat="1" applyFont="1" applyBorder="1"/>
    <xf numFmtId="37" fontId="105" fillId="26" borderId="140" xfId="0" applyNumberFormat="1" applyFont="1" applyFill="1" applyBorder="1" applyAlignment="1">
      <alignment horizontal="fill"/>
    </xf>
    <xf numFmtId="37" fontId="105" fillId="26" borderId="63"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8" xfId="0" applyNumberFormat="1" applyFont="1" applyFill="1" applyBorder="1" applyAlignment="1">
      <alignment horizontal="right"/>
    </xf>
    <xf numFmtId="165" fontId="106" fillId="35" borderId="18" xfId="181" applyNumberFormat="1" applyFont="1" applyFill="1" applyBorder="1" applyProtection="1"/>
    <xf numFmtId="0" fontId="106" fillId="0" borderId="52" xfId="0" applyFont="1" applyBorder="1"/>
    <xf numFmtId="0" fontId="106" fillId="0" borderId="30"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8" xfId="0" applyNumberFormat="1" applyFont="1" applyFill="1" applyBorder="1"/>
    <xf numFmtId="168" fontId="104" fillId="30" borderId="20" xfId="378" applyNumberFormat="1" applyFont="1" applyFill="1" applyBorder="1" applyProtection="1"/>
    <xf numFmtId="168" fontId="104" fillId="30" borderId="21" xfId="378" applyNumberFormat="1" applyFont="1" applyFill="1" applyBorder="1" applyProtection="1"/>
    <xf numFmtId="0" fontId="106" fillId="0" borderId="80" xfId="0" applyFont="1" applyBorder="1"/>
    <xf numFmtId="0" fontId="106" fillId="75" borderId="30" xfId="0" applyFont="1" applyFill="1" applyBorder="1"/>
    <xf numFmtId="37" fontId="104" fillId="30" borderId="25" xfId="0" applyNumberFormat="1" applyFont="1" applyFill="1" applyBorder="1"/>
    <xf numFmtId="37" fontId="143" fillId="30" borderId="25" xfId="0" applyNumberFormat="1" applyFont="1" applyFill="1" applyBorder="1"/>
    <xf numFmtId="168" fontId="104" fillId="30" borderId="18" xfId="378" applyNumberFormat="1" applyFont="1" applyFill="1" applyBorder="1" applyProtection="1"/>
    <xf numFmtId="37" fontId="143" fillId="76" borderId="18" xfId="0" applyNumberFormat="1" applyFont="1" applyFill="1" applyBorder="1" applyAlignment="1">
      <alignment horizontal="right"/>
    </xf>
    <xf numFmtId="37" fontId="104" fillId="30" borderId="43" xfId="0" applyNumberFormat="1" applyFont="1" applyFill="1" applyBorder="1"/>
    <xf numFmtId="37" fontId="143" fillId="30" borderId="43" xfId="0" applyNumberFormat="1" applyFont="1" applyFill="1" applyBorder="1"/>
    <xf numFmtId="168" fontId="104" fillId="30" borderId="43" xfId="378" applyNumberFormat="1" applyFont="1" applyFill="1" applyBorder="1" applyProtection="1"/>
    <xf numFmtId="37" fontId="104" fillId="73" borderId="18" xfId="0" applyNumberFormat="1" applyFont="1" applyFill="1" applyBorder="1" applyAlignment="1">
      <alignment horizontal="fill"/>
    </xf>
    <xf numFmtId="3" fontId="104" fillId="73" borderId="18" xfId="181" applyNumberFormat="1" applyFont="1" applyFill="1" applyBorder="1" applyAlignment="1" applyProtection="1">
      <alignment horizontal="fill"/>
    </xf>
    <xf numFmtId="44" fontId="143" fillId="30" borderId="18" xfId="378" applyFont="1" applyFill="1" applyBorder="1" applyProtection="1"/>
    <xf numFmtId="37" fontId="104" fillId="73" borderId="77" xfId="0" applyNumberFormat="1" applyFont="1" applyFill="1" applyBorder="1" applyAlignment="1">
      <alignment horizontal="fill"/>
    </xf>
    <xf numFmtId="37" fontId="104" fillId="73" borderId="78"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8" xfId="0" applyFont="1" applyFill="1" applyBorder="1" applyAlignment="1">
      <alignment horizontal="center"/>
    </xf>
    <xf numFmtId="0" fontId="74" fillId="72" borderId="18" xfId="0" applyFont="1" applyFill="1" applyBorder="1"/>
    <xf numFmtId="0" fontId="72" fillId="72" borderId="18" xfId="0" applyFont="1" applyFill="1" applyBorder="1"/>
    <xf numFmtId="0" fontId="72" fillId="30" borderId="18" xfId="530" applyFont="1" applyFill="1" applyBorder="1"/>
    <xf numFmtId="0" fontId="74" fillId="0" borderId="18" xfId="0" applyFont="1" applyBorder="1"/>
    <xf numFmtId="168" fontId="74" fillId="0" borderId="18" xfId="0" applyNumberFormat="1" applyFont="1" applyBorder="1" applyAlignment="1">
      <alignment horizontal="right"/>
    </xf>
    <xf numFmtId="0" fontId="74" fillId="29" borderId="18" xfId="0" applyFont="1" applyFill="1" applyBorder="1"/>
    <xf numFmtId="0" fontId="74" fillId="30" borderId="18" xfId="0" applyFont="1" applyFill="1" applyBorder="1"/>
    <xf numFmtId="0" fontId="74" fillId="30" borderId="96" xfId="0" applyFont="1" applyFill="1" applyBorder="1" applyAlignment="1">
      <alignment horizontal="center" wrapText="1"/>
    </xf>
    <xf numFmtId="0" fontId="74" fillId="30" borderId="19" xfId="0" applyFont="1" applyFill="1" applyBorder="1" applyAlignment="1">
      <alignment horizontal="center" wrapText="1"/>
    </xf>
    <xf numFmtId="0" fontId="72" fillId="73" borderId="96" xfId="530" applyFont="1" applyFill="1" applyBorder="1"/>
    <xf numFmtId="0" fontId="72" fillId="73" borderId="29" xfId="530" applyFont="1" applyFill="1" applyBorder="1"/>
    <xf numFmtId="4" fontId="72" fillId="73" borderId="96" xfId="530" applyNumberFormat="1" applyFont="1" applyFill="1" applyBorder="1"/>
    <xf numFmtId="3" fontId="72" fillId="73" borderId="96" xfId="530" applyNumberFormat="1" applyFont="1" applyFill="1" applyBorder="1"/>
    <xf numFmtId="0" fontId="72" fillId="0" borderId="96" xfId="0" applyFont="1" applyBorder="1"/>
    <xf numFmtId="0" fontId="74" fillId="0" borderId="96" xfId="0" applyFont="1" applyBorder="1"/>
    <xf numFmtId="3" fontId="74" fillId="0" borderId="96" xfId="0" applyNumberFormat="1" applyFont="1" applyBorder="1"/>
    <xf numFmtId="4" fontId="74" fillId="0" borderId="96" xfId="0" applyNumberFormat="1" applyFont="1" applyBorder="1"/>
    <xf numFmtId="168" fontId="74" fillId="0" borderId="96" xfId="0" applyNumberFormat="1" applyFont="1" applyBorder="1"/>
    <xf numFmtId="0" fontId="74" fillId="30" borderId="18" xfId="0" applyFont="1" applyFill="1" applyBorder="1" applyAlignment="1">
      <alignment horizontal="center" wrapText="1"/>
    </xf>
    <xf numFmtId="3" fontId="72" fillId="0" borderId="0" xfId="181" applyNumberFormat="1" applyFont="1" applyBorder="1" applyProtection="1"/>
    <xf numFmtId="0" fontId="72" fillId="73" borderId="18" xfId="530" applyFont="1" applyFill="1" applyBorder="1"/>
    <xf numFmtId="4" fontId="72" fillId="73" borderId="18" xfId="530" applyNumberFormat="1" applyFont="1" applyFill="1" applyBorder="1"/>
    <xf numFmtId="3" fontId="72" fillId="73" borderId="18" xfId="530" applyNumberFormat="1" applyFont="1" applyFill="1" applyBorder="1"/>
    <xf numFmtId="3" fontId="74" fillId="0" borderId="0" xfId="0" applyNumberFormat="1" applyFont="1"/>
    <xf numFmtId="168" fontId="74" fillId="0" borderId="18" xfId="0" applyNumberFormat="1" applyFont="1" applyBorder="1"/>
    <xf numFmtId="0" fontId="72" fillId="30" borderId="18" xfId="0" applyFont="1" applyFill="1" applyBorder="1" applyAlignment="1">
      <alignment horizontal="center"/>
    </xf>
    <xf numFmtId="0" fontId="72" fillId="0" borderId="18" xfId="0" applyFont="1" applyBorder="1"/>
    <xf numFmtId="3" fontId="74" fillId="0" borderId="18" xfId="0" applyNumberFormat="1" applyFont="1" applyBorder="1"/>
    <xf numFmtId="4" fontId="74" fillId="0" borderId="18" xfId="0" applyNumberFormat="1" applyFont="1" applyBorder="1"/>
    <xf numFmtId="168" fontId="74" fillId="0" borderId="18" xfId="181" applyNumberFormat="1" applyFont="1" applyBorder="1" applyProtection="1"/>
    <xf numFmtId="0" fontId="74" fillId="30" borderId="43" xfId="0" applyFont="1" applyFill="1" applyBorder="1" applyAlignment="1">
      <alignment horizontal="center" wrapText="1"/>
    </xf>
    <xf numFmtId="0" fontId="74" fillId="0" borderId="25" xfId="0" applyFont="1" applyBorder="1"/>
    <xf numFmtId="0" fontId="74" fillId="0" borderId="21"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1" xfId="0" applyFont="1" applyBorder="1" applyAlignment="1">
      <alignment horizontal="center"/>
    </xf>
    <xf numFmtId="4" fontId="72" fillId="0" borderId="16" xfId="181" applyNumberFormat="1" applyFont="1" applyBorder="1" applyProtection="1"/>
    <xf numFmtId="4" fontId="72" fillId="30" borderId="78" xfId="181" applyNumberFormat="1" applyFont="1" applyFill="1" applyBorder="1" applyProtection="1"/>
    <xf numFmtId="4" fontId="72" fillId="0" borderId="25" xfId="181" applyNumberFormat="1" applyFont="1" applyBorder="1" applyProtection="1"/>
    <xf numFmtId="0" fontId="74" fillId="30" borderId="77" xfId="0" applyFont="1" applyFill="1" applyBorder="1"/>
    <xf numFmtId="4" fontId="72" fillId="0" borderId="30" xfId="181" applyNumberFormat="1" applyFont="1" applyBorder="1" applyProtection="1"/>
    <xf numFmtId="4" fontId="72" fillId="0" borderId="0" xfId="0" applyNumberFormat="1" applyFont="1"/>
    <xf numFmtId="4" fontId="78" fillId="0" borderId="30" xfId="0" applyNumberFormat="1" applyFont="1" applyBorder="1"/>
    <xf numFmtId="4" fontId="72" fillId="0" borderId="30" xfId="181" applyNumberFormat="1" applyFont="1" applyFill="1" applyBorder="1" applyProtection="1"/>
    <xf numFmtId="0" fontId="74" fillId="30" borderId="78" xfId="0" applyFont="1" applyFill="1" applyBorder="1"/>
    <xf numFmtId="4" fontId="149" fillId="0" borderId="30" xfId="0" applyNumberFormat="1" applyFont="1" applyBorder="1"/>
    <xf numFmtId="4" fontId="74" fillId="0" borderId="0" xfId="0" applyNumberFormat="1" applyFont="1"/>
    <xf numFmtId="10" fontId="72" fillId="0" borderId="0" xfId="0" applyNumberFormat="1" applyFont="1"/>
    <xf numFmtId="168" fontId="74" fillId="30" borderId="79" xfId="0" applyNumberFormat="1" applyFont="1" applyFill="1" applyBorder="1"/>
    <xf numFmtId="0" fontId="74" fillId="30" borderId="78" xfId="0" applyFont="1" applyFill="1" applyBorder="1" applyAlignment="1">
      <alignment horizontal="center"/>
    </xf>
    <xf numFmtId="168" fontId="74" fillId="30" borderId="78" xfId="0" applyNumberFormat="1" applyFont="1" applyFill="1" applyBorder="1"/>
    <xf numFmtId="168" fontId="74" fillId="30" borderId="18" xfId="0" applyNumberFormat="1" applyFont="1" applyFill="1" applyBorder="1"/>
    <xf numFmtId="0" fontId="74" fillId="0" borderId="152" xfId="0" applyFont="1" applyBorder="1"/>
    <xf numFmtId="4" fontId="74" fillId="30" borderId="18" xfId="0" applyNumberFormat="1" applyFont="1" applyFill="1" applyBorder="1"/>
    <xf numFmtId="4" fontId="72" fillId="0" borderId="52" xfId="181" applyNumberFormat="1" applyFont="1" applyFill="1" applyBorder="1" applyProtection="1"/>
    <xf numFmtId="4" fontId="72" fillId="0" borderId="16" xfId="181" applyNumberFormat="1" applyFont="1" applyFill="1" applyBorder="1" applyProtection="1"/>
    <xf numFmtId="4" fontId="72" fillId="0" borderId="21" xfId="181" applyNumberFormat="1" applyFont="1" applyFill="1" applyBorder="1" applyProtection="1"/>
    <xf numFmtId="4" fontId="72" fillId="0" borderId="52" xfId="181" applyNumberFormat="1" applyFont="1" applyBorder="1" applyProtection="1"/>
    <xf numFmtId="4" fontId="74" fillId="30" borderId="18" xfId="181" applyNumberFormat="1" applyFont="1" applyFill="1" applyBorder="1" applyAlignment="1" applyProtection="1">
      <alignment horizontal="center"/>
    </xf>
    <xf numFmtId="4" fontId="72" fillId="30" borderId="18" xfId="181" applyNumberFormat="1" applyFont="1" applyFill="1" applyBorder="1" applyProtection="1"/>
    <xf numFmtId="4" fontId="72" fillId="0" borderId="153" xfId="181" applyNumberFormat="1" applyFont="1" applyBorder="1" applyProtection="1"/>
    <xf numFmtId="0" fontId="74" fillId="71" borderId="25" xfId="0" applyFont="1" applyFill="1" applyBorder="1"/>
    <xf numFmtId="0" fontId="74" fillId="71" borderId="18" xfId="0" applyFont="1" applyFill="1" applyBorder="1"/>
    <xf numFmtId="0" fontId="100" fillId="0" borderId="25" xfId="0" applyFont="1" applyBorder="1"/>
    <xf numFmtId="168" fontId="150" fillId="0" borderId="16" xfId="0" applyNumberFormat="1" applyFont="1" applyBorder="1"/>
    <xf numFmtId="3" fontId="150" fillId="0" borderId="16" xfId="0" applyNumberFormat="1" applyFont="1" applyBorder="1"/>
    <xf numFmtId="0" fontId="100" fillId="30" borderId="77" xfId="0" applyFont="1" applyFill="1" applyBorder="1"/>
    <xf numFmtId="0" fontId="100" fillId="30" borderId="18" xfId="0" applyFont="1" applyFill="1" applyBorder="1"/>
    <xf numFmtId="0" fontId="100" fillId="30" borderId="78" xfId="0" applyFont="1" applyFill="1" applyBorder="1"/>
    <xf numFmtId="0" fontId="105" fillId="0" borderId="0" xfId="0" applyFont="1"/>
    <xf numFmtId="166" fontId="105" fillId="0" borderId="0" xfId="0" applyNumberFormat="1" applyFont="1"/>
    <xf numFmtId="166" fontId="105" fillId="0" borderId="97" xfId="0" applyNumberFormat="1" applyFont="1" applyBorder="1"/>
    <xf numFmtId="3" fontId="72" fillId="77" borderId="39" xfId="0" applyNumberFormat="1" applyFont="1" applyFill="1" applyBorder="1"/>
    <xf numFmtId="0" fontId="72" fillId="0" borderId="148" xfId="0" applyFont="1" applyBorder="1"/>
    <xf numFmtId="166" fontId="105" fillId="32" borderId="77"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5"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55" xfId="0" applyFont="1" applyBorder="1" applyAlignment="1">
      <alignment vertical="center"/>
    </xf>
    <xf numFmtId="0" fontId="151" fillId="0" borderId="154" xfId="0" applyFont="1" applyBorder="1" applyAlignment="1">
      <alignment vertical="center"/>
    </xf>
    <xf numFmtId="0" fontId="105" fillId="0" borderId="34" xfId="0" applyFont="1" applyBorder="1"/>
    <xf numFmtId="10" fontId="75" fillId="36" borderId="63" xfId="495" applyNumberFormat="1" applyFont="1" applyFill="1" applyBorder="1" applyAlignment="1">
      <alignment horizontal="center"/>
    </xf>
    <xf numFmtId="0" fontId="71" fillId="0" borderId="18" xfId="0" applyFont="1" applyBorder="1" applyAlignment="1">
      <alignment wrapText="1"/>
    </xf>
    <xf numFmtId="168" fontId="105" fillId="0" borderId="0" xfId="0" applyNumberFormat="1" applyFont="1"/>
    <xf numFmtId="166" fontId="72" fillId="36" borderId="52" xfId="0" applyNumberFormat="1" applyFont="1" applyFill="1" applyBorder="1"/>
    <xf numFmtId="166" fontId="105" fillId="36" borderId="78" xfId="0" applyNumberFormat="1" applyFont="1" applyFill="1" applyBorder="1"/>
    <xf numFmtId="166" fontId="105" fillId="36" borderId="18"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0" xfId="0" applyNumberFormat="1" applyFont="1" applyFill="1" applyBorder="1"/>
    <xf numFmtId="166" fontId="105" fillId="36" borderId="30" xfId="0" applyNumberFormat="1" applyFont="1" applyFill="1" applyBorder="1"/>
    <xf numFmtId="166" fontId="72" fillId="36" borderId="16" xfId="0" applyNumberFormat="1" applyFont="1" applyFill="1" applyBorder="1"/>
    <xf numFmtId="168" fontId="105" fillId="36" borderId="147" xfId="0" applyNumberFormat="1" applyFont="1" applyFill="1" applyBorder="1"/>
    <xf numFmtId="166" fontId="105" fillId="32" borderId="18" xfId="0" applyNumberFormat="1" applyFont="1" applyFill="1" applyBorder="1"/>
    <xf numFmtId="166" fontId="105" fillId="32" borderId="59" xfId="0" applyNumberFormat="1" applyFont="1" applyFill="1" applyBorder="1"/>
    <xf numFmtId="166" fontId="105" fillId="32" borderId="79" xfId="0" applyNumberFormat="1" applyFont="1" applyFill="1" applyBorder="1"/>
    <xf numFmtId="166" fontId="105" fillId="32" borderId="13" xfId="0" applyNumberFormat="1" applyFont="1" applyFill="1" applyBorder="1"/>
    <xf numFmtId="166" fontId="105" fillId="32" borderId="139" xfId="0" applyNumberFormat="1" applyFont="1" applyFill="1" applyBorder="1"/>
    <xf numFmtId="0" fontId="151" fillId="0" borderId="156" xfId="0" applyFont="1" applyBorder="1" applyAlignment="1">
      <alignment vertical="center"/>
    </xf>
    <xf numFmtId="165" fontId="72" fillId="0" borderId="0" xfId="181" applyNumberFormat="1" applyFont="1"/>
    <xf numFmtId="165" fontId="72" fillId="0" borderId="0" xfId="0" applyNumberFormat="1" applyFont="1"/>
    <xf numFmtId="168" fontId="72" fillId="0" borderId="64" xfId="0" applyNumberFormat="1" applyFont="1" applyBorder="1"/>
    <xf numFmtId="168" fontId="72" fillId="0" borderId="32" xfId="0" applyNumberFormat="1" applyFont="1" applyBorder="1"/>
    <xf numFmtId="168" fontId="105" fillId="0" borderId="33" xfId="0" applyNumberFormat="1" applyFont="1" applyBorder="1"/>
    <xf numFmtId="168" fontId="105" fillId="0" borderId="42" xfId="0" applyNumberFormat="1" applyFont="1" applyBorder="1"/>
    <xf numFmtId="0" fontId="108" fillId="30" borderId="18" xfId="0" applyFont="1" applyFill="1" applyBorder="1" applyAlignment="1">
      <alignment horizontal="center"/>
    </xf>
    <xf numFmtId="0" fontId="108" fillId="30" borderId="18" xfId="0" applyFont="1" applyFill="1" applyBorder="1" applyAlignment="1">
      <alignment horizontal="center" wrapText="1"/>
    </xf>
    <xf numFmtId="0" fontId="100" fillId="0" borderId="30" xfId="0" applyFont="1" applyBorder="1"/>
    <xf numFmtId="0" fontId="100" fillId="0" borderId="30" xfId="0" applyFont="1" applyBorder="1" applyAlignment="1">
      <alignment horizontal="center"/>
    </xf>
    <xf numFmtId="0" fontId="126" fillId="73" borderId="18" xfId="0" applyFont="1" applyFill="1" applyBorder="1"/>
    <xf numFmtId="0" fontId="100" fillId="0" borderId="15" xfId="0" applyFont="1" applyBorder="1" applyAlignment="1">
      <alignment horizontal="center"/>
    </xf>
    <xf numFmtId="0" fontId="108" fillId="29" borderId="18" xfId="0" applyFont="1" applyFill="1" applyBorder="1"/>
    <xf numFmtId="0" fontId="108" fillId="0" borderId="18" xfId="0" applyFont="1" applyBorder="1"/>
    <xf numFmtId="0" fontId="108" fillId="0" borderId="20" xfId="0" applyFont="1" applyBorder="1"/>
    <xf numFmtId="168" fontId="108" fillId="0" borderId="21" xfId="0" applyNumberFormat="1" applyFont="1" applyBorder="1"/>
    <xf numFmtId="3" fontId="125" fillId="0" borderId="0" xfId="0" applyNumberFormat="1" applyFont="1"/>
    <xf numFmtId="168" fontId="105" fillId="32" borderId="145" xfId="0" applyNumberFormat="1" applyFont="1" applyFill="1" applyBorder="1"/>
    <xf numFmtId="168" fontId="105" fillId="32" borderId="146"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0" xfId="0" applyNumberFormat="1" applyFont="1" applyFill="1" applyBorder="1" applyProtection="1">
      <protection locked="0"/>
    </xf>
    <xf numFmtId="0" fontId="72" fillId="30" borderId="18" xfId="0" applyFont="1" applyFill="1" applyBorder="1"/>
    <xf numFmtId="0" fontId="72" fillId="30" borderId="78" xfId="0" applyFont="1" applyFill="1" applyBorder="1"/>
    <xf numFmtId="3" fontId="157" fillId="32" borderId="62" xfId="0" applyNumberFormat="1" applyFont="1" applyFill="1" applyBorder="1" applyProtection="1">
      <protection locked="0"/>
    </xf>
    <xf numFmtId="3" fontId="157" fillId="32" borderId="61" xfId="0" applyNumberFormat="1" applyFont="1" applyFill="1" applyBorder="1" applyProtection="1">
      <protection locked="0"/>
    </xf>
    <xf numFmtId="3" fontId="157" fillId="32" borderId="25"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1" xfId="0" applyNumberFormat="1" applyFont="1" applyFill="1" applyBorder="1" applyProtection="1">
      <protection locked="0"/>
    </xf>
    <xf numFmtId="168" fontId="157" fillId="32" borderId="0" xfId="0" applyNumberFormat="1" applyFont="1" applyFill="1" applyProtection="1">
      <protection locked="0"/>
    </xf>
    <xf numFmtId="168" fontId="157" fillId="32" borderId="25" xfId="0" applyNumberFormat="1" applyFont="1" applyFill="1" applyBorder="1" applyProtection="1">
      <protection locked="0"/>
    </xf>
    <xf numFmtId="3" fontId="157" fillId="32" borderId="0" xfId="0" applyNumberFormat="1" applyFont="1" applyFill="1" applyProtection="1">
      <protection locked="0"/>
    </xf>
    <xf numFmtId="3" fontId="157" fillId="32" borderId="43" xfId="0" applyNumberFormat="1" applyFont="1" applyFill="1" applyBorder="1" applyProtection="1">
      <protection locked="0"/>
    </xf>
    <xf numFmtId="168" fontId="158" fillId="32" borderId="30"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2"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47" xfId="0" applyNumberFormat="1" applyFont="1" applyFill="1" applyBorder="1"/>
    <xf numFmtId="166" fontId="72" fillId="32" borderId="46" xfId="0" applyNumberFormat="1" applyFont="1" applyFill="1" applyBorder="1"/>
    <xf numFmtId="171" fontId="72" fillId="32" borderId="137" xfId="182" applyNumberFormat="1" applyFont="1" applyFill="1" applyBorder="1"/>
    <xf numFmtId="171" fontId="72" fillId="32" borderId="47" xfId="182" applyNumberFormat="1" applyFont="1" applyFill="1" applyBorder="1"/>
    <xf numFmtId="171" fontId="72" fillId="32" borderId="46" xfId="182" applyNumberFormat="1" applyFont="1" applyFill="1" applyBorder="1"/>
    <xf numFmtId="171" fontId="72" fillId="32" borderId="0" xfId="182" applyNumberFormat="1" applyFont="1" applyFill="1"/>
    <xf numFmtId="169" fontId="78" fillId="32" borderId="25" xfId="17654" applyNumberFormat="1" applyFont="1" applyFill="1" applyBorder="1"/>
    <xf numFmtId="166" fontId="72" fillId="32" borderId="30" xfId="182" applyNumberFormat="1" applyFont="1" applyFill="1" applyBorder="1"/>
    <xf numFmtId="166" fontId="78" fillId="32" borderId="30"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79" xfId="0" applyFont="1" applyFill="1" applyBorder="1"/>
    <xf numFmtId="0" fontId="126" fillId="73" borderId="77" xfId="0" applyFont="1" applyFill="1" applyBorder="1"/>
    <xf numFmtId="0" fontId="100" fillId="0" borderId="140" xfId="0" applyFont="1" applyBorder="1" applyAlignment="1">
      <alignment horizontal="center"/>
    </xf>
    <xf numFmtId="0" fontId="108" fillId="29" borderId="77" xfId="0" applyFont="1" applyFill="1" applyBorder="1"/>
    <xf numFmtId="0" fontId="108" fillId="29" borderId="79" xfId="0" applyFont="1" applyFill="1" applyBorder="1"/>
    <xf numFmtId="0" fontId="108" fillId="29" borderId="78" xfId="0" applyFont="1" applyFill="1" applyBorder="1"/>
    <xf numFmtId="0" fontId="108" fillId="0" borderId="77" xfId="0" applyFont="1" applyBorder="1"/>
    <xf numFmtId="168" fontId="108" fillId="0" borderId="78"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58" xfId="0" applyNumberFormat="1" applyFont="1" applyBorder="1"/>
    <xf numFmtId="37" fontId="108" fillId="0" borderId="158" xfId="0" applyNumberFormat="1" applyFont="1" applyBorder="1"/>
    <xf numFmtId="37" fontId="129" fillId="0" borderId="158" xfId="0" applyNumberFormat="1" applyFont="1" applyBorder="1"/>
    <xf numFmtId="37" fontId="129" fillId="0" borderId="0" xfId="0" applyNumberFormat="1" applyFont="1"/>
    <xf numFmtId="37" fontId="100" fillId="24" borderId="158"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0" xfId="0" applyNumberFormat="1" applyFont="1" applyFill="1" applyBorder="1" applyAlignment="1">
      <alignment horizontal="right"/>
    </xf>
    <xf numFmtId="0" fontId="100" fillId="0" borderId="158" xfId="0" applyFont="1" applyBorder="1"/>
    <xf numFmtId="37" fontId="134" fillId="0" borderId="0" xfId="0" applyNumberFormat="1" applyFont="1"/>
    <xf numFmtId="37" fontId="108" fillId="0" borderId="158" xfId="0" applyNumberFormat="1" applyFont="1" applyBorder="1" applyAlignment="1">
      <alignment horizontal="fill"/>
    </xf>
    <xf numFmtId="37" fontId="100" fillId="25" borderId="158" xfId="0" applyNumberFormat="1" applyFont="1" applyFill="1" applyBorder="1"/>
    <xf numFmtId="0" fontId="108" fillId="0" borderId="158" xfId="0" applyFont="1" applyBorder="1"/>
    <xf numFmtId="37" fontId="108" fillId="0" borderId="159" xfId="0" applyNumberFormat="1" applyFont="1" applyBorder="1"/>
    <xf numFmtId="37" fontId="100" fillId="0" borderId="58" xfId="0" applyNumberFormat="1" applyFont="1" applyBorder="1"/>
    <xf numFmtId="37" fontId="100" fillId="0" borderId="58" xfId="0" applyNumberFormat="1" applyFont="1" applyBorder="1" applyAlignment="1">
      <alignment horizontal="right"/>
    </xf>
    <xf numFmtId="5" fontId="108" fillId="74" borderId="160" xfId="0" applyNumberFormat="1" applyFont="1" applyFill="1" applyBorder="1"/>
    <xf numFmtId="37" fontId="108" fillId="0" borderId="162" xfId="0" applyNumberFormat="1" applyFont="1" applyBorder="1"/>
    <xf numFmtId="37" fontId="108" fillId="0" borderId="161" xfId="0" applyNumberFormat="1" applyFont="1" applyBorder="1"/>
    <xf numFmtId="37" fontId="108" fillId="0" borderId="161" xfId="0" applyNumberFormat="1" applyFont="1" applyBorder="1" applyAlignment="1">
      <alignment horizontal="center" wrapText="1"/>
    </xf>
    <xf numFmtId="37" fontId="108" fillId="0" borderId="157"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64" xfId="0" applyNumberFormat="1" applyFont="1" applyBorder="1" applyAlignment="1">
      <alignment horizontal="right"/>
    </xf>
    <xf numFmtId="5" fontId="130" fillId="74" borderId="160" xfId="0" applyNumberFormat="1" applyFont="1" applyFill="1" applyBorder="1"/>
    <xf numFmtId="37" fontId="108" fillId="0" borderId="165" xfId="0" applyNumberFormat="1" applyFont="1" applyBorder="1"/>
    <xf numFmtId="37" fontId="100" fillId="0" borderId="166" xfId="0" applyNumberFormat="1" applyFont="1" applyBorder="1"/>
    <xf numFmtId="37" fontId="100" fillId="0" borderId="167" xfId="0" applyNumberFormat="1" applyFont="1" applyBorder="1" applyAlignment="1">
      <alignment horizontal="right"/>
    </xf>
    <xf numFmtId="5" fontId="108" fillId="74" borderId="167" xfId="0" applyNumberFormat="1" applyFont="1" applyFill="1" applyBorder="1"/>
    <xf numFmtId="5" fontId="130" fillId="74" borderId="168" xfId="0" applyNumberFormat="1" applyFont="1" applyFill="1" applyBorder="1" applyAlignment="1">
      <alignment horizontal="right"/>
    </xf>
    <xf numFmtId="0" fontId="135" fillId="0" borderId="0" xfId="0" applyFont="1"/>
    <xf numFmtId="0" fontId="100" fillId="0" borderId="58" xfId="0" applyFont="1" applyBorder="1"/>
    <xf numFmtId="37" fontId="108" fillId="30" borderId="162" xfId="0" applyNumberFormat="1" applyFont="1" applyFill="1" applyBorder="1"/>
    <xf numFmtId="37" fontId="100" fillId="30" borderId="161" xfId="0" applyNumberFormat="1" applyFont="1" applyFill="1" applyBorder="1"/>
    <xf numFmtId="37" fontId="100" fillId="30" borderId="163" xfId="0" applyNumberFormat="1" applyFont="1" applyFill="1" applyBorder="1"/>
    <xf numFmtId="37" fontId="100" fillId="30" borderId="157" xfId="0" applyNumberFormat="1" applyFont="1" applyFill="1" applyBorder="1"/>
    <xf numFmtId="0" fontId="166" fillId="0" borderId="0" xfId="0" applyFont="1" applyAlignment="1">
      <alignment vertical="top" wrapText="1"/>
    </xf>
    <xf numFmtId="0" fontId="74" fillId="0" borderId="43" xfId="0" applyFont="1" applyBorder="1" applyAlignment="1">
      <alignment horizontal="center"/>
    </xf>
    <xf numFmtId="0" fontId="74" fillId="30" borderId="43" xfId="0" applyFont="1" applyFill="1" applyBorder="1"/>
    <xf numFmtId="0" fontId="74" fillId="71" borderId="43" xfId="0" applyFont="1" applyFill="1" applyBorder="1"/>
    <xf numFmtId="4" fontId="149" fillId="0" borderId="43" xfId="0" applyNumberFormat="1" applyFont="1" applyBorder="1"/>
    <xf numFmtId="0" fontId="72" fillId="0" borderId="169" xfId="0" applyFont="1" applyBorder="1"/>
    <xf numFmtId="0" fontId="72" fillId="0" borderId="169" xfId="0" applyFont="1" applyBorder="1" applyAlignment="1">
      <alignment horizontal="center"/>
    </xf>
    <xf numFmtId="3" fontId="156" fillId="32" borderId="169" xfId="17654" applyNumberFormat="1" applyFont="1" applyFill="1" applyBorder="1" applyAlignment="1" applyProtection="1">
      <alignment horizontal="right"/>
      <protection locked="0"/>
    </xf>
    <xf numFmtId="4" fontId="72" fillId="0" borderId="169" xfId="0" applyNumberFormat="1" applyFont="1" applyBorder="1"/>
    <xf numFmtId="168" fontId="72" fillId="0" borderId="169" xfId="0" applyNumberFormat="1" applyFont="1" applyBorder="1"/>
    <xf numFmtId="3" fontId="74" fillId="0" borderId="79" xfId="0" applyNumberFormat="1" applyFont="1" applyBorder="1"/>
    <xf numFmtId="0" fontId="72" fillId="0" borderId="30" xfId="0" applyFont="1" applyBorder="1"/>
    <xf numFmtId="0" fontId="72" fillId="0" borderId="30" xfId="0" applyFont="1" applyBorder="1" applyAlignment="1">
      <alignment horizontal="center"/>
    </xf>
    <xf numFmtId="3" fontId="156" fillId="32" borderId="30" xfId="0" applyNumberFormat="1" applyFont="1" applyFill="1" applyBorder="1" applyAlignment="1" applyProtection="1">
      <alignment horizontal="right"/>
      <protection locked="0"/>
    </xf>
    <xf numFmtId="4" fontId="72" fillId="0" borderId="30" xfId="0" applyNumberFormat="1" applyFont="1" applyBorder="1"/>
    <xf numFmtId="168" fontId="72" fillId="0" borderId="30" xfId="0" applyNumberFormat="1" applyFont="1" applyBorder="1"/>
    <xf numFmtId="168" fontId="74" fillId="0" borderId="63" xfId="0" applyNumberFormat="1" applyFont="1" applyBorder="1"/>
    <xf numFmtId="0" fontId="72" fillId="72" borderId="77" xfId="0" applyFont="1" applyFill="1" applyBorder="1"/>
    <xf numFmtId="0" fontId="72" fillId="72" borderId="78" xfId="0" applyFont="1" applyFill="1" applyBorder="1"/>
    <xf numFmtId="0" fontId="72" fillId="30" borderId="77" xfId="530" applyFont="1" applyFill="1" applyBorder="1"/>
    <xf numFmtId="0" fontId="72" fillId="30" borderId="78" xfId="530" applyFont="1" applyFill="1" applyBorder="1"/>
    <xf numFmtId="0" fontId="74" fillId="29" borderId="77" xfId="0" applyFont="1" applyFill="1" applyBorder="1"/>
    <xf numFmtId="0" fontId="74" fillId="29" borderId="78" xfId="0" applyFont="1" applyFill="1" applyBorder="1"/>
    <xf numFmtId="168" fontId="157" fillId="32" borderId="43" xfId="0" applyNumberFormat="1" applyFont="1" applyFill="1" applyBorder="1" applyProtection="1">
      <protection locked="0"/>
    </xf>
    <xf numFmtId="0" fontId="100" fillId="0" borderId="43" xfId="0" applyFont="1" applyBorder="1"/>
    <xf numFmtId="0" fontId="108" fillId="0" borderId="43" xfId="0" applyFont="1" applyBorder="1"/>
    <xf numFmtId="0" fontId="140" fillId="30" borderId="78" xfId="0" applyFont="1" applyFill="1" applyBorder="1" applyAlignment="1">
      <alignment horizontal="center" wrapText="1"/>
    </xf>
    <xf numFmtId="0" fontId="106" fillId="0" borderId="52" xfId="0" applyFont="1" applyBorder="1" applyAlignment="1">
      <alignment horizontal="center"/>
    </xf>
    <xf numFmtId="37" fontId="143" fillId="76" borderId="43" xfId="0" applyNumberFormat="1" applyFont="1" applyFill="1" applyBorder="1" applyAlignment="1">
      <alignment horizontal="right"/>
    </xf>
    <xf numFmtId="37" fontId="105" fillId="26" borderId="43" xfId="0" applyNumberFormat="1" applyFont="1" applyFill="1" applyBorder="1" applyAlignment="1">
      <alignment horizontal="fill"/>
    </xf>
    <xf numFmtId="165" fontId="105" fillId="26" borderId="43" xfId="181" applyNumberFormat="1" applyFont="1" applyFill="1" applyBorder="1" applyAlignment="1" applyProtection="1">
      <alignment horizontal="fill"/>
    </xf>
    <xf numFmtId="0" fontId="74" fillId="0" borderId="171" xfId="0" applyFont="1" applyBorder="1" applyAlignment="1">
      <alignment horizontal="center"/>
    </xf>
    <xf numFmtId="166" fontId="72" fillId="32" borderId="172" xfId="0" applyNumberFormat="1" applyFont="1" applyFill="1" applyBorder="1"/>
    <xf numFmtId="166" fontId="72" fillId="36" borderId="171" xfId="0" applyNumberFormat="1" applyFont="1" applyFill="1" applyBorder="1"/>
    <xf numFmtId="4" fontId="72" fillId="0" borderId="171" xfId="181" applyNumberFormat="1" applyFont="1" applyBorder="1" applyProtection="1"/>
    <xf numFmtId="37" fontId="100" fillId="0" borderId="173" xfId="0" applyNumberFormat="1" applyFont="1" applyBorder="1"/>
    <xf numFmtId="37" fontId="100" fillId="0" borderId="174" xfId="0" applyNumberFormat="1" applyFont="1" applyBorder="1" applyAlignment="1">
      <alignment horizontal="right"/>
    </xf>
    <xf numFmtId="37" fontId="100" fillId="0" borderId="175" xfId="0" applyNumberFormat="1" applyFont="1" applyBorder="1"/>
    <xf numFmtId="0" fontId="100" fillId="0" borderId="173" xfId="0" applyFont="1" applyBorder="1"/>
    <xf numFmtId="0" fontId="100" fillId="0" borderId="174" xfId="0" applyFont="1" applyBorder="1" applyAlignment="1">
      <alignment horizontal="right"/>
    </xf>
    <xf numFmtId="37" fontId="108" fillId="0" borderId="176" xfId="0" applyNumberFormat="1" applyFont="1" applyBorder="1" applyAlignment="1">
      <alignment horizontal="fill"/>
    </xf>
    <xf numFmtId="37" fontId="108" fillId="24" borderId="176" xfId="0" applyNumberFormat="1" applyFont="1" applyFill="1" applyBorder="1" applyAlignment="1">
      <alignment horizontal="fill"/>
    </xf>
    <xf numFmtId="37" fontId="108" fillId="24" borderId="177" xfId="0" applyNumberFormat="1" applyFont="1" applyFill="1" applyBorder="1" applyAlignment="1">
      <alignment horizontal="fill"/>
    </xf>
    <xf numFmtId="170" fontId="74" fillId="32" borderId="173" xfId="181" applyNumberFormat="1" applyFont="1" applyFill="1" applyBorder="1"/>
    <xf numFmtId="170" fontId="74" fillId="0" borderId="173" xfId="181" applyNumberFormat="1" applyFont="1" applyFill="1" applyBorder="1"/>
    <xf numFmtId="0" fontId="74" fillId="0" borderId="173" xfId="0" applyFont="1" applyBorder="1" applyAlignment="1">
      <alignment horizontal="center" wrapText="1"/>
    </xf>
    <xf numFmtId="5" fontId="72" fillId="0" borderId="173" xfId="181" applyNumberFormat="1" applyFont="1" applyFill="1" applyBorder="1" applyProtection="1"/>
    <xf numFmtId="5" fontId="72" fillId="0" borderId="173" xfId="181" applyNumberFormat="1" applyFont="1" applyBorder="1" applyProtection="1"/>
    <xf numFmtId="5" fontId="72" fillId="0" borderId="173" xfId="181" quotePrefix="1" applyNumberFormat="1" applyFont="1" applyFill="1" applyBorder="1" applyProtection="1"/>
    <xf numFmtId="5" fontId="72" fillId="0" borderId="173" xfId="0" applyNumberFormat="1" applyFont="1" applyBorder="1"/>
    <xf numFmtId="10" fontId="74" fillId="0" borderId="173" xfId="3292" applyNumberFormat="1" applyFont="1" applyBorder="1" applyProtection="1"/>
    <xf numFmtId="0" fontId="74" fillId="0" borderId="173" xfId="0" applyFont="1" applyBorder="1"/>
    <xf numFmtId="165" fontId="72" fillId="0" borderId="173" xfId="192" applyNumberFormat="1" applyFont="1" applyBorder="1" applyProtection="1"/>
    <xf numFmtId="37" fontId="100" fillId="0" borderId="176"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166" fontId="72" fillId="69" borderId="178" xfId="0" applyNumberFormat="1" applyFont="1" applyFill="1" applyBorder="1"/>
    <xf numFmtId="166" fontId="72" fillId="32" borderId="178" xfId="0" applyNumberFormat="1" applyFont="1" applyFill="1" applyBorder="1"/>
    <xf numFmtId="0" fontId="100" fillId="0" borderId="179" xfId="0" applyFont="1" applyBorder="1"/>
    <xf numFmtId="37" fontId="100" fillId="0" borderId="182" xfId="0" applyNumberFormat="1" applyFont="1" applyBorder="1"/>
    <xf numFmtId="37" fontId="100" fillId="30" borderId="179" xfId="0" applyNumberFormat="1" applyFont="1" applyFill="1" applyBorder="1"/>
    <xf numFmtId="0" fontId="106" fillId="0" borderId="179"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85" xfId="181" applyNumberFormat="1" applyFont="1" applyBorder="1" applyProtection="1"/>
    <xf numFmtId="0" fontId="105" fillId="0" borderId="0" xfId="49346" applyFont="1" applyAlignment="1">
      <alignment wrapText="1"/>
    </xf>
    <xf numFmtId="166" fontId="72" fillId="32" borderId="186" xfId="0" applyNumberFormat="1" applyFont="1" applyFill="1" applyBorder="1"/>
    <xf numFmtId="171" fontId="72" fillId="32" borderId="186" xfId="182" applyNumberFormat="1" applyFont="1" applyFill="1" applyBorder="1"/>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37" fontId="100" fillId="0" borderId="184" xfId="0" applyNumberFormat="1" applyFont="1" applyBorder="1" applyAlignment="1">
      <alignment horizontal="right"/>
    </xf>
    <xf numFmtId="37" fontId="129" fillId="24" borderId="184" xfId="0" applyNumberFormat="1" applyFont="1" applyFill="1" applyBorder="1"/>
    <xf numFmtId="0" fontId="72" fillId="0" borderId="191" xfId="0" applyFont="1" applyBorder="1"/>
    <xf numFmtId="0" fontId="72" fillId="0" borderId="192" xfId="0" applyFont="1" applyBorder="1"/>
    <xf numFmtId="0" fontId="72" fillId="77" borderId="192" xfId="0" applyFont="1" applyFill="1" applyBorder="1"/>
    <xf numFmtId="171" fontId="72" fillId="32" borderId="189" xfId="182" applyNumberFormat="1" applyFont="1" applyFill="1" applyBorder="1"/>
    <xf numFmtId="171" fontId="72" fillId="32" borderId="193" xfId="182" applyNumberFormat="1" applyFont="1" applyFill="1" applyBorder="1"/>
    <xf numFmtId="171" fontId="72" fillId="32" borderId="194" xfId="182" applyNumberFormat="1" applyFont="1" applyFill="1" applyBorder="1"/>
    <xf numFmtId="10" fontId="78" fillId="0" borderId="196" xfId="3292" quotePrefix="1" applyNumberFormat="1" applyFont="1" applyFill="1" applyBorder="1" applyAlignment="1" applyProtection="1">
      <alignment horizontal="right"/>
    </xf>
    <xf numFmtId="167" fontId="78" fillId="0" borderId="197" xfId="3292" applyNumberFormat="1" applyFont="1" applyBorder="1" applyAlignment="1" applyProtection="1">
      <alignment horizontal="right"/>
    </xf>
    <xf numFmtId="0" fontId="72" fillId="0" borderId="198" xfId="0" applyFont="1" applyBorder="1"/>
    <xf numFmtId="3" fontId="78" fillId="0" borderId="199" xfId="181" applyNumberFormat="1" applyFont="1" applyFill="1" applyBorder="1" applyAlignment="1" applyProtection="1"/>
    <xf numFmtId="0" fontId="72" fillId="0" borderId="200" xfId="0" applyFont="1" applyBorder="1"/>
    <xf numFmtId="3" fontId="78" fillId="0" borderId="201" xfId="181" applyNumberFormat="1" applyFont="1" applyFill="1" applyBorder="1" applyAlignment="1" applyProtection="1"/>
    <xf numFmtId="3" fontId="78" fillId="0" borderId="202" xfId="181" applyNumberFormat="1" applyFont="1" applyBorder="1" applyProtection="1"/>
    <xf numFmtId="10" fontId="78" fillId="0" borderId="203" xfId="3292" quotePrefix="1" applyNumberFormat="1" applyFont="1" applyFill="1" applyBorder="1" applyAlignment="1" applyProtection="1">
      <alignment horizontal="right"/>
    </xf>
    <xf numFmtId="167" fontId="78" fillId="0" borderId="204" xfId="3292" applyNumberFormat="1" applyFont="1" applyBorder="1" applyAlignment="1" applyProtection="1">
      <alignment horizontal="right"/>
    </xf>
    <xf numFmtId="10" fontId="78" fillId="0" borderId="202" xfId="3292" quotePrefix="1" applyNumberFormat="1" applyFont="1" applyFill="1" applyBorder="1" applyAlignment="1" applyProtection="1">
      <alignment horizontal="right"/>
    </xf>
    <xf numFmtId="167" fontId="78" fillId="0" borderId="205" xfId="3292" applyNumberFormat="1" applyFont="1" applyBorder="1" applyAlignment="1" applyProtection="1">
      <alignment horizontal="right"/>
    </xf>
    <xf numFmtId="3" fontId="78" fillId="0" borderId="206" xfId="181" applyNumberFormat="1" applyFont="1" applyBorder="1" applyAlignment="1" applyProtection="1">
      <alignment horizontal="right"/>
    </xf>
    <xf numFmtId="37" fontId="72" fillId="0" borderId="207" xfId="0" applyNumberFormat="1" applyFont="1" applyBorder="1"/>
    <xf numFmtId="3" fontId="156" fillId="32" borderId="208" xfId="0" applyNumberFormat="1" applyFont="1" applyFill="1" applyBorder="1" applyAlignment="1" applyProtection="1">
      <alignment horizontal="right"/>
      <protection locked="0"/>
    </xf>
    <xf numFmtId="0" fontId="72" fillId="0" borderId="208" xfId="0" applyFont="1" applyBorder="1"/>
    <xf numFmtId="0" fontId="72" fillId="0" borderId="208" xfId="0" applyFont="1" applyBorder="1" applyAlignment="1">
      <alignment horizontal="center"/>
    </xf>
    <xf numFmtId="4" fontId="72" fillId="0" borderId="208" xfId="0" applyNumberFormat="1" applyFont="1" applyBorder="1"/>
    <xf numFmtId="3" fontId="72" fillId="0" borderId="208" xfId="0" applyNumberFormat="1" applyFont="1" applyBorder="1"/>
    <xf numFmtId="3" fontId="156" fillId="32" borderId="209" xfId="0" applyNumberFormat="1" applyFont="1" applyFill="1" applyBorder="1" applyAlignment="1" applyProtection="1">
      <alignment horizontal="right"/>
      <protection locked="0"/>
    </xf>
    <xf numFmtId="0" fontId="72" fillId="0" borderId="210" xfId="0" applyFont="1" applyBorder="1"/>
    <xf numFmtId="0" fontId="72" fillId="0" borderId="210" xfId="0" applyFont="1" applyBorder="1" applyAlignment="1">
      <alignment horizontal="center"/>
    </xf>
    <xf numFmtId="3" fontId="156" fillId="32" borderId="210" xfId="0" applyNumberFormat="1" applyFont="1" applyFill="1" applyBorder="1" applyAlignment="1" applyProtection="1">
      <alignment horizontal="right"/>
      <protection locked="0"/>
    </xf>
    <xf numFmtId="4" fontId="72" fillId="0" borderId="210" xfId="0" applyNumberFormat="1" applyFont="1" applyBorder="1"/>
    <xf numFmtId="3" fontId="72" fillId="0" borderId="210" xfId="0" applyNumberFormat="1" applyFont="1" applyBorder="1"/>
    <xf numFmtId="168" fontId="130" fillId="74" borderId="211" xfId="0" applyNumberFormat="1" applyFont="1" applyFill="1" applyBorder="1" applyAlignment="1">
      <alignment horizontal="right"/>
    </xf>
    <xf numFmtId="5" fontId="130" fillId="74" borderId="211" xfId="0" applyNumberFormat="1" applyFont="1" applyFill="1" applyBorder="1" applyAlignment="1">
      <alignment horizontal="right"/>
    </xf>
    <xf numFmtId="37" fontId="100" fillId="24" borderId="212" xfId="0" applyNumberFormat="1" applyFont="1" applyFill="1" applyBorder="1" applyAlignment="1">
      <alignment horizontal="right"/>
    </xf>
    <xf numFmtId="37" fontId="100" fillId="30" borderId="189" xfId="0" applyNumberFormat="1" applyFont="1" applyFill="1" applyBorder="1" applyAlignment="1">
      <alignment horizontal="right"/>
    </xf>
    <xf numFmtId="37" fontId="100" fillId="24" borderId="189" xfId="0" applyNumberFormat="1" applyFont="1" applyFill="1" applyBorder="1" applyAlignment="1">
      <alignment horizontal="right"/>
    </xf>
    <xf numFmtId="37" fontId="100" fillId="24" borderId="214" xfId="0" applyNumberFormat="1" applyFont="1" applyFill="1" applyBorder="1" applyAlignment="1">
      <alignment horizontal="right"/>
    </xf>
    <xf numFmtId="37" fontId="129" fillId="74" borderId="189" xfId="0" applyNumberFormat="1" applyFont="1" applyFill="1" applyBorder="1" applyAlignment="1">
      <alignment horizontal="right"/>
    </xf>
    <xf numFmtId="37" fontId="129" fillId="24" borderId="214" xfId="0" applyNumberFormat="1" applyFont="1" applyFill="1" applyBorder="1" applyAlignment="1">
      <alignment horizontal="right"/>
    </xf>
    <xf numFmtId="37" fontId="129" fillId="74" borderId="218" xfId="0" applyNumberFormat="1" applyFont="1" applyFill="1" applyBorder="1" applyAlignment="1">
      <alignment horizontal="right"/>
    </xf>
    <xf numFmtId="37" fontId="108" fillId="0" borderId="213" xfId="0" applyNumberFormat="1" applyFont="1" applyBorder="1"/>
    <xf numFmtId="37" fontId="129" fillId="24" borderId="214" xfId="0" applyNumberFormat="1" applyFont="1" applyFill="1" applyBorder="1"/>
    <xf numFmtId="37" fontId="108" fillId="30" borderId="219" xfId="0" applyNumberFormat="1" applyFont="1" applyFill="1" applyBorder="1"/>
    <xf numFmtId="37" fontId="129" fillId="74" borderId="218" xfId="0" applyNumberFormat="1" applyFont="1" applyFill="1" applyBorder="1"/>
    <xf numFmtId="37" fontId="100" fillId="74" borderId="218" xfId="0" applyNumberFormat="1" applyFont="1" applyFill="1" applyBorder="1"/>
    <xf numFmtId="37" fontId="100" fillId="0" borderId="214" xfId="0" applyNumberFormat="1" applyFont="1" applyBorder="1"/>
    <xf numFmtId="37" fontId="100" fillId="74" borderId="223" xfId="0" applyNumberFormat="1" applyFont="1" applyFill="1" applyBorder="1"/>
    <xf numFmtId="37" fontId="100" fillId="24" borderId="214" xfId="0" applyNumberFormat="1" applyFont="1" applyFill="1" applyBorder="1"/>
    <xf numFmtId="0" fontId="106" fillId="0" borderId="224" xfId="0" applyFont="1" applyBorder="1"/>
    <xf numFmtId="0" fontId="106" fillId="0" borderId="225" xfId="0" applyFont="1" applyBorder="1"/>
    <xf numFmtId="0" fontId="106" fillId="0" borderId="225" xfId="0" applyFont="1" applyBorder="1" applyAlignment="1">
      <alignment horizontal="center"/>
    </xf>
    <xf numFmtId="0" fontId="106" fillId="0" borderId="226" xfId="0" applyFont="1" applyBorder="1"/>
    <xf numFmtId="0" fontId="106" fillId="0" borderId="227" xfId="0" applyFont="1" applyBorder="1"/>
    <xf numFmtId="0" fontId="106" fillId="0" borderId="227" xfId="0" applyFont="1" applyBorder="1" applyAlignment="1">
      <alignment horizontal="center"/>
    </xf>
    <xf numFmtId="3" fontId="158" fillId="32" borderId="228" xfId="0" applyNumberFormat="1" applyFont="1" applyFill="1" applyBorder="1" applyProtection="1">
      <protection locked="0"/>
    </xf>
    <xf numFmtId="3" fontId="106" fillId="0" borderId="228" xfId="0" applyNumberFormat="1" applyFont="1" applyBorder="1"/>
    <xf numFmtId="0" fontId="106" fillId="0" borderId="228" xfId="0" applyFont="1" applyBorder="1" applyAlignment="1">
      <alignment horizontal="center"/>
    </xf>
    <xf numFmtId="0" fontId="106" fillId="0" borderId="229" xfId="0" applyFont="1" applyBorder="1"/>
    <xf numFmtId="0" fontId="106" fillId="75" borderId="228" xfId="0" applyFont="1" applyFill="1" applyBorder="1"/>
    <xf numFmtId="0" fontId="145" fillId="0" borderId="218" xfId="663" applyFont="1" applyBorder="1" applyAlignment="1">
      <alignment horizontal="center" wrapText="1"/>
    </xf>
    <xf numFmtId="0" fontId="145" fillId="0" borderId="230" xfId="663" applyFont="1" applyBorder="1" applyAlignment="1">
      <alignment horizontal="center" wrapText="1"/>
    </xf>
    <xf numFmtId="9" fontId="126" fillId="0" borderId="218" xfId="663" applyNumberFormat="1" applyFont="1" applyBorder="1" applyAlignment="1">
      <alignment horizontal="center" wrapText="1"/>
    </xf>
    <xf numFmtId="9" fontId="145" fillId="0" borderId="230" xfId="663" applyNumberFormat="1" applyFont="1" applyBorder="1" applyAlignment="1">
      <alignment horizontal="center" wrapText="1"/>
    </xf>
    <xf numFmtId="0" fontId="124" fillId="0" borderId="232" xfId="663" applyFont="1" applyBorder="1"/>
    <xf numFmtId="44" fontId="109" fillId="0" borderId="231" xfId="378" applyFont="1" applyFill="1" applyBorder="1" applyProtection="1"/>
    <xf numFmtId="44" fontId="109" fillId="0" borderId="233" xfId="378" applyFont="1" applyFill="1" applyBorder="1" applyProtection="1"/>
    <xf numFmtId="0" fontId="109" fillId="0" borderId="232" xfId="663" applyFont="1" applyBorder="1"/>
    <xf numFmtId="44" fontId="109" fillId="0" borderId="218" xfId="378" applyFont="1" applyFill="1" applyBorder="1" applyProtection="1"/>
    <xf numFmtId="44" fontId="109" fillId="0" borderId="230" xfId="378" applyFont="1" applyFill="1" applyBorder="1" applyProtection="1"/>
    <xf numFmtId="0" fontId="109" fillId="0" borderId="232" xfId="663" applyFont="1" applyBorder="1" applyAlignment="1">
      <alignment horizontal="left"/>
    </xf>
    <xf numFmtId="0" fontId="109" fillId="0" borderId="234" xfId="663" applyFont="1" applyBorder="1"/>
    <xf numFmtId="0" fontId="124" fillId="0" borderId="218" xfId="663" applyFont="1" applyBorder="1"/>
    <xf numFmtId="0" fontId="124" fillId="0" borderId="230" xfId="663" applyFont="1" applyBorder="1"/>
    <xf numFmtId="0" fontId="145" fillId="0" borderId="231" xfId="663" applyFont="1" applyBorder="1" applyAlignment="1">
      <alignment horizontal="center" wrapText="1"/>
    </xf>
    <xf numFmtId="0" fontId="145" fillId="0" borderId="233" xfId="663" applyFont="1" applyBorder="1" applyAlignment="1">
      <alignment horizontal="center" wrapText="1"/>
    </xf>
    <xf numFmtId="0" fontId="124" fillId="0" borderId="234" xfId="663" applyFont="1" applyBorder="1"/>
    <xf numFmtId="0" fontId="109" fillId="0" borderId="234" xfId="663" applyFont="1" applyBorder="1" applyAlignment="1">
      <alignment horizontal="left"/>
    </xf>
    <xf numFmtId="0" fontId="109" fillId="0" borderId="235" xfId="663" applyFont="1" applyBorder="1"/>
    <xf numFmtId="44" fontId="109" fillId="0" borderId="236" xfId="378" applyFont="1" applyFill="1" applyBorder="1" applyProtection="1"/>
    <xf numFmtId="44" fontId="109" fillId="0" borderId="237" xfId="378" applyFont="1" applyFill="1" applyBorder="1" applyProtection="1"/>
    <xf numFmtId="0" fontId="145" fillId="0" borderId="238" xfId="663" applyFont="1" applyBorder="1" applyAlignment="1">
      <alignment horizontal="center" wrapText="1"/>
    </xf>
    <xf numFmtId="9" fontId="145" fillId="0" borderId="238" xfId="663" applyNumberFormat="1" applyFont="1" applyBorder="1" applyAlignment="1">
      <alignment horizontal="center" wrapText="1"/>
    </xf>
    <xf numFmtId="0" fontId="124" fillId="0" borderId="239" xfId="663" applyFont="1" applyBorder="1"/>
    <xf numFmtId="44" fontId="109" fillId="0" borderId="238" xfId="378" applyFont="1" applyFill="1" applyBorder="1" applyProtection="1"/>
    <xf numFmtId="0" fontId="109" fillId="0" borderId="239" xfId="663" applyFont="1" applyBorder="1"/>
    <xf numFmtId="0" fontId="109" fillId="0" borderId="239" xfId="663" applyFont="1" applyBorder="1" applyAlignment="1">
      <alignment horizontal="left"/>
    </xf>
    <xf numFmtId="0" fontId="124" fillId="0" borderId="238" xfId="663" applyFont="1" applyBorder="1"/>
    <xf numFmtId="44" fontId="109" fillId="0" borderId="218" xfId="378" applyFont="1" applyFill="1" applyBorder="1" applyAlignment="1" applyProtection="1">
      <alignment horizontal="right"/>
    </xf>
    <xf numFmtId="44" fontId="109" fillId="0" borderId="238" xfId="378" applyFont="1" applyFill="1" applyBorder="1" applyAlignment="1" applyProtection="1">
      <alignment horizontal="right"/>
    </xf>
    <xf numFmtId="0" fontId="109" fillId="0" borderId="240" xfId="663" applyFont="1" applyBorder="1"/>
    <xf numFmtId="44" fontId="109" fillId="0" borderId="241" xfId="378" applyFont="1" applyFill="1" applyBorder="1" applyAlignment="1" applyProtection="1">
      <alignment horizontal="right"/>
    </xf>
    <xf numFmtId="44" fontId="109" fillId="0" borderId="242" xfId="378" applyFont="1" applyFill="1" applyBorder="1" applyAlignment="1" applyProtection="1">
      <alignment horizontal="right"/>
    </xf>
    <xf numFmtId="44" fontId="109" fillId="0" borderId="218" xfId="378" quotePrefix="1" applyFont="1" applyFill="1" applyBorder="1" applyProtection="1"/>
    <xf numFmtId="44" fontId="109" fillId="0" borderId="241" xfId="378" applyFont="1" applyFill="1" applyBorder="1" applyProtection="1"/>
    <xf numFmtId="44" fontId="109" fillId="0" borderId="241" xfId="378" quotePrefix="1" applyFont="1" applyFill="1" applyBorder="1" applyProtection="1"/>
    <xf numFmtId="44" fontId="109" fillId="0" borderId="242" xfId="378" applyFont="1" applyFill="1" applyBorder="1" applyProtection="1"/>
    <xf numFmtId="44" fontId="109" fillId="0" borderId="238" xfId="378" quotePrefix="1" applyFont="1" applyFill="1" applyBorder="1" applyProtection="1"/>
    <xf numFmtId="0" fontId="78" fillId="27" borderId="243" xfId="663" applyFont="1" applyFill="1" applyBorder="1" applyAlignment="1">
      <alignment wrapText="1"/>
    </xf>
    <xf numFmtId="9" fontId="72" fillId="27" borderId="244" xfId="663" applyNumberFormat="1" applyFont="1" applyFill="1" applyBorder="1" applyAlignment="1">
      <alignment horizontal="center"/>
    </xf>
    <xf numFmtId="0" fontId="72" fillId="27" borderId="245" xfId="663" applyFont="1" applyFill="1" applyBorder="1"/>
    <xf numFmtId="0" fontId="78" fillId="28" borderId="243" xfId="663" applyFont="1" applyFill="1" applyBorder="1" applyAlignment="1">
      <alignment wrapText="1"/>
    </xf>
    <xf numFmtId="9" fontId="72" fillId="28" borderId="244" xfId="663" applyNumberFormat="1" applyFont="1" applyFill="1" applyBorder="1" applyAlignment="1">
      <alignment horizontal="center"/>
    </xf>
    <xf numFmtId="0" fontId="72" fillId="28" borderId="245" xfId="663" applyFont="1" applyFill="1" applyBorder="1"/>
    <xf numFmtId="0" fontId="78" fillId="27" borderId="243" xfId="663" applyFont="1" applyFill="1" applyBorder="1"/>
    <xf numFmtId="0" fontId="72" fillId="27" borderId="245" xfId="663" applyFont="1" applyFill="1" applyBorder="1" applyAlignment="1">
      <alignment wrapText="1"/>
    </xf>
    <xf numFmtId="0" fontId="72" fillId="28" borderId="245" xfId="663" applyFont="1" applyFill="1" applyBorder="1" applyAlignment="1">
      <alignment horizontal="left"/>
    </xf>
    <xf numFmtId="0" fontId="78" fillId="28" borderId="248" xfId="663" applyFont="1" applyFill="1" applyBorder="1" applyAlignment="1">
      <alignment wrapText="1"/>
    </xf>
    <xf numFmtId="9" fontId="72" fillId="28" borderId="249" xfId="663" applyNumberFormat="1" applyFont="1" applyFill="1" applyBorder="1" applyAlignment="1">
      <alignment horizontal="center"/>
    </xf>
    <xf numFmtId="0" fontId="72" fillId="28" borderId="250"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1"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49" xfId="0" applyFont="1" applyFill="1" applyBorder="1" applyAlignment="1">
      <alignment horizontal="left"/>
    </xf>
    <xf numFmtId="0" fontId="74" fillId="30" borderId="150" xfId="0" applyFont="1" applyFill="1" applyBorder="1" applyAlignment="1">
      <alignment horizontal="left"/>
    </xf>
    <xf numFmtId="0" fontId="74" fillId="30" borderId="151" xfId="0" applyFont="1" applyFill="1" applyBorder="1" applyAlignment="1">
      <alignment horizontal="left"/>
    </xf>
    <xf numFmtId="0" fontId="74" fillId="30" borderId="34" xfId="0" applyFont="1" applyFill="1" applyBorder="1" applyAlignment="1">
      <alignment horizontal="left"/>
    </xf>
    <xf numFmtId="0" fontId="74" fillId="30" borderId="48" xfId="0" applyFont="1" applyFill="1" applyBorder="1" applyAlignment="1">
      <alignment horizontal="left"/>
    </xf>
    <xf numFmtId="0" fontId="74" fillId="30" borderId="57"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73" xfId="0" applyFont="1" applyBorder="1" applyAlignment="1">
      <alignment horizontal="center"/>
    </xf>
    <xf numFmtId="0" fontId="74" fillId="0" borderId="0" xfId="0" applyFont="1" applyAlignment="1">
      <alignment horizontal="left"/>
    </xf>
    <xf numFmtId="0" fontId="105" fillId="0" borderId="0" xfId="0" applyFont="1" applyAlignment="1">
      <alignment horizontal="center"/>
    </xf>
    <xf numFmtId="0" fontId="74" fillId="30" borderId="77" xfId="0" applyFont="1" applyFill="1" applyBorder="1" applyAlignment="1">
      <alignment horizontal="center" wrapText="1"/>
    </xf>
    <xf numFmtId="0" fontId="74" fillId="30" borderId="78" xfId="0" applyFont="1" applyFill="1" applyBorder="1" applyAlignment="1">
      <alignment horizontal="center" wrapText="1"/>
    </xf>
    <xf numFmtId="0" fontId="149" fillId="0" borderId="0" xfId="0" applyFont="1" applyAlignment="1">
      <alignment horizontal="left" vertical="top" wrapText="1"/>
    </xf>
    <xf numFmtId="0" fontId="124" fillId="0" borderId="140" xfId="0" applyFont="1" applyBorder="1" applyAlignment="1" applyProtection="1">
      <alignment horizontal="left" vertical="top" wrapText="1"/>
      <protection locked="0"/>
    </xf>
    <xf numFmtId="0" fontId="124" fillId="0" borderId="97" xfId="0" applyFont="1" applyBorder="1" applyAlignment="1" applyProtection="1">
      <alignment horizontal="left" vertical="top" wrapText="1"/>
      <protection locked="0"/>
    </xf>
    <xf numFmtId="0" fontId="124" fillId="0" borderId="63"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0"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79" xfId="0" applyNumberFormat="1" applyFont="1" applyFill="1" applyBorder="1" applyAlignment="1">
      <alignment horizontal="left"/>
    </xf>
    <xf numFmtId="37" fontId="108" fillId="30" borderId="189" xfId="0" applyNumberFormat="1" applyFont="1" applyFill="1" applyBorder="1" applyAlignment="1">
      <alignment horizontal="left"/>
    </xf>
    <xf numFmtId="37" fontId="108" fillId="30" borderId="215" xfId="0" applyNumberFormat="1" applyFont="1" applyFill="1" applyBorder="1" applyAlignment="1">
      <alignment horizontal="left"/>
    </xf>
    <xf numFmtId="37" fontId="108" fillId="30" borderId="216" xfId="0" applyNumberFormat="1" applyFont="1" applyFill="1" applyBorder="1" applyAlignment="1">
      <alignment horizontal="left"/>
    </xf>
    <xf numFmtId="37" fontId="108" fillId="30" borderId="217" xfId="0" applyNumberFormat="1" applyFont="1" applyFill="1" applyBorder="1" applyAlignment="1">
      <alignment horizontal="left"/>
    </xf>
    <xf numFmtId="37" fontId="108" fillId="30" borderId="162" xfId="0" applyNumberFormat="1" applyFont="1" applyFill="1" applyBorder="1" applyAlignment="1">
      <alignment horizontal="left"/>
    </xf>
    <xf numFmtId="37" fontId="108" fillId="30" borderId="161" xfId="0" applyNumberFormat="1" applyFont="1" applyFill="1" applyBorder="1" applyAlignment="1">
      <alignment horizontal="left"/>
    </xf>
    <xf numFmtId="37" fontId="108" fillId="30" borderId="163" xfId="0" applyNumberFormat="1" applyFont="1" applyFill="1" applyBorder="1" applyAlignment="1">
      <alignment horizontal="left"/>
    </xf>
    <xf numFmtId="37" fontId="108" fillId="30" borderId="220" xfId="0" applyNumberFormat="1" applyFont="1" applyFill="1" applyBorder="1" applyAlignment="1">
      <alignment horizontal="left"/>
    </xf>
    <xf numFmtId="37" fontId="108" fillId="30" borderId="221" xfId="0" applyNumberFormat="1" applyFont="1" applyFill="1" applyBorder="1" applyAlignment="1">
      <alignment horizontal="left"/>
    </xf>
    <xf numFmtId="37" fontId="108" fillId="30" borderId="222" xfId="0" applyNumberFormat="1" applyFont="1" applyFill="1" applyBorder="1" applyAlignment="1">
      <alignment horizontal="left"/>
    </xf>
    <xf numFmtId="37" fontId="104" fillId="30" borderId="77" xfId="0" applyNumberFormat="1" applyFont="1" applyFill="1" applyBorder="1" applyAlignment="1">
      <alignment horizontal="left"/>
    </xf>
    <xf numFmtId="37" fontId="104" fillId="30" borderId="79" xfId="0" applyNumberFormat="1" applyFont="1" applyFill="1" applyBorder="1" applyAlignment="1">
      <alignment horizontal="left"/>
    </xf>
    <xf numFmtId="0" fontId="104" fillId="0" borderId="77" xfId="0" applyFont="1" applyBorder="1" applyAlignment="1">
      <alignment horizontal="center"/>
    </xf>
    <xf numFmtId="0" fontId="104" fillId="0" borderId="79" xfId="0" applyFont="1" applyBorder="1" applyAlignment="1">
      <alignment horizontal="center"/>
    </xf>
    <xf numFmtId="0" fontId="104" fillId="0" borderId="78" xfId="0" applyFont="1" applyBorder="1" applyAlignment="1">
      <alignment horizontal="center"/>
    </xf>
    <xf numFmtId="37" fontId="104" fillId="30" borderId="78" xfId="0" applyNumberFormat="1" applyFont="1" applyFill="1" applyBorder="1" applyAlignment="1">
      <alignment horizontal="left"/>
    </xf>
    <xf numFmtId="37" fontId="141" fillId="30" borderId="77" xfId="0" applyNumberFormat="1" applyFont="1" applyFill="1" applyBorder="1" applyAlignment="1">
      <alignment horizontal="left"/>
    </xf>
    <xf numFmtId="37" fontId="141" fillId="30" borderId="78" xfId="0" applyNumberFormat="1" applyFont="1" applyFill="1" applyBorder="1" applyAlignment="1">
      <alignment horizontal="left"/>
    </xf>
    <xf numFmtId="0" fontId="148" fillId="32" borderId="77" xfId="0" applyFont="1" applyFill="1" applyBorder="1" applyAlignment="1">
      <alignment horizontal="left" vertical="top"/>
    </xf>
    <xf numFmtId="0" fontId="148" fillId="32" borderId="78" xfId="0" applyFont="1" applyFill="1" applyBorder="1" applyAlignment="1">
      <alignment horizontal="left" vertical="top"/>
    </xf>
    <xf numFmtId="0" fontId="140" fillId="0" borderId="0" xfId="0" applyFont="1" applyAlignment="1">
      <alignment horizontal="center"/>
    </xf>
    <xf numFmtId="0" fontId="126" fillId="0" borderId="54" xfId="0" applyFont="1" applyBorder="1" applyAlignment="1">
      <alignment wrapText="1"/>
    </xf>
    <xf numFmtId="0" fontId="126" fillId="0" borderId="53" xfId="0" applyFont="1" applyBorder="1" applyAlignment="1">
      <alignment wrapText="1"/>
    </xf>
    <xf numFmtId="0" fontId="126" fillId="0" borderId="170" xfId="0" applyFont="1" applyBorder="1" applyAlignment="1">
      <alignment horizontal="center"/>
    </xf>
    <xf numFmtId="0" fontId="126" fillId="0" borderId="231" xfId="0" applyFont="1" applyBorder="1" applyAlignment="1">
      <alignment horizontal="center"/>
    </xf>
    <xf numFmtId="0" fontId="126" fillId="0" borderId="140" xfId="0" applyFont="1" applyBorder="1" applyAlignment="1">
      <alignment wrapText="1"/>
    </xf>
    <xf numFmtId="0" fontId="126" fillId="0" borderId="15" xfId="0" applyFont="1" applyBorder="1" applyAlignment="1">
      <alignment wrapText="1"/>
    </xf>
    <xf numFmtId="0" fontId="126" fillId="0" borderId="180" xfId="0" applyFont="1" applyBorder="1" applyAlignment="1">
      <alignment wrapText="1"/>
    </xf>
    <xf numFmtId="0" fontId="124" fillId="0" borderId="0" xfId="663" applyFont="1" applyAlignment="1">
      <alignment horizontal="left" wrapText="1"/>
    </xf>
    <xf numFmtId="0" fontId="125" fillId="0" borderId="181" xfId="0" applyFont="1" applyBorder="1" applyAlignment="1">
      <alignment wrapText="1"/>
    </xf>
    <xf numFmtId="0" fontId="125" fillId="0" borderId="53"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5" xfId="0" applyFont="1" applyBorder="1" applyAlignment="1">
      <alignment wrapText="1"/>
    </xf>
    <xf numFmtId="0" fontId="126" fillId="0" borderId="36" xfId="0" applyFont="1" applyBorder="1" applyAlignment="1">
      <alignment wrapText="1"/>
    </xf>
    <xf numFmtId="0" fontId="126" fillId="0" borderId="183" xfId="0" applyFont="1" applyBorder="1" applyAlignment="1">
      <alignment wrapText="1"/>
    </xf>
    <xf numFmtId="0" fontId="124" fillId="0" borderId="54" xfId="0" applyFont="1" applyBorder="1" applyAlignment="1">
      <alignment wrapText="1"/>
    </xf>
    <xf numFmtId="0" fontId="124" fillId="0" borderId="53"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37" xfId="0" applyFont="1" applyBorder="1" applyAlignment="1">
      <alignment horizontal="centerContinuous" wrapText="1"/>
    </xf>
    <xf numFmtId="0" fontId="74" fillId="0" borderId="41" xfId="0" applyFont="1" applyBorder="1" applyAlignment="1">
      <alignment horizontal="centerContinuous" wrapText="1"/>
    </xf>
    <xf numFmtId="0" fontId="74" fillId="0" borderId="42"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74" fillId="30" borderId="77" xfId="0" applyFont="1" applyFill="1" applyBorder="1" applyAlignment="1">
      <alignment horizontal="centerContinuous" wrapText="1"/>
    </xf>
    <xf numFmtId="0" fontId="74" fillId="30" borderId="78"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77" xfId="0" applyFont="1" applyBorder="1" applyAlignment="1">
      <alignment horizontal="left" vertical="top" wrapText="1"/>
    </xf>
    <xf numFmtId="0" fontId="71" fillId="0" borderId="79" xfId="0" applyFont="1" applyBorder="1" applyAlignment="1">
      <alignment horizontal="left" vertical="top" wrapText="1"/>
    </xf>
    <xf numFmtId="0" fontId="71" fillId="0" borderId="78"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39" xfId="181" applyNumberFormat="1" applyFont="1" applyFill="1" applyBorder="1" applyAlignment="1">
      <alignment horizontal="right"/>
    </xf>
    <xf numFmtId="0" fontId="72" fillId="78" borderId="39" xfId="0" applyFont="1" applyFill="1" applyBorder="1"/>
    <xf numFmtId="0" fontId="72" fillId="78" borderId="190" xfId="0" applyFont="1" applyFill="1" applyBorder="1"/>
    <xf numFmtId="166" fontId="72" fillId="36" borderId="80" xfId="0" applyNumberFormat="1" applyFont="1" applyFill="1" applyBorder="1"/>
    <xf numFmtId="166" fontId="72" fillId="36" borderId="179" xfId="0" applyNumberFormat="1" applyFont="1" applyFill="1" applyBorder="1"/>
    <xf numFmtId="166" fontId="72" fillId="36" borderId="175" xfId="0" applyNumberFormat="1" applyFont="1" applyFill="1" applyBorder="1"/>
    <xf numFmtId="166" fontId="105" fillId="32" borderId="20"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0" xfId="0" applyFont="1" applyFill="1" applyBorder="1" applyAlignment="1">
      <alignment horizontal="center"/>
    </xf>
    <xf numFmtId="0" fontId="74" fillId="35" borderId="53" xfId="0" applyFont="1" applyFill="1" applyBorder="1" applyAlignment="1">
      <alignment horizontal="center"/>
    </xf>
    <xf numFmtId="0" fontId="74" fillId="35" borderId="138" xfId="0" applyFont="1" applyFill="1" applyBorder="1" applyAlignment="1">
      <alignment horizontal="center" wrapText="1"/>
    </xf>
    <xf numFmtId="0" fontId="74" fillId="35" borderId="181" xfId="0" applyFont="1" applyFill="1" applyBorder="1" applyAlignment="1">
      <alignment horizontal="center"/>
    </xf>
    <xf numFmtId="0" fontId="74" fillId="35" borderId="135" xfId="0" applyFont="1" applyFill="1" applyBorder="1" applyAlignment="1">
      <alignment horizontal="center" wrapText="1"/>
    </xf>
    <xf numFmtId="0" fontId="74" fillId="35" borderId="11" xfId="0" applyFont="1" applyFill="1" applyBorder="1" applyAlignment="1">
      <alignment horizontal="center"/>
    </xf>
    <xf numFmtId="0" fontId="74" fillId="35" borderId="98" xfId="0" applyFont="1" applyFill="1" applyBorder="1" applyAlignment="1">
      <alignment horizontal="center"/>
    </xf>
    <xf numFmtId="0" fontId="74" fillId="35" borderId="136" xfId="0" applyFont="1" applyFill="1" applyBorder="1" applyAlignment="1">
      <alignment horizontal="center" wrapText="1"/>
    </xf>
    <xf numFmtId="0" fontId="74" fillId="35" borderId="60" xfId="0" applyFont="1" applyFill="1" applyBorder="1" applyAlignment="1">
      <alignment horizontal="center" wrapText="1"/>
    </xf>
    <xf numFmtId="0" fontId="74" fillId="35" borderId="77" xfId="0" applyFont="1" applyFill="1" applyBorder="1" applyAlignment="1">
      <alignment horizontal="center" wrapText="1"/>
    </xf>
    <xf numFmtId="0" fontId="74" fillId="35" borderId="18" xfId="0" applyFont="1" applyFill="1" applyBorder="1" applyAlignment="1">
      <alignment horizontal="center" wrapText="1"/>
    </xf>
    <xf numFmtId="4" fontId="160" fillId="32" borderId="251" xfId="0" applyNumberFormat="1" applyFont="1" applyFill="1" applyBorder="1" applyProtection="1">
      <protection locked="0"/>
    </xf>
    <xf numFmtId="4" fontId="160" fillId="32" borderId="252" xfId="0" applyNumberFormat="1" applyFont="1" applyFill="1" applyBorder="1" applyProtection="1">
      <protection locked="0"/>
    </xf>
    <xf numFmtId="4" fontId="160" fillId="32" borderId="180" xfId="0" applyNumberFormat="1" applyFont="1" applyFill="1" applyBorder="1" applyProtection="1">
      <protection locked="0"/>
    </xf>
    <xf numFmtId="3" fontId="156" fillId="32" borderId="25" xfId="0" applyNumberFormat="1" applyFont="1" applyFill="1" applyBorder="1" applyAlignment="1" applyProtection="1">
      <alignment horizontal="right"/>
      <protection locked="0"/>
    </xf>
    <xf numFmtId="0" fontId="161" fillId="32" borderId="31" xfId="0" applyFont="1" applyFill="1" applyBorder="1" applyAlignment="1" applyProtection="1">
      <alignment horizontal="center"/>
      <protection locked="0"/>
    </xf>
    <xf numFmtId="0" fontId="161" fillId="32" borderId="52" xfId="0" applyFont="1" applyFill="1" applyBorder="1" applyAlignment="1" applyProtection="1">
      <alignment horizontal="center"/>
      <protection locked="0"/>
    </xf>
    <xf numFmtId="0" fontId="161" fillId="32" borderId="224" xfId="0" applyFont="1" applyFill="1" applyBorder="1" applyAlignment="1" applyProtection="1">
      <alignment horizontal="center"/>
      <protection locked="0"/>
    </xf>
    <xf numFmtId="0" fontId="161" fillId="32" borderId="225" xfId="0" applyFont="1" applyFill="1" applyBorder="1" applyAlignment="1" applyProtection="1">
      <alignment horizontal="center"/>
      <protection locked="0"/>
    </xf>
    <xf numFmtId="0" fontId="161" fillId="32" borderId="226" xfId="0" applyFont="1" applyFill="1" applyBorder="1" applyAlignment="1" applyProtection="1">
      <alignment horizontal="center"/>
      <protection locked="0"/>
    </xf>
    <xf numFmtId="0" fontId="161" fillId="32" borderId="227" xfId="0" applyFont="1" applyFill="1" applyBorder="1" applyAlignment="1" applyProtection="1">
      <alignment horizontal="center"/>
      <protection locked="0"/>
    </xf>
    <xf numFmtId="0" fontId="161" fillId="32" borderId="180" xfId="0" applyFont="1" applyFill="1" applyBorder="1" applyAlignment="1" applyProtection="1">
      <alignment horizontal="center"/>
      <protection locked="0"/>
    </xf>
    <xf numFmtId="0" fontId="161" fillId="32" borderId="171" xfId="0" applyFont="1" applyFill="1" applyBorder="1" applyAlignment="1" applyProtection="1">
      <alignment horizontal="center"/>
      <protection locked="0"/>
    </xf>
    <xf numFmtId="0" fontId="72" fillId="29" borderId="77" xfId="0" applyFont="1" applyFill="1" applyBorder="1"/>
    <xf numFmtId="0" fontId="72" fillId="29" borderId="78" xfId="0" applyFont="1" applyFill="1" applyBorder="1"/>
    <xf numFmtId="0" fontId="72" fillId="34" borderId="77" xfId="0" applyFont="1" applyFill="1" applyBorder="1"/>
    <xf numFmtId="0" fontId="72" fillId="34" borderId="78" xfId="0" applyFont="1" applyFill="1" applyBorder="1"/>
    <xf numFmtId="0" fontId="72" fillId="34" borderId="77" xfId="0" applyFont="1" applyFill="1" applyBorder="1" applyAlignment="1">
      <alignment horizontal="center"/>
    </xf>
    <xf numFmtId="0" fontId="72" fillId="34" borderId="78" xfId="0" applyFont="1" applyFill="1" applyBorder="1" applyAlignment="1">
      <alignment horizontal="center"/>
    </xf>
    <xf numFmtId="0" fontId="108" fillId="73" borderId="18" xfId="0" applyFont="1" applyFill="1" applyBorder="1"/>
    <xf numFmtId="0" fontId="108" fillId="73" borderId="78" xfId="0" applyFont="1" applyFill="1" applyBorder="1"/>
    <xf numFmtId="0" fontId="104" fillId="30" borderId="77" xfId="0" applyFont="1" applyFill="1" applyBorder="1" applyAlignment="1">
      <alignment horizontal="centerContinuous"/>
    </xf>
    <xf numFmtId="0" fontId="104" fillId="30" borderId="78" xfId="0" applyFont="1" applyFill="1" applyBorder="1" applyAlignment="1">
      <alignment horizontal="centerContinuous"/>
    </xf>
    <xf numFmtId="37" fontId="104" fillId="30" borderId="77" xfId="0" applyNumberFormat="1" applyFont="1" applyFill="1" applyBorder="1" applyAlignment="1">
      <alignment horizontal="centerContinuous"/>
    </xf>
    <xf numFmtId="37" fontId="104" fillId="30" borderId="78" xfId="0" applyNumberFormat="1" applyFont="1" applyFill="1" applyBorder="1" applyAlignment="1">
      <alignment horizontal="centerContinuous"/>
    </xf>
    <xf numFmtId="0" fontId="162" fillId="0" borderId="224" xfId="0" applyFont="1" applyBorder="1"/>
    <xf numFmtId="0" fontId="126" fillId="0" borderId="187" xfId="0" applyFont="1" applyBorder="1" applyAlignment="1">
      <alignment horizontal="centerContinuous" wrapText="1"/>
    </xf>
    <xf numFmtId="0" fontId="126" fillId="0" borderId="173" xfId="0" applyFont="1" applyBorder="1" applyAlignment="1">
      <alignment horizontal="centerContinuous" wrapText="1"/>
    </xf>
    <xf numFmtId="0" fontId="126" fillId="0" borderId="188" xfId="0" applyFont="1" applyBorder="1" applyAlignment="1">
      <alignment horizontal="centerContinuous" wrapText="1"/>
    </xf>
    <xf numFmtId="0" fontId="126" fillId="0" borderId="49" xfId="0" applyFont="1" applyBorder="1" applyAlignment="1">
      <alignment horizontal="centerContinuous" wrapText="1"/>
    </xf>
    <xf numFmtId="0" fontId="126" fillId="0" borderId="50" xfId="0" applyFont="1" applyBorder="1" applyAlignment="1">
      <alignment horizontal="centerContinuous" wrapText="1"/>
    </xf>
    <xf numFmtId="0" fontId="126" fillId="0" borderId="51" xfId="0" applyFont="1" applyBorder="1" applyAlignment="1">
      <alignment horizontal="centerContinuous" wrapText="1"/>
    </xf>
    <xf numFmtId="0" fontId="126" fillId="0" borderId="47" xfId="0" applyFont="1" applyBorder="1" applyAlignment="1">
      <alignment horizontal="centerContinuous" wrapText="1"/>
    </xf>
    <xf numFmtId="0" fontId="126" fillId="0" borderId="80" xfId="0" applyFont="1" applyBorder="1" applyAlignment="1">
      <alignment horizontal="centerContinuous" wrapText="1"/>
    </xf>
    <xf numFmtId="0" fontId="126" fillId="0" borderId="52" xfId="0" applyFont="1" applyBorder="1" applyAlignment="1">
      <alignment horizontal="centerContinuous" wrapText="1"/>
    </xf>
    <xf numFmtId="0" fontId="126" fillId="0" borderId="185" xfId="0" applyFont="1" applyBorder="1" applyAlignment="1">
      <alignment horizontal="centerContinuous" wrapText="1"/>
    </xf>
    <xf numFmtId="0" fontId="140" fillId="0" borderId="55" xfId="663" applyFont="1" applyBorder="1" applyAlignment="1">
      <alignment horizontal="centerContinuous"/>
    </xf>
    <xf numFmtId="0" fontId="140" fillId="0" borderId="56"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46" xfId="663" applyFont="1" applyBorder="1" applyAlignment="1">
      <alignment horizontal="centerContinuous"/>
    </xf>
    <xf numFmtId="0" fontId="75" fillId="0" borderId="221" xfId="663" applyFont="1" applyBorder="1" applyAlignment="1">
      <alignment horizontal="centerContinuous"/>
    </xf>
    <xf numFmtId="0" fontId="75" fillId="0" borderId="247" xfId="663" applyFont="1" applyBorder="1" applyAlignment="1">
      <alignment horizontal="centerContinuous"/>
    </xf>
    <xf numFmtId="0" fontId="75" fillId="0" borderId="36" xfId="663" applyFont="1" applyBorder="1" applyAlignment="1">
      <alignment horizontal="centerContinuous"/>
    </xf>
    <xf numFmtId="9" fontId="72" fillId="0" borderId="221" xfId="663" applyNumberFormat="1" applyFont="1" applyBorder="1" applyAlignment="1">
      <alignment horizontal="centerContinuous"/>
    </xf>
    <xf numFmtId="0" fontId="72" fillId="0" borderId="247" xfId="663" applyFont="1" applyBorder="1" applyAlignment="1">
      <alignment horizontal="centerContinuous"/>
    </xf>
    <xf numFmtId="0" fontId="75" fillId="0" borderId="109" xfId="663" applyFont="1" applyBorder="1" applyAlignment="1">
      <alignment horizontal="centerContinuous"/>
    </xf>
    <xf numFmtId="0" fontId="125" fillId="0" borderId="0" xfId="0" applyFont="1" applyAlignment="1">
      <alignment horizontal="centerContinuous"/>
    </xf>
    <xf numFmtId="0" fontId="106" fillId="0" borderId="251" xfId="0" applyFont="1" applyBorder="1" applyAlignment="1">
      <alignment horizontal="center"/>
    </xf>
    <xf numFmtId="3" fontId="158" fillId="32" borderId="251" xfId="0" applyNumberFormat="1" applyFont="1" applyFill="1" applyBorder="1" applyProtection="1">
      <protection locked="0"/>
    </xf>
    <xf numFmtId="3" fontId="106" fillId="0" borderId="251" xfId="0" applyNumberFormat="1" applyFont="1" applyBorder="1"/>
    <xf numFmtId="37" fontId="106" fillId="0" borderId="158" xfId="0" applyNumberFormat="1" applyFont="1" applyBorder="1"/>
    <xf numFmtId="0" fontId="72" fillId="32" borderId="251" xfId="495" applyFont="1" applyFill="1" applyBorder="1" applyAlignment="1">
      <alignment horizontal="center" wrapText="1"/>
    </xf>
    <xf numFmtId="3" fontId="72" fillId="32" borderId="251"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77" xfId="0" applyNumberFormat="1" applyFont="1" applyBorder="1" applyAlignment="1">
      <alignment horizontal="left"/>
    </xf>
    <xf numFmtId="49" fontId="71" fillId="0" borderId="79" xfId="0" applyNumberFormat="1" applyFont="1" applyBorder="1" applyAlignment="1">
      <alignment horizontal="left"/>
    </xf>
    <xf numFmtId="49" fontId="71" fillId="0" borderId="78" xfId="0" applyNumberFormat="1" applyFont="1" applyBorder="1" applyAlignment="1">
      <alignment horizontal="left"/>
    </xf>
    <xf numFmtId="0" fontId="74" fillId="0" borderId="79" xfId="0" applyFont="1" applyBorder="1" applyAlignment="1">
      <alignment horizontal="center"/>
    </xf>
    <xf numFmtId="0" fontId="74" fillId="0" borderId="78" xfId="0" applyFont="1" applyBorder="1" applyAlignment="1">
      <alignment horizontal="center"/>
    </xf>
    <xf numFmtId="0" fontId="74" fillId="0" borderId="0" xfId="17654" applyFont="1" applyAlignment="1">
      <alignment horizontal="left"/>
    </xf>
    <xf numFmtId="0" fontId="154" fillId="32" borderId="0" xfId="17654" applyFont="1" applyFill="1" applyAlignment="1">
      <alignment horizontal="left"/>
    </xf>
    <xf numFmtId="0" fontId="74" fillId="0" borderId="44" xfId="0" applyFont="1" applyBorder="1" applyAlignment="1">
      <alignment horizontal="center"/>
    </xf>
    <xf numFmtId="0" fontId="74" fillId="0" borderId="45" xfId="0" applyFont="1" applyBorder="1" applyAlignment="1">
      <alignment horizontal="center"/>
    </xf>
    <xf numFmtId="0" fontId="74" fillId="0" borderId="46" xfId="0" applyFont="1" applyBorder="1" applyAlignment="1">
      <alignment horizontal="center"/>
    </xf>
    <xf numFmtId="0" fontId="74" fillId="0" borderId="80" xfId="0" applyFont="1" applyBorder="1" applyAlignment="1">
      <alignment horizontal="center" wrapText="1"/>
    </xf>
    <xf numFmtId="0" fontId="74" fillId="0" borderId="79" xfId="0" applyFont="1" applyBorder="1" applyAlignment="1">
      <alignment horizontal="center" wrapText="1"/>
    </xf>
    <xf numFmtId="0" fontId="74" fillId="0" borderId="47" xfId="0" applyFont="1" applyBorder="1" applyAlignment="1">
      <alignment horizontal="center"/>
    </xf>
    <xf numFmtId="0" fontId="73" fillId="0" borderId="77" xfId="0" applyFont="1" applyBorder="1" applyAlignment="1">
      <alignment horizontal="center" wrapText="1"/>
    </xf>
    <xf numFmtId="0" fontId="73" fillId="0" borderId="78" xfId="0" applyFont="1" applyBorder="1" applyAlignment="1">
      <alignment horizontal="center" wrapText="1"/>
    </xf>
    <xf numFmtId="0" fontId="71" fillId="0" borderId="77" xfId="0" applyFont="1" applyBorder="1" applyAlignment="1">
      <alignment horizontal="left"/>
    </xf>
    <xf numFmtId="0" fontId="71" fillId="0" borderId="79" xfId="0" applyFont="1" applyBorder="1" applyAlignment="1">
      <alignment horizontal="left"/>
    </xf>
    <xf numFmtId="0" fontId="71" fillId="0" borderId="78"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79"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31" xfId="0" applyNumberFormat="1" applyFont="1" applyFill="1" applyBorder="1"/>
    <xf numFmtId="169" fontId="72" fillId="32" borderId="218" xfId="0" applyNumberFormat="1" applyFont="1" applyFill="1" applyBorder="1"/>
    <xf numFmtId="169" fontId="72" fillId="32" borderId="241" xfId="0" applyNumberFormat="1" applyFont="1" applyFill="1" applyBorder="1"/>
    <xf numFmtId="172" fontId="100" fillId="0" borderId="10" xfId="0" applyNumberFormat="1" applyFont="1" applyBorder="1" applyAlignment="1">
      <alignment horizontal="right"/>
    </xf>
    <xf numFmtId="0" fontId="72" fillId="0" borderId="251" xfId="0" applyFont="1" applyBorder="1"/>
    <xf numFmtId="0" fontId="103" fillId="0" borderId="77" xfId="0" applyFont="1" applyBorder="1" applyAlignment="1">
      <alignment horizontal="centerContinuous" wrapText="1"/>
    </xf>
    <xf numFmtId="0" fontId="103" fillId="0" borderId="79" xfId="0" applyFont="1" applyBorder="1" applyAlignment="1">
      <alignment horizontal="centerContinuous" wrapText="1"/>
    </xf>
    <xf numFmtId="0" fontId="103" fillId="0" borderId="78" xfId="0" applyFont="1" applyBorder="1" applyAlignment="1">
      <alignment horizontal="centerContinuous" wrapText="1"/>
    </xf>
    <xf numFmtId="0" fontId="74" fillId="0" borderId="77" xfId="0" applyFont="1" applyBorder="1" applyAlignment="1">
      <alignment horizontal="centerContinuous" wrapText="1"/>
    </xf>
    <xf numFmtId="0" fontId="74" fillId="0" borderId="79" xfId="0" applyFont="1" applyBorder="1" applyAlignment="1">
      <alignment horizontal="centerContinuous" wrapText="1"/>
    </xf>
    <xf numFmtId="0" fontId="74" fillId="0" borderId="78" xfId="0" applyFont="1" applyBorder="1" applyAlignment="1">
      <alignment horizontal="centerContinuous" wrapText="1"/>
    </xf>
    <xf numFmtId="0" fontId="104" fillId="0" borderId="43" xfId="0" applyFont="1" applyBorder="1" applyAlignment="1">
      <alignment horizontal="center" wrapText="1"/>
    </xf>
    <xf numFmtId="0" fontId="104" fillId="0" borderId="25" xfId="0" applyFont="1" applyBorder="1" applyAlignment="1">
      <alignment horizontal="center" wrapText="1"/>
    </xf>
    <xf numFmtId="0" fontId="74" fillId="0" borderId="80" xfId="0" applyFont="1" applyBorder="1" applyAlignment="1">
      <alignment horizontal="center"/>
    </xf>
    <xf numFmtId="0" fontId="79" fillId="31" borderId="0" xfId="0" applyFont="1" applyFill="1" applyAlignment="1">
      <alignment horizontal="centerContinuous" wrapText="1"/>
    </xf>
    <xf numFmtId="0" fontId="104" fillId="0" borderId="77" xfId="0" applyFont="1" applyBorder="1" applyAlignment="1">
      <alignment horizontal="centerContinuous"/>
    </xf>
    <xf numFmtId="0" fontId="104" fillId="0" borderId="79" xfId="0" applyFont="1" applyBorder="1" applyAlignment="1">
      <alignment horizontal="centerContinuous"/>
    </xf>
    <xf numFmtId="0" fontId="104" fillId="0" borderId="78"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77" xfId="0" applyFont="1" applyBorder="1" applyAlignment="1">
      <alignment horizontal="centerContinuous"/>
    </xf>
    <xf numFmtId="0" fontId="103" fillId="0" borderId="79" xfId="0" applyFont="1" applyBorder="1" applyAlignment="1">
      <alignment horizontal="centerContinuous"/>
    </xf>
    <xf numFmtId="0" fontId="103" fillId="0" borderId="78" xfId="0" applyFont="1" applyBorder="1" applyAlignment="1">
      <alignment horizontal="centerContinuous"/>
    </xf>
    <xf numFmtId="166" fontId="72" fillId="70" borderId="46" xfId="0" applyNumberFormat="1" applyFont="1" applyFill="1" applyBorder="1"/>
    <xf numFmtId="3" fontId="72" fillId="0" borderId="32" xfId="0" applyNumberFormat="1" applyFont="1" applyBorder="1"/>
    <xf numFmtId="37" fontId="173" fillId="32" borderId="258" xfId="0" applyNumberFormat="1" applyFont="1" applyFill="1" applyBorder="1" applyProtection="1">
      <protection locked="0"/>
    </xf>
    <xf numFmtId="0" fontId="106" fillId="0" borderId="224" xfId="0" applyFont="1" applyBorder="1" applyAlignment="1">
      <alignment horizontal="centerContinuous" wrapText="1"/>
    </xf>
    <xf numFmtId="0" fontId="106" fillId="0" borderId="225" xfId="0" applyFont="1" applyBorder="1" applyAlignment="1">
      <alignment horizontal="centerContinuous"/>
    </xf>
    <xf numFmtId="49" fontId="106" fillId="32" borderId="77" xfId="0" applyNumberFormat="1" applyFont="1" applyFill="1" applyBorder="1" applyAlignment="1" applyProtection="1">
      <alignment horizontal="centerContinuous" vertical="top" wrapText="1"/>
      <protection locked="0"/>
    </xf>
    <xf numFmtId="49" fontId="106" fillId="32" borderId="79" xfId="0" applyNumberFormat="1" applyFont="1" applyFill="1" applyBorder="1" applyAlignment="1" applyProtection="1">
      <alignment horizontal="centerContinuous" vertical="top" wrapText="1"/>
      <protection locked="0"/>
    </xf>
    <xf numFmtId="49" fontId="106" fillId="32" borderId="78" xfId="0" applyNumberFormat="1" applyFont="1" applyFill="1" applyBorder="1" applyAlignment="1" applyProtection="1">
      <alignment horizontal="centerContinuous" vertical="top" wrapText="1"/>
      <protection locked="0"/>
    </xf>
    <xf numFmtId="49" fontId="72" fillId="32" borderId="259" xfId="0" applyNumberFormat="1" applyFont="1" applyFill="1" applyBorder="1" applyAlignment="1" applyProtection="1">
      <alignment horizontal="centerContinuous" vertical="top" wrapText="1"/>
      <protection locked="0"/>
    </xf>
    <xf numFmtId="49" fontId="72" fillId="32" borderId="260" xfId="0" applyNumberFormat="1" applyFont="1" applyFill="1" applyBorder="1" applyAlignment="1" applyProtection="1">
      <alignment horizontal="centerContinuous" vertical="top" wrapText="1"/>
      <protection locked="0"/>
    </xf>
    <xf numFmtId="49" fontId="72" fillId="32" borderId="261" xfId="0" applyNumberFormat="1" applyFont="1" applyFill="1" applyBorder="1" applyAlignment="1" applyProtection="1">
      <alignment horizontal="centerContinuous" vertical="top" wrapText="1"/>
      <protection locked="0"/>
    </xf>
    <xf numFmtId="0" fontId="72" fillId="32" borderId="262" xfId="0" applyFont="1" applyFill="1" applyBorder="1" applyAlignment="1" applyProtection="1">
      <alignment horizontal="centerContinuous" vertical="top" wrapText="1"/>
      <protection locked="0"/>
    </xf>
    <xf numFmtId="0" fontId="72" fillId="32" borderId="263" xfId="0" applyFont="1" applyFill="1" applyBorder="1" applyAlignment="1" applyProtection="1">
      <alignment horizontal="centerContinuous" vertical="top" wrapText="1"/>
      <protection locked="0"/>
    </xf>
    <xf numFmtId="0" fontId="72" fillId="32" borderId="264" xfId="0" applyFont="1" applyFill="1" applyBorder="1" applyAlignment="1" applyProtection="1">
      <alignment horizontal="centerContinuous" vertical="top" wrapText="1"/>
      <protection locked="0"/>
    </xf>
    <xf numFmtId="49" fontId="106" fillId="32" borderId="34" xfId="0" applyNumberFormat="1" applyFont="1" applyFill="1" applyBorder="1" applyAlignment="1" applyProtection="1">
      <alignment horizontal="centerContinuous" vertical="top" wrapText="1"/>
      <protection locked="0"/>
    </xf>
    <xf numFmtId="49" fontId="106" fillId="32" borderId="48" xfId="0" applyNumberFormat="1" applyFont="1" applyFill="1" applyBorder="1" applyAlignment="1" applyProtection="1">
      <alignment horizontal="centerContinuous" vertical="top" wrapText="1"/>
      <protection locked="0"/>
    </xf>
    <xf numFmtId="49" fontId="106" fillId="32" borderId="57"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54" xfId="0" applyNumberFormat="1" applyFont="1" applyBorder="1"/>
    <xf numFmtId="37" fontId="106" fillId="0" borderId="255" xfId="0" applyNumberFormat="1" applyFont="1" applyBorder="1"/>
    <xf numFmtId="37" fontId="106" fillId="0" borderId="256" xfId="0" applyNumberFormat="1" applyFont="1" applyBorder="1"/>
    <xf numFmtId="37" fontId="106" fillId="0" borderId="257" xfId="0" applyNumberFormat="1" applyFont="1" applyBorder="1"/>
    <xf numFmtId="172" fontId="106" fillId="0" borderId="251" xfId="0" applyNumberFormat="1" applyFont="1" applyBorder="1" applyAlignment="1">
      <alignment horizontal="center"/>
    </xf>
    <xf numFmtId="0" fontId="178" fillId="79" borderId="0" xfId="0" applyFont="1" applyFill="1" applyAlignment="1">
      <alignment horizontal="centerContinuous"/>
    </xf>
    <xf numFmtId="0" fontId="104" fillId="0" borderId="18" xfId="0" applyFont="1" applyBorder="1" applyAlignment="1">
      <alignment horizontal="centerContinuous" wrapText="1"/>
    </xf>
    <xf numFmtId="5" fontId="72" fillId="32" borderId="30" xfId="181" applyNumberFormat="1" applyFont="1" applyFill="1" applyBorder="1" applyAlignment="1">
      <alignment horizontal="right"/>
    </xf>
    <xf numFmtId="165" fontId="72" fillId="32" borderId="251" xfId="181" applyNumberFormat="1" applyFont="1" applyFill="1" applyBorder="1" applyAlignment="1">
      <alignment horizontal="right"/>
    </xf>
    <xf numFmtId="165" fontId="72" fillId="32" borderId="265" xfId="181" applyNumberFormat="1" applyFont="1" applyFill="1" applyBorder="1" applyAlignment="1">
      <alignment horizontal="right"/>
    </xf>
    <xf numFmtId="0" fontId="163" fillId="0" borderId="0" xfId="0" applyFont="1" applyAlignment="1">
      <alignment horizontal="left"/>
    </xf>
    <xf numFmtId="0" fontId="107" fillId="0" borderId="77" xfId="0" applyFont="1" applyBorder="1" applyAlignment="1">
      <alignment horizontal="center" wrapText="1"/>
    </xf>
    <xf numFmtId="5" fontId="72" fillId="32" borderId="266" xfId="181" applyNumberFormat="1" applyFont="1" applyFill="1" applyBorder="1" applyAlignment="1">
      <alignment horizontal="right"/>
    </xf>
    <xf numFmtId="169" fontId="151" fillId="0" borderId="44" xfId="0" applyNumberFormat="1" applyFont="1" applyBorder="1"/>
    <xf numFmtId="171" fontId="151" fillId="0" borderId="46" xfId="0" applyNumberFormat="1" applyFont="1" applyBorder="1"/>
    <xf numFmtId="169" fontId="151" fillId="0" borderId="239" xfId="0" applyNumberFormat="1" applyFont="1" applyBorder="1"/>
    <xf numFmtId="171" fontId="151" fillId="0" borderId="238" xfId="0" applyNumberFormat="1" applyFont="1" applyBorder="1"/>
    <xf numFmtId="169" fontId="151" fillId="0" borderId="240" xfId="0" applyNumberFormat="1" applyFont="1" applyBorder="1"/>
    <xf numFmtId="171" fontId="151" fillId="0" borderId="242" xfId="0" applyNumberFormat="1" applyFont="1" applyBorder="1"/>
    <xf numFmtId="0" fontId="74" fillId="0" borderId="25" xfId="0" applyFont="1" applyBorder="1" applyAlignment="1">
      <alignment horizontal="center" wrapText="1"/>
    </xf>
    <xf numFmtId="0" fontId="72" fillId="0" borderId="43" xfId="0" applyFont="1" applyBorder="1"/>
    <xf numFmtId="3" fontId="72" fillId="36" borderId="251" xfId="0" applyNumberFormat="1" applyFont="1" applyFill="1" applyBorder="1" applyAlignment="1">
      <alignment horizontal="right"/>
    </xf>
    <xf numFmtId="0" fontId="176" fillId="32" borderId="251"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0" fontId="74" fillId="0" borderId="58" xfId="0" quotePrefix="1" applyFont="1" applyBorder="1" applyAlignment="1">
      <alignment horizontal="center"/>
    </xf>
    <xf numFmtId="37" fontId="74" fillId="0" borderId="58" xfId="0" applyNumberFormat="1" applyFont="1" applyBorder="1"/>
    <xf numFmtId="0" fontId="161" fillId="32" borderId="31" xfId="0" applyFont="1" applyFill="1" applyBorder="1" applyAlignment="1" applyProtection="1">
      <alignment horizontal="centerContinuous"/>
      <protection locked="0"/>
    </xf>
    <xf numFmtId="0" fontId="161" fillId="32" borderId="52"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73" xfId="182" applyNumberFormat="1" applyFont="1" applyFill="1" applyBorder="1" applyProtection="1">
      <protection locked="0"/>
    </xf>
    <xf numFmtId="0" fontId="180" fillId="0" borderId="0" xfId="0" applyFont="1"/>
    <xf numFmtId="0" fontId="72" fillId="78" borderId="39" xfId="0" applyFont="1" applyFill="1" applyBorder="1" applyAlignment="1">
      <alignment wrapText="1"/>
    </xf>
    <xf numFmtId="0" fontId="105" fillId="0" borderId="267" xfId="0" applyFont="1" applyBorder="1"/>
    <xf numFmtId="0" fontId="105" fillId="0" borderId="267" xfId="0" applyFont="1" applyBorder="1" applyAlignment="1">
      <alignment horizontal="left" wrapText="1"/>
    </xf>
    <xf numFmtId="3" fontId="105" fillId="0" borderId="267" xfId="0" applyNumberFormat="1" applyFont="1" applyBorder="1" applyAlignment="1">
      <alignment horizontal="right" wrapText="1"/>
    </xf>
    <xf numFmtId="3" fontId="105" fillId="36" borderId="267" xfId="0" applyNumberFormat="1" applyFont="1" applyFill="1" applyBorder="1" applyAlignment="1">
      <alignment horizontal="right" wrapText="1"/>
    </xf>
    <xf numFmtId="0" fontId="72" fillId="78" borderId="268" xfId="0" applyFont="1" applyFill="1" applyBorder="1" applyAlignment="1">
      <alignment wrapText="1"/>
    </xf>
    <xf numFmtId="0" fontId="72" fillId="32" borderId="267" xfId="495" applyFont="1" applyFill="1" applyBorder="1" applyAlignment="1">
      <alignment horizontal="center" wrapText="1"/>
    </xf>
    <xf numFmtId="3" fontId="72" fillId="32" borderId="267" xfId="181" applyNumberFormat="1" applyFont="1" applyFill="1" applyBorder="1"/>
    <xf numFmtId="3" fontId="72" fillId="36" borderId="267" xfId="0" applyNumberFormat="1" applyFont="1" applyFill="1" applyBorder="1" applyAlignment="1">
      <alignment horizontal="right"/>
    </xf>
    <xf numFmtId="3" fontId="151" fillId="32" borderId="218" xfId="0" applyNumberFormat="1" applyFont="1" applyFill="1" applyBorder="1"/>
    <xf numFmtId="4" fontId="78" fillId="0" borderId="25" xfId="181" applyNumberFormat="1" applyFont="1" applyBorder="1" applyProtection="1"/>
    <xf numFmtId="0" fontId="74" fillId="71" borderId="251" xfId="0" applyFont="1" applyFill="1" applyBorder="1"/>
    <xf numFmtId="4" fontId="72" fillId="0" borderId="251" xfId="181" applyNumberFormat="1" applyFont="1" applyBorder="1" applyProtection="1"/>
    <xf numFmtId="0" fontId="72" fillId="0" borderId="25" xfId="0" applyFont="1" applyBorder="1" applyAlignment="1">
      <alignment horizontal="center"/>
    </xf>
    <xf numFmtId="3" fontId="156" fillId="32" borderId="267" xfId="0" applyNumberFormat="1" applyFont="1" applyFill="1" applyBorder="1" applyAlignment="1" applyProtection="1">
      <alignment horizontal="right"/>
      <protection locked="0"/>
    </xf>
    <xf numFmtId="0" fontId="72" fillId="0" borderId="251" xfId="0" applyFont="1" applyBorder="1" applyAlignment="1">
      <alignment horizontal="center"/>
    </xf>
    <xf numFmtId="3" fontId="156" fillId="32" borderId="251" xfId="0" applyNumberFormat="1" applyFont="1" applyFill="1" applyBorder="1" applyAlignment="1" applyProtection="1">
      <alignment horizontal="right"/>
      <protection locked="0"/>
    </xf>
    <xf numFmtId="4" fontId="72" fillId="0" borderId="251" xfId="0" applyNumberFormat="1" applyFont="1" applyBorder="1"/>
    <xf numFmtId="3" fontId="72" fillId="0" borderId="251" xfId="0" applyNumberFormat="1" applyFont="1" applyBorder="1"/>
    <xf numFmtId="0" fontId="100" fillId="0" borderId="15" xfId="0" applyFont="1" applyBorder="1"/>
    <xf numFmtId="3" fontId="157" fillId="32" borderId="21" xfId="0" applyNumberFormat="1" applyFont="1" applyFill="1" applyBorder="1" applyProtection="1">
      <protection locked="0"/>
    </xf>
    <xf numFmtId="0" fontId="100" fillId="0" borderId="251" xfId="0" applyFont="1" applyBorder="1"/>
    <xf numFmtId="0" fontId="100" fillId="0" borderId="224" xfId="0" applyFont="1" applyBorder="1" applyAlignment="1">
      <alignment horizontal="center"/>
    </xf>
    <xf numFmtId="3" fontId="157" fillId="32" borderId="251" xfId="0" applyNumberFormat="1" applyFont="1" applyFill="1" applyBorder="1" applyProtection="1">
      <protection locked="0"/>
    </xf>
    <xf numFmtId="2" fontId="160" fillId="32" borderId="25" xfId="0" applyNumberFormat="1" applyFont="1" applyFill="1" applyBorder="1" applyProtection="1">
      <protection locked="0"/>
    </xf>
    <xf numFmtId="2" fontId="74" fillId="71" borderId="267" xfId="0" applyNumberFormat="1" applyFont="1" applyFill="1" applyBorder="1"/>
    <xf numFmtId="172" fontId="129" fillId="0" borderId="10" xfId="0" applyNumberFormat="1" applyFont="1" applyBorder="1"/>
    <xf numFmtId="4" fontId="18" fillId="0" borderId="268" xfId="0" applyNumberFormat="1" applyFont="1" applyBorder="1" applyAlignment="1">
      <alignment horizontal="center" wrapText="1"/>
    </xf>
    <xf numFmtId="0" fontId="163" fillId="32" borderId="268" xfId="0" applyFont="1" applyFill="1" applyBorder="1" applyAlignment="1">
      <alignment horizontal="left"/>
    </xf>
    <xf numFmtId="5" fontId="72" fillId="32" borderId="269" xfId="181" applyNumberFormat="1" applyFont="1" applyFill="1" applyBorder="1" applyAlignment="1">
      <alignment horizontal="right"/>
    </xf>
    <xf numFmtId="165" fontId="72" fillId="32" borderId="269" xfId="181" applyNumberFormat="1" applyFont="1" applyFill="1" applyBorder="1" applyAlignment="1">
      <alignment horizontal="right"/>
    </xf>
    <xf numFmtId="0" fontId="72" fillId="32" borderId="270" xfId="495" applyFont="1" applyFill="1" applyBorder="1" applyAlignment="1">
      <alignment horizontal="center" wrapText="1"/>
    </xf>
    <xf numFmtId="0" fontId="72" fillId="78" borderId="271" xfId="0" applyFont="1" applyFill="1" applyBorder="1"/>
    <xf numFmtId="0" fontId="72" fillId="0" borderId="268" xfId="0" applyFont="1" applyBorder="1"/>
    <xf numFmtId="3" fontId="72" fillId="32" borderId="267" xfId="0" applyNumberFormat="1" applyFont="1" applyFill="1" applyBorder="1"/>
    <xf numFmtId="168" fontId="105" fillId="32" borderId="267" xfId="0" applyNumberFormat="1" applyFont="1" applyFill="1" applyBorder="1"/>
    <xf numFmtId="0" fontId="74" fillId="0" borderId="267" xfId="0" applyFont="1" applyBorder="1" applyAlignment="1">
      <alignment horizontal="center" wrapText="1"/>
    </xf>
    <xf numFmtId="0" fontId="74" fillId="0" borderId="252" xfId="0" applyFont="1" applyBorder="1" applyAlignment="1">
      <alignment horizontal="center"/>
    </xf>
    <xf numFmtId="3" fontId="74" fillId="0" borderId="265" xfId="0" applyNumberFormat="1" applyFont="1" applyBorder="1" applyAlignment="1">
      <alignment horizontal="center"/>
    </xf>
    <xf numFmtId="3" fontId="74" fillId="70" borderId="268" xfId="0" applyNumberFormat="1" applyFont="1" applyFill="1" applyBorder="1"/>
    <xf numFmtId="3" fontId="74" fillId="0" borderId="267" xfId="0" applyNumberFormat="1" applyFont="1" applyBorder="1" applyAlignment="1">
      <alignment horizontal="center"/>
    </xf>
    <xf numFmtId="166" fontId="72" fillId="36" borderId="253" xfId="0" applyNumberFormat="1" applyFont="1" applyFill="1" applyBorder="1"/>
    <xf numFmtId="166" fontId="72" fillId="36" borderId="266" xfId="0" applyNumberFormat="1" applyFont="1" applyFill="1" applyBorder="1"/>
    <xf numFmtId="0" fontId="72" fillId="0" borderId="266" xfId="0" applyFont="1" applyBorder="1"/>
    <xf numFmtId="166" fontId="72" fillId="69" borderId="238" xfId="0" applyNumberFormat="1" applyFont="1" applyFill="1" applyBorder="1"/>
    <xf numFmtId="166" fontId="72" fillId="32" borderId="238" xfId="0" applyNumberFormat="1" applyFont="1" applyFill="1" applyBorder="1"/>
    <xf numFmtId="166" fontId="72" fillId="36" borderId="225" xfId="0" applyNumberFormat="1" applyFont="1" applyFill="1" applyBorder="1"/>
    <xf numFmtId="166" fontId="72" fillId="36" borderId="251" xfId="0" applyNumberFormat="1" applyFont="1" applyFill="1" applyBorder="1"/>
    <xf numFmtId="171" fontId="72" fillId="32" borderId="238" xfId="182" applyNumberFormat="1" applyFont="1" applyFill="1" applyBorder="1"/>
    <xf numFmtId="169" fontId="78" fillId="32" borderId="251" xfId="17654" applyNumberFormat="1" applyFont="1" applyFill="1" applyBorder="1"/>
    <xf numFmtId="166" fontId="72" fillId="36" borderId="224" xfId="0" applyNumberFormat="1" applyFont="1" applyFill="1" applyBorder="1"/>
    <xf numFmtId="166" fontId="72" fillId="32" borderId="251" xfId="182" applyNumberFormat="1" applyFont="1" applyFill="1" applyBorder="1"/>
    <xf numFmtId="166" fontId="78" fillId="32" borderId="251" xfId="17654" applyNumberFormat="1" applyFont="1" applyFill="1" applyBorder="1"/>
    <xf numFmtId="0" fontId="72" fillId="0" borderId="265" xfId="0" applyFont="1" applyBorder="1"/>
    <xf numFmtId="166" fontId="72" fillId="36" borderId="227" xfId="0" applyNumberFormat="1" applyFont="1" applyFill="1" applyBorder="1"/>
    <xf numFmtId="166" fontId="72" fillId="36" borderId="265" xfId="0" applyNumberFormat="1" applyFont="1" applyFill="1" applyBorder="1"/>
    <xf numFmtId="171" fontId="72" fillId="32" borderId="242" xfId="182" applyNumberFormat="1" applyFont="1" applyFill="1" applyBorder="1"/>
    <xf numFmtId="166" fontId="72" fillId="36" borderId="272" xfId="0" applyNumberFormat="1" applyFont="1" applyFill="1" applyBorder="1"/>
    <xf numFmtId="166" fontId="72" fillId="32" borderId="265" xfId="182" applyNumberFormat="1" applyFont="1" applyFill="1" applyBorder="1"/>
    <xf numFmtId="166" fontId="78" fillId="32" borderId="252" xfId="17654" applyNumberFormat="1" applyFont="1" applyFill="1" applyBorder="1"/>
    <xf numFmtId="166" fontId="105" fillId="36" borderId="267" xfId="0" applyNumberFormat="1" applyFont="1" applyFill="1" applyBorder="1"/>
    <xf numFmtId="0" fontId="179" fillId="32" borderId="268" xfId="0" applyFont="1" applyFill="1" applyBorder="1" applyAlignment="1">
      <alignment horizontal="left"/>
    </xf>
    <xf numFmtId="0" fontId="74" fillId="0" borderId="273" xfId="0" quotePrefix="1" applyFont="1" applyBorder="1" applyAlignment="1">
      <alignment horizontal="left"/>
    </xf>
    <xf numFmtId="3" fontId="78" fillId="0" borderId="274" xfId="181" quotePrefix="1" applyNumberFormat="1" applyFont="1" applyFill="1" applyBorder="1" applyAlignment="1" applyProtection="1"/>
    <xf numFmtId="3" fontId="78" fillId="0" borderId="244" xfId="181" applyNumberFormat="1" applyFont="1" applyBorder="1" applyProtection="1"/>
    <xf numFmtId="49" fontId="75" fillId="0" borderId="275" xfId="0" applyNumberFormat="1" applyFont="1" applyBorder="1" applyAlignment="1">
      <alignment horizontal="center"/>
    </xf>
    <xf numFmtId="0" fontId="75" fillId="0" borderId="276" xfId="0" applyFont="1" applyBorder="1" applyAlignment="1">
      <alignment horizontal="center"/>
    </xf>
    <xf numFmtId="0" fontId="75" fillId="0" borderId="277" xfId="0" applyFont="1" applyBorder="1" applyAlignment="1">
      <alignment horizontal="center"/>
    </xf>
    <xf numFmtId="0" fontId="75" fillId="0" borderId="278" xfId="0" applyFont="1" applyBorder="1" applyAlignment="1">
      <alignment horizontal="center"/>
    </xf>
    <xf numFmtId="3" fontId="78" fillId="0" borderId="279"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45" xfId="3292" applyNumberFormat="1" applyFont="1" applyBorder="1" applyAlignment="1" applyProtection="1">
      <alignment horizontal="right"/>
    </xf>
    <xf numFmtId="3" fontId="78" fillId="0" borderId="222" xfId="181" applyNumberFormat="1" applyFont="1" applyBorder="1" applyAlignment="1" applyProtection="1"/>
    <xf numFmtId="3" fontId="78" fillId="0" borderId="222" xfId="181" applyNumberFormat="1" applyFont="1" applyBorder="1" applyProtection="1"/>
    <xf numFmtId="3" fontId="78" fillId="0" borderId="214" xfId="181" applyNumberFormat="1" applyFont="1" applyBorder="1" applyAlignment="1" applyProtection="1"/>
    <xf numFmtId="3" fontId="78" fillId="0" borderId="214" xfId="181" applyNumberFormat="1" applyFont="1" applyBorder="1" applyProtection="1"/>
    <xf numFmtId="0" fontId="74" fillId="0" borderId="273" xfId="0" applyFont="1" applyBorder="1"/>
    <xf numFmtId="0" fontId="74" fillId="0" borderId="221" xfId="0" applyFont="1" applyBorder="1"/>
    <xf numFmtId="37" fontId="78" fillId="0" borderId="280" xfId="0" applyNumberFormat="1" applyFont="1" applyBorder="1" applyAlignment="1">
      <alignment horizontal="left"/>
    </xf>
    <xf numFmtId="37" fontId="76" fillId="0" borderId="280" xfId="0" applyNumberFormat="1" applyFont="1" applyBorder="1" applyAlignment="1">
      <alignment horizontal="right"/>
    </xf>
    <xf numFmtId="37" fontId="78" fillId="0" borderId="280" xfId="0" applyNumberFormat="1" applyFont="1" applyBorder="1"/>
    <xf numFmtId="37" fontId="78" fillId="0" borderId="281" xfId="0" applyNumberFormat="1" applyFont="1" applyBorder="1"/>
    <xf numFmtId="37" fontId="76" fillId="0" borderId="281" xfId="0" applyNumberFormat="1" applyFont="1" applyBorder="1" applyAlignment="1">
      <alignment horizontal="right"/>
    </xf>
    <xf numFmtId="37" fontId="78" fillId="0" borderId="273" xfId="0" quotePrefix="1" applyNumberFormat="1" applyFont="1" applyBorder="1"/>
    <xf numFmtId="37" fontId="74" fillId="0" borderId="273" xfId="0" applyNumberFormat="1" applyFont="1" applyBorder="1"/>
    <xf numFmtId="37" fontId="74" fillId="0" borderId="221" xfId="0" applyNumberFormat="1" applyFont="1" applyBorder="1"/>
    <xf numFmtId="0" fontId="104" fillId="0" borderId="268" xfId="0" applyFont="1" applyBorder="1" applyAlignment="1">
      <alignment horizontal="centerContinuous"/>
    </xf>
    <xf numFmtId="0" fontId="74" fillId="0" borderId="268" xfId="0" applyFont="1" applyBorder="1" applyAlignment="1">
      <alignment horizontal="left"/>
    </xf>
    <xf numFmtId="4" fontId="160" fillId="32" borderId="266" xfId="0" applyNumberFormat="1" applyFont="1" applyFill="1" applyBorder="1" applyProtection="1">
      <protection locked="0"/>
    </xf>
    <xf numFmtId="4" fontId="72" fillId="0" borderId="266" xfId="181" applyNumberFormat="1" applyFont="1" applyBorder="1" applyProtection="1"/>
    <xf numFmtId="0" fontId="172" fillId="71" borderId="267" xfId="0" applyFont="1" applyFill="1" applyBorder="1"/>
    <xf numFmtId="4" fontId="72" fillId="0" borderId="267" xfId="181" applyNumberFormat="1" applyFont="1" applyBorder="1" applyProtection="1"/>
    <xf numFmtId="4" fontId="72" fillId="0" borderId="227" xfId="181" applyNumberFormat="1" applyFont="1" applyBorder="1" applyProtection="1"/>
    <xf numFmtId="0" fontId="74" fillId="0" borderId="268" xfId="0" applyFont="1" applyBorder="1" applyAlignment="1">
      <alignment horizontal="center"/>
    </xf>
    <xf numFmtId="4" fontId="156" fillId="32" borderId="266" xfId="0" applyNumberFormat="1" applyFont="1" applyFill="1" applyBorder="1" applyProtection="1">
      <protection locked="0"/>
    </xf>
    <xf numFmtId="4" fontId="156" fillId="32" borderId="252" xfId="0" applyNumberFormat="1" applyFont="1" applyFill="1" applyBorder="1" applyProtection="1">
      <protection locked="0"/>
    </xf>
    <xf numFmtId="0" fontId="74" fillId="71" borderId="267" xfId="0" applyFont="1" applyFill="1" applyBorder="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51" xfId="0" applyNumberFormat="1" applyFont="1" applyBorder="1"/>
    <xf numFmtId="4" fontId="149" fillId="0" borderId="251" xfId="0" applyNumberFormat="1" applyFont="1" applyBorder="1"/>
    <xf numFmtId="2" fontId="160" fillId="32" borderId="228" xfId="181" applyNumberFormat="1" applyFont="1" applyFill="1" applyBorder="1" applyProtection="1">
      <protection locked="0"/>
    </xf>
    <xf numFmtId="4" fontId="72" fillId="0" borderId="266" xfId="181" applyNumberFormat="1" applyFont="1" applyFill="1" applyBorder="1" applyProtection="1"/>
    <xf numFmtId="4" fontId="149" fillId="0" borderId="228" xfId="0" applyNumberFormat="1" applyFont="1" applyBorder="1"/>
    <xf numFmtId="4" fontId="72" fillId="0" borderId="267" xfId="181" applyNumberFormat="1" applyFont="1" applyFill="1" applyBorder="1" applyProtection="1"/>
    <xf numFmtId="4" fontId="72" fillId="0" borderId="227" xfId="181" applyNumberFormat="1" applyFont="1" applyFill="1" applyBorder="1" applyProtection="1"/>
    <xf numFmtId="4" fontId="72" fillId="0" borderId="228" xfId="181" applyNumberFormat="1" applyFont="1" applyFill="1" applyBorder="1" applyProtection="1"/>
    <xf numFmtId="0" fontId="105" fillId="0" borderId="268" xfId="0" applyFont="1" applyBorder="1" applyAlignment="1">
      <alignment horizontal="centerContinuous"/>
    </xf>
    <xf numFmtId="0" fontId="72" fillId="0" borderId="266" xfId="0" applyFont="1" applyBorder="1" applyAlignment="1">
      <alignment horizontal="center"/>
    </xf>
    <xf numFmtId="4" fontId="72" fillId="0" borderId="266" xfId="0" applyNumberFormat="1" applyFont="1" applyBorder="1"/>
    <xf numFmtId="168" fontId="72" fillId="0" borderId="266" xfId="0" applyNumberFormat="1" applyFont="1" applyBorder="1"/>
    <xf numFmtId="0" fontId="74" fillId="0" borderId="228" xfId="0" applyFont="1" applyBorder="1"/>
    <xf numFmtId="3" fontId="74" fillId="0" borderId="228" xfId="0" applyNumberFormat="1" applyFont="1" applyBorder="1"/>
    <xf numFmtId="4" fontId="74" fillId="0" borderId="228" xfId="0" applyNumberFormat="1" applyFont="1" applyBorder="1"/>
    <xf numFmtId="168" fontId="74" fillId="0" borderId="228" xfId="0" applyNumberFormat="1" applyFont="1" applyBorder="1"/>
    <xf numFmtId="0" fontId="74" fillId="0" borderId="267" xfId="0" applyFont="1" applyBorder="1"/>
    <xf numFmtId="3" fontId="74" fillId="0" borderId="267" xfId="0" applyNumberFormat="1" applyFont="1" applyBorder="1"/>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74" fillId="29" borderId="267" xfId="0" applyFont="1" applyFill="1" applyBorder="1"/>
    <xf numFmtId="0" fontId="74" fillId="30" borderId="267" xfId="0" applyFont="1" applyFill="1" applyBorder="1" applyAlignment="1">
      <alignment horizontal="center" wrapText="1"/>
    </xf>
    <xf numFmtId="0" fontId="74" fillId="30" borderId="267" xfId="0" applyFont="1" applyFill="1" applyBorder="1" applyAlignment="1">
      <alignment horizontal="center"/>
    </xf>
    <xf numFmtId="0" fontId="72" fillId="0" borderId="267" xfId="0" applyFont="1" applyBorder="1"/>
    <xf numFmtId="4" fontId="74" fillId="0" borderId="267" xfId="0" applyNumberFormat="1" applyFont="1" applyBorder="1"/>
    <xf numFmtId="168" fontId="74" fillId="0" borderId="267" xfId="0" applyNumberFormat="1" applyFont="1" applyBorder="1"/>
    <xf numFmtId="0" fontId="177" fillId="79" borderId="268" xfId="0" applyFont="1" applyFill="1" applyBorder="1" applyAlignment="1">
      <alignment horizontal="centerContinuous" wrapText="1"/>
    </xf>
    <xf numFmtId="0" fontId="156" fillId="32" borderId="266" xfId="0" applyFont="1" applyFill="1" applyBorder="1" applyProtection="1">
      <protection locked="0"/>
    </xf>
    <xf numFmtId="168" fontId="156" fillId="32" borderId="251" xfId="0" applyNumberFormat="1" applyFont="1" applyFill="1" applyBorder="1" applyAlignment="1" applyProtection="1">
      <alignment horizontal="right"/>
      <protection locked="0"/>
    </xf>
    <xf numFmtId="0" fontId="156" fillId="32" borderId="251" xfId="0" applyFont="1" applyFill="1" applyBorder="1" applyProtection="1">
      <protection locked="0"/>
    </xf>
    <xf numFmtId="0" fontId="156" fillId="32" borderId="252" xfId="0" applyFont="1" applyFill="1" applyBorder="1" applyProtection="1">
      <protection locked="0"/>
    </xf>
    <xf numFmtId="3" fontId="156" fillId="32" borderId="252" xfId="0" applyNumberFormat="1" applyFont="1" applyFill="1" applyBorder="1" applyAlignment="1" applyProtection="1">
      <alignment horizontal="right"/>
      <protection locked="0"/>
    </xf>
    <xf numFmtId="168" fontId="156" fillId="32" borderId="266" xfId="0" applyNumberFormat="1" applyFont="1" applyFill="1" applyBorder="1" applyAlignment="1" applyProtection="1">
      <alignment horizontal="right"/>
      <protection locked="0"/>
    </xf>
    <xf numFmtId="0" fontId="104" fillId="0" borderId="268" xfId="0" applyFont="1" applyBorder="1" applyAlignment="1">
      <alignment horizontal="center"/>
    </xf>
    <xf numFmtId="0" fontId="100" fillId="0" borderId="251" xfId="0" applyFont="1" applyBorder="1" applyAlignment="1">
      <alignment horizontal="center"/>
    </xf>
    <xf numFmtId="0" fontId="108" fillId="0" borderId="228" xfId="0" applyFont="1" applyBorder="1"/>
    <xf numFmtId="168" fontId="108" fillId="0" borderId="228" xfId="0" applyNumberFormat="1" applyFont="1" applyBorder="1"/>
    <xf numFmtId="0" fontId="100" fillId="0" borderId="228" xfId="0" applyFont="1" applyBorder="1"/>
    <xf numFmtId="0" fontId="108" fillId="0" borderId="267" xfId="0" applyFont="1" applyBorder="1"/>
    <xf numFmtId="0" fontId="124" fillId="0" borderId="268" xfId="0" applyFont="1" applyBorder="1" applyAlignment="1" applyProtection="1">
      <alignment horizontal="left" vertical="top" wrapText="1"/>
      <protection locked="0"/>
    </xf>
    <xf numFmtId="5" fontId="130" fillId="30" borderId="282" xfId="0" quotePrefix="1" applyNumberFormat="1" applyFont="1" applyFill="1" applyBorder="1" applyAlignment="1">
      <alignment horizontal="right"/>
    </xf>
    <xf numFmtId="5" fontId="130" fillId="74" borderId="282" xfId="0" applyNumberFormat="1" applyFont="1" applyFill="1" applyBorder="1" applyAlignment="1">
      <alignment horizontal="right"/>
    </xf>
    <xf numFmtId="37" fontId="108" fillId="30" borderId="219" xfId="0" applyNumberFormat="1" applyFont="1" applyFill="1" applyBorder="1" applyAlignment="1">
      <alignment horizontal="left"/>
    </xf>
    <xf numFmtId="37" fontId="100" fillId="0" borderId="283" xfId="0" applyNumberFormat="1" applyFont="1" applyBorder="1"/>
    <xf numFmtId="37" fontId="100" fillId="74" borderId="218" xfId="0" applyNumberFormat="1" applyFont="1" applyFill="1" applyBorder="1" applyAlignment="1">
      <alignment horizontal="right"/>
    </xf>
    <xf numFmtId="5" fontId="130" fillId="74" borderId="284" xfId="0" applyNumberFormat="1" applyFont="1" applyFill="1" applyBorder="1" applyAlignment="1">
      <alignment horizontal="right"/>
    </xf>
    <xf numFmtId="37" fontId="108" fillId="0" borderId="285" xfId="0" applyNumberFormat="1" applyFont="1" applyBorder="1"/>
    <xf numFmtId="37" fontId="100" fillId="0" borderId="286" xfId="0" applyNumberFormat="1" applyFont="1" applyBorder="1"/>
    <xf numFmtId="37" fontId="100" fillId="0" borderId="284" xfId="0" applyNumberFormat="1" applyFont="1" applyBorder="1" applyAlignment="1">
      <alignment horizontal="right"/>
    </xf>
    <xf numFmtId="5" fontId="157" fillId="33" borderId="284" xfId="0" applyNumberFormat="1" applyFont="1" applyFill="1" applyBorder="1" applyAlignment="1" applyProtection="1">
      <alignment horizontal="right"/>
      <protection locked="0"/>
    </xf>
    <xf numFmtId="37" fontId="129" fillId="74" borderId="231" xfId="0" applyNumberFormat="1" applyFont="1" applyFill="1" applyBorder="1"/>
    <xf numFmtId="37" fontId="157" fillId="33" borderId="287" xfId="0" applyNumberFormat="1" applyFont="1" applyFill="1" applyBorder="1" applyProtection="1">
      <protection locked="0"/>
    </xf>
    <xf numFmtId="5" fontId="108" fillId="74" borderId="287" xfId="0" applyNumberFormat="1" applyFont="1" applyFill="1" applyBorder="1"/>
    <xf numFmtId="0" fontId="100" fillId="0" borderId="285" xfId="0" applyFont="1" applyBorder="1"/>
    <xf numFmtId="0" fontId="100" fillId="0" borderId="286" xfId="0" applyFont="1" applyBorder="1"/>
    <xf numFmtId="0" fontId="100" fillId="0" borderId="288" xfId="0" applyFont="1" applyBorder="1" applyAlignment="1">
      <alignment horizontal="right"/>
    </xf>
    <xf numFmtId="37" fontId="100" fillId="24" borderId="284" xfId="0" applyNumberFormat="1" applyFont="1" applyFill="1" applyBorder="1"/>
    <xf numFmtId="37" fontId="157" fillId="33" borderId="258" xfId="0" applyNumberFormat="1" applyFont="1" applyFill="1" applyBorder="1" applyProtection="1">
      <protection locked="0"/>
    </xf>
    <xf numFmtId="5" fontId="108" fillId="74" borderId="284" xfId="0" applyNumberFormat="1" applyFont="1" applyFill="1" applyBorder="1"/>
    <xf numFmtId="0" fontId="137" fillId="32" borderId="268" xfId="0" applyFont="1" applyFill="1" applyBorder="1" applyAlignment="1">
      <alignment horizontal="left"/>
    </xf>
    <xf numFmtId="3" fontId="157" fillId="32" borderId="267" xfId="0" applyNumberFormat="1" applyFont="1" applyFill="1" applyBorder="1" applyProtection="1">
      <protection locked="0"/>
    </xf>
    <xf numFmtId="0" fontId="104" fillId="0" borderId="268" xfId="0" applyFont="1" applyBorder="1" applyAlignment="1">
      <alignment horizontal="centerContinuous" vertical="center"/>
    </xf>
    <xf numFmtId="172" fontId="106" fillId="0" borderId="289" xfId="0" applyNumberFormat="1" applyFont="1" applyBorder="1" applyAlignment="1">
      <alignment horizontal="center"/>
    </xf>
    <xf numFmtId="0" fontId="176" fillId="32" borderId="289" xfId="0" applyFont="1" applyFill="1" applyBorder="1" applyAlignment="1" applyProtection="1">
      <alignment horizontal="right"/>
      <protection locked="0"/>
    </xf>
    <xf numFmtId="0" fontId="72" fillId="0" borderId="289" xfId="0" applyFont="1" applyBorder="1"/>
    <xf numFmtId="0" fontId="106" fillId="0" borderId="289" xfId="0" applyFont="1" applyBorder="1" applyAlignment="1">
      <alignment horizontal="center"/>
    </xf>
    <xf numFmtId="3" fontId="158" fillId="32" borderId="289" xfId="0" applyNumberFormat="1" applyFont="1" applyFill="1" applyBorder="1" applyProtection="1">
      <protection locked="0"/>
    </xf>
    <xf numFmtId="3" fontId="106" fillId="0" borderId="289" xfId="0" applyNumberFormat="1" applyFont="1" applyBorder="1"/>
    <xf numFmtId="0" fontId="106" fillId="75" borderId="251" xfId="0" applyFont="1" applyFill="1" applyBorder="1"/>
    <xf numFmtId="3" fontId="159" fillId="0" borderId="251" xfId="0" applyNumberFormat="1" applyFont="1" applyBorder="1"/>
    <xf numFmtId="168" fontId="104" fillId="30" borderId="267" xfId="378" applyNumberFormat="1" applyFont="1" applyFill="1" applyBorder="1" applyProtection="1"/>
    <xf numFmtId="0" fontId="126" fillId="0" borderId="290" xfId="0" applyFont="1" applyBorder="1" applyAlignment="1">
      <alignment wrapText="1"/>
    </xf>
    <xf numFmtId="0" fontId="124" fillId="0" borderId="291" xfId="0" applyFont="1" applyBorder="1" applyAlignment="1">
      <alignment wrapText="1"/>
    </xf>
    <xf numFmtId="0" fontId="125" fillId="0" borderId="291" xfId="0" applyFont="1" applyBorder="1" applyAlignment="1">
      <alignment wrapText="1"/>
    </xf>
    <xf numFmtId="0" fontId="126" fillId="0" borderId="195" xfId="0" applyFont="1" applyBorder="1" applyAlignment="1">
      <alignment wrapText="1"/>
    </xf>
    <xf numFmtId="0" fontId="126" fillId="0" borderId="291" xfId="0" applyFont="1" applyBorder="1" applyAlignment="1">
      <alignment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3559F3"/>
      <color rgb="FFFFFFCC"/>
      <color rgb="FFFFFF99"/>
      <color rgb="FFFF7C80"/>
      <color rgb="FFCCFFCC"/>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descr="Instructions for Annual College Operating Budget Forms&#10;"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descr="Exhibit F"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cfcloud.sharepoint.com/teams/AccountingandPayroll/Shared%20Documents/General/H%20Drive%20Archive/Budgets,%20Budget%20Managers,%20Financial%20Reporting,%20and%20Year-End/Financial%20Reporting/2024-2025%20Financial%20Reporting/Budget/2012-13%20FEE%20AUDIT%20UPPER%20AND%20LOWER%20LEVEL-%205%20PCT%20SRS%203-12-12.xls?0040F1DA" TargetMode="External"/><Relationship Id="rId1" Type="http://schemas.openxmlformats.org/officeDocument/2006/relationships/externalLinkPath" Target="file:///\\0040F1DA\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69" t="s">
        <v>0</v>
      </c>
      <c r="B1" s="569"/>
      <c r="C1" s="569"/>
      <c r="D1" s="569"/>
      <c r="E1" s="569"/>
    </row>
    <row r="2" spans="1:5" ht="23.25">
      <c r="A2" s="569" t="s">
        <v>1</v>
      </c>
      <c r="B2" s="569"/>
      <c r="C2" s="569"/>
      <c r="D2" s="569"/>
      <c r="E2" s="569"/>
    </row>
    <row r="3" spans="1:5" ht="21" customHeight="1">
      <c r="A3" s="569" t="s">
        <v>2</v>
      </c>
      <c r="B3" s="569"/>
      <c r="C3" s="569"/>
      <c r="D3" s="569"/>
      <c r="E3" s="569"/>
    </row>
    <row r="4" spans="1:5" ht="32.1" customHeight="1">
      <c r="A4" s="8" t="s">
        <v>3</v>
      </c>
      <c r="B4" s="8"/>
      <c r="C4" s="8"/>
      <c r="D4" s="8"/>
      <c r="E4" s="8"/>
    </row>
    <row r="5" spans="1:5" ht="107.25" customHeight="1">
      <c r="A5" s="5" t="s">
        <v>4</v>
      </c>
      <c r="B5" s="6"/>
      <c r="C5" s="1002" t="s">
        <v>5</v>
      </c>
      <c r="D5" s="1002" t="s">
        <v>6</v>
      </c>
      <c r="E5" s="1002" t="s">
        <v>7</v>
      </c>
    </row>
    <row r="6" spans="1:5" s="3" customFormat="1" ht="18" customHeight="1"/>
    <row r="7" spans="1:5" s="3" customFormat="1" ht="20.100000000000001" customHeight="1">
      <c r="A7" s="558"/>
      <c r="B7" s="559"/>
      <c r="C7" s="560"/>
      <c r="D7" s="562"/>
      <c r="E7" s="561"/>
    </row>
    <row r="8" spans="1:5" s="3" customFormat="1" ht="20.100000000000001" customHeight="1">
      <c r="A8" s="558"/>
      <c r="B8" s="559"/>
      <c r="C8" s="560"/>
      <c r="D8" s="562"/>
      <c r="E8" s="561"/>
    </row>
    <row r="9" spans="1:5" s="3" customFormat="1" ht="20.100000000000001" customHeight="1">
      <c r="A9" s="562"/>
      <c r="B9" s="9"/>
      <c r="C9" s="560"/>
      <c r="D9" s="690"/>
      <c r="E9" s="561"/>
    </row>
    <row r="10" spans="1:5" s="3" customFormat="1" ht="20.100000000000001" customHeight="1">
      <c r="A10" s="570" t="s">
        <v>8</v>
      </c>
      <c r="B10" s="11"/>
      <c r="C10" s="12" t="s">
        <v>9</v>
      </c>
      <c r="D10" s="12"/>
      <c r="E10" s="10" t="s">
        <v>9</v>
      </c>
    </row>
    <row r="11" spans="1:5" s="3" customFormat="1" ht="20.100000000000001" customHeight="1">
      <c r="A11" s="570"/>
      <c r="B11" s="11"/>
      <c r="C11" s="11"/>
      <c r="D11" s="12"/>
      <c r="E11" s="11"/>
    </row>
    <row r="12" spans="1:5" ht="20.100000000000001" customHeight="1">
      <c r="A12" s="13"/>
      <c r="B12" s="13"/>
      <c r="C12" s="13"/>
      <c r="D12" s="14"/>
      <c r="E12" s="13"/>
    </row>
    <row r="13" spans="1:5" ht="20.100000000000001" customHeight="1">
      <c r="A13" s="571" t="s">
        <v>9</v>
      </c>
      <c r="B13" s="13"/>
      <c r="C13" s="13"/>
      <c r="D13" s="14"/>
      <c r="E13" s="13"/>
    </row>
    <row r="14" spans="1:5" ht="20.100000000000001" customHeight="1">
      <c r="A14" s="571"/>
      <c r="B14" s="13"/>
      <c r="C14" s="13"/>
      <c r="D14" s="13"/>
      <c r="E14" s="13"/>
    </row>
    <row r="15" spans="1:5" ht="20.100000000000001" customHeight="1">
      <c r="A15" s="571"/>
      <c r="B15" s="13"/>
      <c r="C15" s="13"/>
      <c r="D15" s="13"/>
      <c r="E15" s="13"/>
    </row>
    <row r="16" spans="1:5" ht="20.100000000000001" customHeight="1">
      <c r="A16" s="571"/>
      <c r="B16" s="13"/>
      <c r="C16" s="13"/>
      <c r="D16" s="13"/>
      <c r="E16" s="13"/>
    </row>
    <row r="17" spans="1:6" ht="15" customHeight="1">
      <c r="A17" s="7"/>
      <c r="B17" s="2"/>
      <c r="C17" s="2"/>
      <c r="D17" s="2"/>
      <c r="E17" s="2"/>
    </row>
    <row r="18" spans="1:6" ht="15" customHeight="1">
      <c r="A18" s="463"/>
      <c r="B18" s="172"/>
      <c r="C18" s="172"/>
      <c r="D18" s="172"/>
      <c r="E18" s="172"/>
      <c r="F18" s="175"/>
    </row>
    <row r="19" spans="1:6" ht="19.5" customHeight="1">
      <c r="A19" s="463"/>
      <c r="B19" s="172"/>
      <c r="C19" s="172"/>
      <c r="D19" s="172"/>
      <c r="E19" s="172"/>
      <c r="F19" s="17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A3" sqref="A3"/>
    </sheetView>
  </sheetViews>
  <sheetFormatPr defaultColWidth="9.140625" defaultRowHeight="23.25"/>
  <cols>
    <col min="1" max="1" width="47.7109375" style="65" customWidth="1"/>
    <col min="2" max="2" width="20.7109375" style="65" customWidth="1"/>
    <col min="3" max="4" width="17.42578125" style="65" customWidth="1"/>
    <col min="5" max="5" width="19.85546875" style="65" customWidth="1"/>
    <col min="6" max="6" width="7.42578125" style="65" customWidth="1"/>
    <col min="7" max="16384" width="9.140625" style="65"/>
  </cols>
  <sheetData>
    <row r="1" spans="1:8" ht="24" customHeight="1">
      <c r="A1" s="273"/>
      <c r="B1" s="273"/>
      <c r="C1" s="273"/>
      <c r="D1" s="273"/>
      <c r="E1" s="314" t="s">
        <v>673</v>
      </c>
      <c r="F1" s="273"/>
    </row>
    <row r="2" spans="1:8" ht="24" customHeight="1">
      <c r="A2" s="273"/>
      <c r="B2" s="273"/>
      <c r="C2" s="273"/>
      <c r="D2" s="273"/>
      <c r="E2" s="315"/>
      <c r="F2" s="273"/>
    </row>
    <row r="3" spans="1:8" ht="24" customHeight="1" thickBot="1">
      <c r="A3" s="785" t="s">
        <v>228</v>
      </c>
      <c r="B3" s="1061" t="str">
        <f>'CHECK SHEET'!D7</f>
        <v>State College of Florida, Manatee-Sarasota</v>
      </c>
      <c r="C3" s="1061"/>
      <c r="D3" s="1061"/>
      <c r="E3" s="1061"/>
      <c r="F3" s="272"/>
      <c r="G3" s="311"/>
    </row>
    <row r="4" spans="1:8" ht="24" customHeight="1">
      <c r="A4" s="773" t="s">
        <v>674</v>
      </c>
      <c r="B4" s="773"/>
      <c r="C4" s="773"/>
      <c r="D4" s="773"/>
      <c r="E4" s="773"/>
      <c r="F4" s="272"/>
    </row>
    <row r="5" spans="1:8" ht="24" customHeight="1">
      <c r="A5" s="773" t="s">
        <v>675</v>
      </c>
      <c r="B5" s="773"/>
      <c r="C5" s="773"/>
      <c r="D5" s="773"/>
      <c r="E5" s="773"/>
      <c r="F5" s="272"/>
    </row>
    <row r="6" spans="1:8" ht="24" customHeight="1">
      <c r="A6" s="773" t="s">
        <v>676</v>
      </c>
      <c r="B6" s="773"/>
      <c r="C6" s="773"/>
      <c r="D6" s="773"/>
      <c r="E6" s="773"/>
      <c r="F6" s="272"/>
    </row>
    <row r="7" spans="1:8" ht="20.100000000000001" customHeight="1">
      <c r="A7" s="710"/>
      <c r="B7" s="710"/>
      <c r="C7" s="710"/>
      <c r="D7" s="777"/>
      <c r="E7" s="777"/>
    </row>
    <row r="8" spans="1:8" ht="24" customHeight="1" thickBot="1">
      <c r="A8" s="1136" t="s">
        <v>677</v>
      </c>
      <c r="B8" s="1136"/>
      <c r="C8" s="1136"/>
      <c r="H8" s="312"/>
    </row>
    <row r="9" spans="1:8" s="16" customFormat="1" ht="64.349999999999994" customHeight="1" thickBot="1">
      <c r="A9" s="275" t="s">
        <v>678</v>
      </c>
      <c r="B9" s="711" t="s">
        <v>679</v>
      </c>
      <c r="C9" s="294" t="s">
        <v>680</v>
      </c>
      <c r="D9" s="294" t="s">
        <v>681</v>
      </c>
      <c r="E9" s="331" t="s">
        <v>52</v>
      </c>
      <c r="F9" s="29"/>
      <c r="H9" s="329"/>
    </row>
    <row r="10" spans="1:8" s="16" customFormat="1" ht="20.100000000000001" customHeight="1">
      <c r="A10" s="345" t="s">
        <v>682</v>
      </c>
      <c r="B10" s="422">
        <v>23765817</v>
      </c>
      <c r="C10" s="423">
        <f>6215443+214434</f>
        <v>6429877</v>
      </c>
      <c r="D10" s="423">
        <v>0</v>
      </c>
      <c r="E10" s="346">
        <f>SUM(B10:D10)</f>
        <v>30195694</v>
      </c>
      <c r="F10" s="329"/>
      <c r="G10" s="329"/>
    </row>
    <row r="11" spans="1:8" s="16" customFormat="1" ht="20.100000000000001" customHeight="1">
      <c r="A11" s="345" t="s">
        <v>683</v>
      </c>
      <c r="B11" s="424">
        <v>0</v>
      </c>
      <c r="C11" s="414">
        <v>0</v>
      </c>
      <c r="D11" s="414">
        <v>0</v>
      </c>
      <c r="E11" s="346">
        <f>SUM(B11:D11)</f>
        <v>0</v>
      </c>
      <c r="F11" s="329"/>
      <c r="G11" s="329"/>
      <c r="H11" s="329"/>
    </row>
    <row r="12" spans="1:8" s="16" customFormat="1" ht="20.100000000000001" customHeight="1" thickBot="1">
      <c r="A12" s="345" t="s">
        <v>684</v>
      </c>
      <c r="B12" s="424">
        <v>0</v>
      </c>
      <c r="C12" s="414">
        <v>0</v>
      </c>
      <c r="D12" s="414">
        <v>0</v>
      </c>
      <c r="E12" s="347">
        <f>SUM(B12:D12)</f>
        <v>0</v>
      </c>
      <c r="F12" s="329"/>
    </row>
    <row r="13" spans="1:8" s="16" customFormat="1" ht="20.100000000000001" customHeight="1" thickBot="1">
      <c r="A13" s="345" t="s">
        <v>685</v>
      </c>
      <c r="B13" s="348"/>
      <c r="C13" s="349"/>
      <c r="D13" s="349"/>
      <c r="E13" s="350"/>
      <c r="F13" s="329"/>
    </row>
    <row r="14" spans="1:8" s="16" customFormat="1" ht="20.100000000000001" customHeight="1">
      <c r="A14" s="345" t="s">
        <v>686</v>
      </c>
      <c r="B14" s="424">
        <v>2329643</v>
      </c>
      <c r="C14" s="425">
        <v>1115431</v>
      </c>
      <c r="D14" s="425">
        <v>0</v>
      </c>
      <c r="E14" s="347">
        <f t="shared" ref="E14:E20" si="0">SUM(B14:D14)</f>
        <v>3445074</v>
      </c>
      <c r="F14" s="329"/>
    </row>
    <row r="15" spans="1:8" s="16" customFormat="1" ht="20.100000000000001" customHeight="1">
      <c r="A15" s="345" t="s">
        <v>687</v>
      </c>
      <c r="B15" s="424">
        <v>0</v>
      </c>
      <c r="C15" s="414">
        <v>0</v>
      </c>
      <c r="D15" s="414">
        <v>0</v>
      </c>
      <c r="E15" s="347">
        <f>SUM(B15:D15)</f>
        <v>0</v>
      </c>
      <c r="F15" s="329"/>
    </row>
    <row r="16" spans="1:8" s="16" customFormat="1" ht="20.100000000000001" customHeight="1">
      <c r="A16" s="345" t="s">
        <v>688</v>
      </c>
      <c r="B16" s="424">
        <v>5160787</v>
      </c>
      <c r="C16" s="414">
        <v>493464</v>
      </c>
      <c r="D16" s="414">
        <v>0</v>
      </c>
      <c r="E16" s="347">
        <f t="shared" si="0"/>
        <v>5654251</v>
      </c>
      <c r="F16" s="329"/>
    </row>
    <row r="17" spans="1:6" s="16" customFormat="1" ht="20.100000000000001" customHeight="1">
      <c r="A17" s="345" t="s">
        <v>689</v>
      </c>
      <c r="B17" s="424">
        <v>10908762</v>
      </c>
      <c r="C17" s="414">
        <v>11249487</v>
      </c>
      <c r="D17" s="414">
        <v>0</v>
      </c>
      <c r="E17" s="347">
        <f t="shared" si="0"/>
        <v>22158249</v>
      </c>
      <c r="F17" s="329"/>
    </row>
    <row r="18" spans="1:6" s="16" customFormat="1" ht="20.100000000000001" customHeight="1">
      <c r="A18" s="345" t="s">
        <v>690</v>
      </c>
      <c r="B18" s="424">
        <v>1817822</v>
      </c>
      <c r="C18" s="414">
        <v>5544354</v>
      </c>
      <c r="D18" s="414">
        <v>1013000</v>
      </c>
      <c r="E18" s="347">
        <f t="shared" si="0"/>
        <v>8375176</v>
      </c>
      <c r="F18" s="329"/>
    </row>
    <row r="19" spans="1:6" s="16" customFormat="1" ht="20.100000000000001" customHeight="1">
      <c r="A19" s="345" t="s">
        <v>691</v>
      </c>
      <c r="B19" s="424">
        <v>0</v>
      </c>
      <c r="C19" s="414">
        <v>0</v>
      </c>
      <c r="D19" s="414">
        <v>0</v>
      </c>
      <c r="E19" s="347">
        <f t="shared" si="0"/>
        <v>0</v>
      </c>
      <c r="F19" s="329"/>
    </row>
    <row r="20" spans="1:6" s="16" customFormat="1" ht="20.100000000000001" customHeight="1" thickBot="1">
      <c r="A20" s="345" t="s">
        <v>692</v>
      </c>
      <c r="B20" s="424">
        <v>0</v>
      </c>
      <c r="C20" s="1137">
        <v>0</v>
      </c>
      <c r="D20" s="1137">
        <v>0</v>
      </c>
      <c r="E20" s="347">
        <f t="shared" si="0"/>
        <v>0</v>
      </c>
      <c r="F20" s="329"/>
    </row>
    <row r="21" spans="1:6" s="16" customFormat="1" ht="24" customHeight="1" thickBot="1">
      <c r="A21" s="282" t="s">
        <v>52</v>
      </c>
      <c r="B21" s="330">
        <f>SUM(B10:B20)</f>
        <v>43982831</v>
      </c>
      <c r="C21" s="333">
        <f>SUM(C10:C20)</f>
        <v>24832613</v>
      </c>
      <c r="D21" s="333">
        <f>SUM(D10:D20)</f>
        <v>1013000</v>
      </c>
      <c r="E21" s="332">
        <f>SUM(E10:E20)</f>
        <v>69828444</v>
      </c>
      <c r="F21" s="329"/>
    </row>
    <row r="22" spans="1:6" ht="24" customHeight="1">
      <c r="B22" s="313"/>
      <c r="F22" s="312"/>
    </row>
    <row r="23" spans="1:6" ht="24" customHeight="1">
      <c r="F23" s="312"/>
    </row>
    <row r="24" spans="1:6">
      <c r="F24" s="312"/>
    </row>
    <row r="25" spans="1:6">
      <c r="F25" s="312"/>
    </row>
    <row r="96" spans="3:4">
      <c r="C96" s="65">
        <f>SUM(C91:C95)</f>
        <v>0</v>
      </c>
      <c r="D96" s="65">
        <f>SUM(D91:D95)</f>
        <v>0</v>
      </c>
    </row>
  </sheetData>
  <sheetProtection algorithmName="SHA-512" hashValue="MyIeFWNn4tmggFPvnxXiX7nQ9OZsBEql6XrHl9uzxpHLieeel4C2nvayxJaRLRDDI7mMROd7tUhBtcIuvf6G+A==" saltValue="5YvyaH49kyGKLlspgjNAEA=="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61" t="s">
        <v>693</v>
      </c>
      <c r="B1" s="460"/>
      <c r="C1" s="460"/>
      <c r="D1" s="460"/>
      <c r="E1" s="460"/>
      <c r="F1" s="460"/>
      <c r="G1" s="460"/>
    </row>
    <row r="2" spans="1:7" ht="26.25">
      <c r="A2" s="451" t="s">
        <v>694</v>
      </c>
      <c r="B2" s="460"/>
    </row>
    <row r="3" spans="1:7" ht="26.1" customHeight="1">
      <c r="A3" s="450" t="s">
        <v>695</v>
      </c>
      <c r="B3" s="46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altText="Exhibit F"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67" customWidth="1"/>
    <col min="2" max="2" width="94.28515625" style="167" customWidth="1"/>
    <col min="3" max="3" width="66.85546875" style="167" customWidth="1"/>
    <col min="4" max="5" width="25.85546875" style="243" customWidth="1"/>
    <col min="6" max="6" width="33.7109375" style="243" customWidth="1"/>
    <col min="7" max="7" width="3.140625" style="167" customWidth="1"/>
    <col min="8" max="16384" width="12.42578125" style="167"/>
  </cols>
  <sheetData>
    <row r="1" spans="1:224" ht="30" customHeight="1" thickBot="1">
      <c r="A1" s="773" t="s">
        <v>228</v>
      </c>
      <c r="B1" s="1138" t="str">
        <f>'CHECK SHEET'!D7</f>
        <v>State College of Florida, Manatee-Sarasota</v>
      </c>
      <c r="C1" s="1138"/>
      <c r="D1" s="1138"/>
      <c r="E1" s="1138"/>
      <c r="F1" s="1138"/>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789" t="s">
        <v>696</v>
      </c>
      <c r="B2" s="789"/>
      <c r="C2" s="789"/>
      <c r="D2" s="789"/>
      <c r="E2" s="789"/>
      <c r="F2" s="789"/>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773" t="s">
        <v>697</v>
      </c>
      <c r="B3" s="773"/>
      <c r="C3" s="773"/>
      <c r="D3" s="773"/>
      <c r="E3" s="773"/>
      <c r="F3" s="773"/>
    </row>
    <row r="4" spans="1:224" ht="30" customHeight="1">
      <c r="A4" s="789" t="s">
        <v>676</v>
      </c>
      <c r="B4" s="789"/>
      <c r="C4" s="789"/>
      <c r="D4" s="789"/>
      <c r="E4" s="789"/>
      <c r="F4" s="789"/>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745"/>
      <c r="B5" s="745"/>
      <c r="C5" s="745"/>
      <c r="D5" s="745"/>
      <c r="E5" s="745"/>
      <c r="F5" s="745"/>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5"/>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743" t="s">
        <v>677</v>
      </c>
      <c r="B7" s="744"/>
      <c r="C7" s="737" t="s">
        <v>75</v>
      </c>
      <c r="D7" s="738"/>
      <c r="E7" s="738"/>
      <c r="F7" s="739"/>
      <c r="G7" s="214"/>
      <c r="H7" s="214"/>
      <c r="I7" s="27"/>
      <c r="J7" s="27"/>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5" customFormat="1" ht="114.6" customHeight="1" thickBot="1">
      <c r="A8" s="839" t="s">
        <v>698</v>
      </c>
      <c r="B8" s="840"/>
      <c r="C8" s="221" t="s">
        <v>348</v>
      </c>
      <c r="D8" s="222" t="s">
        <v>699</v>
      </c>
      <c r="E8" s="529" t="s">
        <v>700</v>
      </c>
      <c r="F8" s="221" t="s">
        <v>701</v>
      </c>
      <c r="G8" s="219"/>
      <c r="H8" s="219"/>
      <c r="I8" s="83"/>
      <c r="J8" s="27"/>
      <c r="K8" s="88"/>
      <c r="L8" s="88"/>
      <c r="M8" s="88"/>
      <c r="N8" s="88"/>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5" customFormat="1" ht="30" customHeight="1" thickBot="1">
      <c r="A9" s="735" t="s">
        <v>489</v>
      </c>
      <c r="B9" s="740"/>
      <c r="C9" s="246"/>
      <c r="D9" s="260"/>
      <c r="E9" s="260"/>
      <c r="F9" s="260"/>
      <c r="I9" s="83"/>
      <c r="J9" s="27"/>
      <c r="K9" s="88"/>
      <c r="L9" s="88"/>
      <c r="M9" s="88"/>
      <c r="N9" s="88"/>
    </row>
    <row r="10" spans="1:224" s="16" customFormat="1" ht="30" customHeight="1">
      <c r="A10" s="223" t="s">
        <v>490</v>
      </c>
      <c r="B10" s="231"/>
      <c r="C10" s="530" t="s">
        <v>491</v>
      </c>
      <c r="D10" s="426">
        <v>0</v>
      </c>
      <c r="E10" s="426">
        <v>0</v>
      </c>
      <c r="F10" s="224">
        <f t="shared" ref="F10:F74" si="0">+D10+E10</f>
        <v>0</v>
      </c>
      <c r="I10" s="83"/>
      <c r="J10" s="27"/>
      <c r="K10" s="88"/>
      <c r="L10" s="88"/>
      <c r="M10" s="88"/>
      <c r="N10" s="88"/>
    </row>
    <row r="11" spans="1:224" s="16" customFormat="1" ht="30" customHeight="1">
      <c r="A11" s="629" t="s">
        <v>492</v>
      </c>
      <c r="B11" s="630"/>
      <c r="C11" s="631" t="s">
        <v>493</v>
      </c>
      <c r="D11" s="869">
        <v>0</v>
      </c>
      <c r="E11" s="869">
        <v>0</v>
      </c>
      <c r="F11" s="870">
        <f t="shared" si="0"/>
        <v>0</v>
      </c>
      <c r="I11" s="83"/>
      <c r="J11" s="27"/>
      <c r="K11" s="88"/>
      <c r="L11" s="88"/>
      <c r="M11" s="88"/>
      <c r="N11" s="88"/>
    </row>
    <row r="12" spans="1:224" s="16" customFormat="1" ht="30" customHeight="1">
      <c r="A12" s="629" t="s">
        <v>494</v>
      </c>
      <c r="B12" s="630"/>
      <c r="C12" s="631" t="s">
        <v>495</v>
      </c>
      <c r="D12" s="869">
        <v>0</v>
      </c>
      <c r="E12" s="869">
        <v>0</v>
      </c>
      <c r="F12" s="870">
        <f t="shared" si="0"/>
        <v>0</v>
      </c>
      <c r="I12" s="83"/>
      <c r="J12" s="27"/>
      <c r="K12" s="88"/>
      <c r="L12" s="88"/>
      <c r="M12" s="88"/>
      <c r="N12" s="88"/>
    </row>
    <row r="13" spans="1:224" s="16" customFormat="1" ht="30" customHeight="1">
      <c r="A13" s="629" t="s">
        <v>496</v>
      </c>
      <c r="B13" s="630"/>
      <c r="C13" s="631" t="s">
        <v>497</v>
      </c>
      <c r="D13" s="869">
        <v>0</v>
      </c>
      <c r="E13" s="869">
        <v>0</v>
      </c>
      <c r="F13" s="870">
        <f t="shared" si="0"/>
        <v>0</v>
      </c>
      <c r="I13" s="83"/>
      <c r="J13" s="27"/>
      <c r="K13" s="88"/>
      <c r="L13" s="88"/>
      <c r="M13" s="88"/>
      <c r="N13" s="88"/>
    </row>
    <row r="14" spans="1:224" s="16" customFormat="1" ht="30" customHeight="1">
      <c r="A14" s="629" t="s">
        <v>498</v>
      </c>
      <c r="B14" s="630"/>
      <c r="C14" s="631" t="s">
        <v>499</v>
      </c>
      <c r="D14" s="869">
        <v>0</v>
      </c>
      <c r="E14" s="869">
        <v>0</v>
      </c>
      <c r="F14" s="870">
        <f t="shared" si="0"/>
        <v>0</v>
      </c>
      <c r="I14" s="83"/>
      <c r="J14" s="27"/>
      <c r="K14" s="88"/>
      <c r="L14" s="88"/>
      <c r="M14" s="88"/>
      <c r="N14" s="88"/>
    </row>
    <row r="15" spans="1:224" s="16" customFormat="1" ht="30" customHeight="1">
      <c r="A15" s="629" t="s">
        <v>500</v>
      </c>
      <c r="B15" s="630"/>
      <c r="C15" s="631" t="s">
        <v>501</v>
      </c>
      <c r="D15" s="869">
        <f>501708+13600+4000</f>
        <v>519308</v>
      </c>
      <c r="E15" s="869">
        <v>0</v>
      </c>
      <c r="F15" s="870">
        <f t="shared" si="0"/>
        <v>519308</v>
      </c>
      <c r="I15" s="83"/>
      <c r="J15" s="27"/>
      <c r="K15" s="88"/>
      <c r="L15" s="88"/>
      <c r="M15" s="88"/>
      <c r="N15" s="88"/>
    </row>
    <row r="16" spans="1:224" s="16" customFormat="1" ht="30" customHeight="1">
      <c r="A16" s="629" t="s">
        <v>502</v>
      </c>
      <c r="B16" s="630"/>
      <c r="C16" s="631" t="s">
        <v>503</v>
      </c>
      <c r="D16" s="869">
        <f>77000+94000+71000</f>
        <v>242000</v>
      </c>
      <c r="E16" s="869">
        <v>0</v>
      </c>
      <c r="F16" s="870">
        <f t="shared" si="0"/>
        <v>242000</v>
      </c>
    </row>
    <row r="17" spans="1:6" s="16" customFormat="1" ht="30" customHeight="1">
      <c r="A17" s="629" t="s">
        <v>504</v>
      </c>
      <c r="B17" s="630"/>
      <c r="C17" s="631" t="s">
        <v>505</v>
      </c>
      <c r="D17" s="869">
        <v>0</v>
      </c>
      <c r="E17" s="869">
        <v>0</v>
      </c>
      <c r="F17" s="870">
        <f t="shared" si="0"/>
        <v>0</v>
      </c>
    </row>
    <row r="18" spans="1:6" s="16" customFormat="1" ht="30" customHeight="1">
      <c r="A18" s="629" t="s">
        <v>506</v>
      </c>
      <c r="B18" s="630"/>
      <c r="C18" s="631" t="s">
        <v>507</v>
      </c>
      <c r="D18" s="869">
        <v>0</v>
      </c>
      <c r="E18" s="869">
        <v>0</v>
      </c>
      <c r="F18" s="870">
        <f t="shared" si="0"/>
        <v>0</v>
      </c>
    </row>
    <row r="19" spans="1:6" s="16" customFormat="1" ht="30" customHeight="1">
      <c r="A19" s="629" t="s">
        <v>702</v>
      </c>
      <c r="B19" s="630"/>
      <c r="C19" s="631" t="s">
        <v>509</v>
      </c>
      <c r="D19" s="869">
        <v>0</v>
      </c>
      <c r="E19" s="869">
        <v>0</v>
      </c>
      <c r="F19" s="870">
        <f t="shared" si="0"/>
        <v>0</v>
      </c>
    </row>
    <row r="20" spans="1:6" s="16" customFormat="1" ht="30" customHeight="1">
      <c r="A20" s="629" t="s">
        <v>510</v>
      </c>
      <c r="B20" s="630"/>
      <c r="C20" s="631">
        <v>52500</v>
      </c>
      <c r="D20" s="869">
        <v>0</v>
      </c>
      <c r="E20" s="869">
        <v>0</v>
      </c>
      <c r="F20" s="870">
        <f>+D20+E20</f>
        <v>0</v>
      </c>
    </row>
    <row r="21" spans="1:6" s="16" customFormat="1" ht="30" customHeight="1">
      <c r="A21" s="629" t="s">
        <v>511</v>
      </c>
      <c r="B21" s="630"/>
      <c r="C21" s="631" t="s">
        <v>512</v>
      </c>
      <c r="D21" s="869">
        <v>0</v>
      </c>
      <c r="E21" s="869">
        <v>0</v>
      </c>
      <c r="F21" s="870">
        <f t="shared" si="0"/>
        <v>0</v>
      </c>
    </row>
    <row r="22" spans="1:6" s="16" customFormat="1" ht="30" customHeight="1">
      <c r="A22" s="629" t="s">
        <v>513</v>
      </c>
      <c r="B22" s="630"/>
      <c r="C22" s="631" t="s">
        <v>514</v>
      </c>
      <c r="D22" s="869">
        <v>0</v>
      </c>
      <c r="E22" s="869">
        <v>0</v>
      </c>
      <c r="F22" s="870">
        <f t="shared" si="0"/>
        <v>0</v>
      </c>
    </row>
    <row r="23" spans="1:6" s="16" customFormat="1" ht="30" customHeight="1">
      <c r="A23" s="629" t="s">
        <v>515</v>
      </c>
      <c r="B23" s="630"/>
      <c r="C23" s="631" t="s">
        <v>516</v>
      </c>
      <c r="D23" s="869">
        <v>0</v>
      </c>
      <c r="E23" s="869">
        <v>0</v>
      </c>
      <c r="F23" s="870">
        <f t="shared" si="0"/>
        <v>0</v>
      </c>
    </row>
    <row r="24" spans="1:6" s="16" customFormat="1" ht="30" customHeight="1">
      <c r="A24" s="629" t="s">
        <v>517</v>
      </c>
      <c r="B24" s="630"/>
      <c r="C24" s="631" t="s">
        <v>518</v>
      </c>
      <c r="D24" s="869">
        <v>0</v>
      </c>
      <c r="E24" s="869">
        <v>0</v>
      </c>
      <c r="F24" s="870">
        <f t="shared" si="0"/>
        <v>0</v>
      </c>
    </row>
    <row r="25" spans="1:6" s="16" customFormat="1" ht="30" customHeight="1">
      <c r="A25" s="629" t="s">
        <v>519</v>
      </c>
      <c r="B25" s="630"/>
      <c r="C25" s="631" t="s">
        <v>520</v>
      </c>
      <c r="D25" s="869">
        <v>48400</v>
      </c>
      <c r="E25" s="869">
        <v>0</v>
      </c>
      <c r="F25" s="870">
        <f t="shared" si="0"/>
        <v>48400</v>
      </c>
    </row>
    <row r="26" spans="1:6" s="16" customFormat="1" ht="30" customHeight="1">
      <c r="A26" s="629" t="s">
        <v>521</v>
      </c>
      <c r="B26" s="630"/>
      <c r="C26" s="631" t="s">
        <v>522</v>
      </c>
      <c r="D26" s="869">
        <v>0</v>
      </c>
      <c r="E26" s="869">
        <v>0</v>
      </c>
      <c r="F26" s="870">
        <f t="shared" si="0"/>
        <v>0</v>
      </c>
    </row>
    <row r="27" spans="1:6" s="16" customFormat="1" ht="30" customHeight="1">
      <c r="A27" s="629" t="s">
        <v>523</v>
      </c>
      <c r="B27" s="630"/>
      <c r="C27" s="631" t="s">
        <v>524</v>
      </c>
      <c r="D27" s="869">
        <v>0</v>
      </c>
      <c r="E27" s="869">
        <v>0</v>
      </c>
      <c r="F27" s="870">
        <f t="shared" si="0"/>
        <v>0</v>
      </c>
    </row>
    <row r="28" spans="1:6" s="16" customFormat="1" ht="30" customHeight="1">
      <c r="A28" s="629" t="s">
        <v>525</v>
      </c>
      <c r="B28" s="630"/>
      <c r="C28" s="631" t="s">
        <v>526</v>
      </c>
      <c r="D28" s="869">
        <v>0</v>
      </c>
      <c r="E28" s="869">
        <v>0</v>
      </c>
      <c r="F28" s="870">
        <f t="shared" si="0"/>
        <v>0</v>
      </c>
    </row>
    <row r="29" spans="1:6" s="16" customFormat="1" ht="30" customHeight="1">
      <c r="A29" s="629" t="s">
        <v>527</v>
      </c>
      <c r="B29" s="630"/>
      <c r="C29" s="631" t="s">
        <v>528</v>
      </c>
      <c r="D29" s="869">
        <v>0</v>
      </c>
      <c r="E29" s="869">
        <v>0</v>
      </c>
      <c r="F29" s="870">
        <f t="shared" si="0"/>
        <v>0</v>
      </c>
    </row>
    <row r="30" spans="1:6" s="16" customFormat="1" ht="30" customHeight="1">
      <c r="A30" s="629" t="s">
        <v>529</v>
      </c>
      <c r="B30" s="630"/>
      <c r="C30" s="631" t="s">
        <v>530</v>
      </c>
      <c r="D30" s="869">
        <v>0</v>
      </c>
      <c r="E30" s="869">
        <v>0</v>
      </c>
      <c r="F30" s="870">
        <f t="shared" si="0"/>
        <v>0</v>
      </c>
    </row>
    <row r="31" spans="1:6" s="16" customFormat="1" ht="30" customHeight="1">
      <c r="A31" s="629" t="s">
        <v>531</v>
      </c>
      <c r="B31" s="630"/>
      <c r="C31" s="631" t="s">
        <v>532</v>
      </c>
      <c r="D31" s="869">
        <v>0</v>
      </c>
      <c r="E31" s="869">
        <v>0</v>
      </c>
      <c r="F31" s="870">
        <f t="shared" si="0"/>
        <v>0</v>
      </c>
    </row>
    <row r="32" spans="1:6" s="16" customFormat="1" ht="30" customHeight="1">
      <c r="A32" s="629" t="s">
        <v>533</v>
      </c>
      <c r="B32" s="630"/>
      <c r="C32" s="631" t="s">
        <v>534</v>
      </c>
      <c r="D32" s="869">
        <v>0</v>
      </c>
      <c r="E32" s="869">
        <v>0</v>
      </c>
      <c r="F32" s="870">
        <f>+D32+E32</f>
        <v>0</v>
      </c>
    </row>
    <row r="33" spans="1:6" s="16" customFormat="1" ht="30" customHeight="1">
      <c r="A33" s="629" t="s">
        <v>535</v>
      </c>
      <c r="B33" s="630"/>
      <c r="C33" s="631" t="s">
        <v>536</v>
      </c>
      <c r="D33" s="869">
        <v>0</v>
      </c>
      <c r="E33" s="869">
        <v>0</v>
      </c>
      <c r="F33" s="870">
        <f t="shared" si="0"/>
        <v>0</v>
      </c>
    </row>
    <row r="34" spans="1:6" s="16" customFormat="1" ht="30" customHeight="1">
      <c r="A34" s="629" t="s">
        <v>537</v>
      </c>
      <c r="B34" s="630"/>
      <c r="C34" s="631" t="s">
        <v>538</v>
      </c>
      <c r="D34" s="869">
        <v>10000</v>
      </c>
      <c r="E34" s="869">
        <v>0</v>
      </c>
      <c r="F34" s="870">
        <f t="shared" si="0"/>
        <v>10000</v>
      </c>
    </row>
    <row r="35" spans="1:6" s="16" customFormat="1" ht="30" customHeight="1">
      <c r="A35" s="629" t="s">
        <v>539</v>
      </c>
      <c r="B35" s="630"/>
      <c r="C35" s="631">
        <v>56001</v>
      </c>
      <c r="D35" s="869">
        <v>0</v>
      </c>
      <c r="E35" s="869">
        <v>0</v>
      </c>
      <c r="F35" s="870">
        <f>+D35+E35</f>
        <v>0</v>
      </c>
    </row>
    <row r="36" spans="1:6" s="16" customFormat="1" ht="30" customHeight="1">
      <c r="A36" s="629" t="s">
        <v>540</v>
      </c>
      <c r="B36" s="630"/>
      <c r="C36" s="631">
        <v>56002</v>
      </c>
      <c r="D36" s="869">
        <v>0</v>
      </c>
      <c r="E36" s="869">
        <v>0</v>
      </c>
      <c r="F36" s="870">
        <f>+D36+E36</f>
        <v>0</v>
      </c>
    </row>
    <row r="37" spans="1:6" s="16" customFormat="1" ht="30" customHeight="1">
      <c r="A37" s="629" t="s">
        <v>541</v>
      </c>
      <c r="B37" s="630"/>
      <c r="C37" s="631">
        <v>56003</v>
      </c>
      <c r="D37" s="869">
        <v>0</v>
      </c>
      <c r="E37" s="869">
        <v>0</v>
      </c>
      <c r="F37" s="870">
        <f>+D37+E37</f>
        <v>0</v>
      </c>
    </row>
    <row r="38" spans="1:6" s="16" customFormat="1" ht="30" customHeight="1">
      <c r="A38" s="629" t="s">
        <v>542</v>
      </c>
      <c r="B38" s="630"/>
      <c r="C38" s="631" t="s">
        <v>543</v>
      </c>
      <c r="D38" s="869">
        <v>0</v>
      </c>
      <c r="E38" s="869">
        <v>0</v>
      </c>
      <c r="F38" s="870">
        <f>+D38+E38</f>
        <v>0</v>
      </c>
    </row>
    <row r="39" spans="1:6" s="16" customFormat="1" ht="30" customHeight="1">
      <c r="A39" s="629" t="s">
        <v>544</v>
      </c>
      <c r="B39" s="630"/>
      <c r="C39" s="631" t="s">
        <v>545</v>
      </c>
      <c r="D39" s="869">
        <f>144000+133000+80000</f>
        <v>357000</v>
      </c>
      <c r="E39" s="869">
        <v>0</v>
      </c>
      <c r="F39" s="870">
        <f t="shared" si="0"/>
        <v>357000</v>
      </c>
    </row>
    <row r="40" spans="1:6" s="16" customFormat="1" ht="30" customHeight="1">
      <c r="A40" s="629" t="s">
        <v>546</v>
      </c>
      <c r="B40" s="630"/>
      <c r="C40" s="631" t="s">
        <v>547</v>
      </c>
      <c r="D40" s="869">
        <v>0</v>
      </c>
      <c r="E40" s="869">
        <v>0</v>
      </c>
      <c r="F40" s="870">
        <f t="shared" si="0"/>
        <v>0</v>
      </c>
    </row>
    <row r="41" spans="1:6" s="16" customFormat="1" ht="30" customHeight="1">
      <c r="A41" s="629" t="s">
        <v>548</v>
      </c>
      <c r="B41" s="630"/>
      <c r="C41" s="631" t="s">
        <v>549</v>
      </c>
      <c r="D41" s="869">
        <v>0</v>
      </c>
      <c r="E41" s="869">
        <v>0</v>
      </c>
      <c r="F41" s="870">
        <f t="shared" si="0"/>
        <v>0</v>
      </c>
    </row>
    <row r="42" spans="1:6" s="16" customFormat="1" ht="30" customHeight="1">
      <c r="A42" s="629" t="s">
        <v>550</v>
      </c>
      <c r="B42" s="630"/>
      <c r="C42" s="631" t="s">
        <v>551</v>
      </c>
      <c r="D42" s="869">
        <v>0</v>
      </c>
      <c r="E42" s="869">
        <v>0</v>
      </c>
      <c r="F42" s="870">
        <f t="shared" si="0"/>
        <v>0</v>
      </c>
    </row>
    <row r="43" spans="1:6" s="16" customFormat="1" ht="30" customHeight="1">
      <c r="A43" s="629" t="s">
        <v>552</v>
      </c>
      <c r="B43" s="630"/>
      <c r="C43" s="631" t="s">
        <v>553</v>
      </c>
      <c r="D43" s="869">
        <v>0</v>
      </c>
      <c r="E43" s="869">
        <v>0</v>
      </c>
      <c r="F43" s="870">
        <f t="shared" si="0"/>
        <v>0</v>
      </c>
    </row>
    <row r="44" spans="1:6" s="16" customFormat="1" ht="30" customHeight="1">
      <c r="A44" s="629" t="s">
        <v>554</v>
      </c>
      <c r="B44" s="630"/>
      <c r="C44" s="631" t="s">
        <v>555</v>
      </c>
      <c r="D44" s="869">
        <v>0</v>
      </c>
      <c r="E44" s="869">
        <v>0</v>
      </c>
      <c r="F44" s="870">
        <f t="shared" si="0"/>
        <v>0</v>
      </c>
    </row>
    <row r="45" spans="1:6" s="16" customFormat="1" ht="30" customHeight="1">
      <c r="A45" s="629" t="s">
        <v>556</v>
      </c>
      <c r="B45" s="630"/>
      <c r="C45" s="631" t="s">
        <v>557</v>
      </c>
      <c r="D45" s="869">
        <v>0</v>
      </c>
      <c r="E45" s="869">
        <v>0</v>
      </c>
      <c r="F45" s="870">
        <f t="shared" si="0"/>
        <v>0</v>
      </c>
    </row>
    <row r="46" spans="1:6" s="16" customFormat="1" ht="30" customHeight="1">
      <c r="A46" s="629" t="s">
        <v>558</v>
      </c>
      <c r="B46" s="630"/>
      <c r="C46" s="631" t="s">
        <v>559</v>
      </c>
      <c r="D46" s="869">
        <v>0</v>
      </c>
      <c r="E46" s="869">
        <v>0</v>
      </c>
      <c r="F46" s="870">
        <f t="shared" si="0"/>
        <v>0</v>
      </c>
    </row>
    <row r="47" spans="1:6" s="16" customFormat="1" ht="30" customHeight="1">
      <c r="A47" s="629" t="s">
        <v>560</v>
      </c>
      <c r="B47" s="630"/>
      <c r="C47" s="631" t="s">
        <v>561</v>
      </c>
      <c r="D47" s="869">
        <v>0</v>
      </c>
      <c r="E47" s="869">
        <v>0</v>
      </c>
      <c r="F47" s="870">
        <f t="shared" si="0"/>
        <v>0</v>
      </c>
    </row>
    <row r="48" spans="1:6" s="16" customFormat="1" ht="30" customHeight="1">
      <c r="A48" s="629" t="s">
        <v>562</v>
      </c>
      <c r="B48" s="630"/>
      <c r="C48" s="631" t="s">
        <v>563</v>
      </c>
      <c r="D48" s="869">
        <f>59424+22365</f>
        <v>81789</v>
      </c>
      <c r="E48" s="869">
        <v>0</v>
      </c>
      <c r="F48" s="870">
        <f t="shared" si="0"/>
        <v>81789</v>
      </c>
    </row>
    <row r="49" spans="1:6" s="16" customFormat="1" ht="30" customHeight="1">
      <c r="A49" s="629" t="s">
        <v>564</v>
      </c>
      <c r="B49" s="630"/>
      <c r="C49" s="631" t="s">
        <v>565</v>
      </c>
      <c r="D49" s="869">
        <f>124599</f>
        <v>124599</v>
      </c>
      <c r="E49" s="869">
        <v>0</v>
      </c>
      <c r="F49" s="870">
        <f t="shared" si="0"/>
        <v>124599</v>
      </c>
    </row>
    <row r="50" spans="1:6" s="16" customFormat="1" ht="30" customHeight="1">
      <c r="A50" s="629" t="s">
        <v>566</v>
      </c>
      <c r="B50" s="630"/>
      <c r="C50" s="631" t="s">
        <v>567</v>
      </c>
      <c r="D50" s="869">
        <v>0</v>
      </c>
      <c r="E50" s="869">
        <v>0</v>
      </c>
      <c r="F50" s="870">
        <f t="shared" si="0"/>
        <v>0</v>
      </c>
    </row>
    <row r="51" spans="1:6" s="16" customFormat="1" ht="30" customHeight="1">
      <c r="A51" s="629" t="s">
        <v>568</v>
      </c>
      <c r="B51" s="630"/>
      <c r="C51" s="631" t="s">
        <v>569</v>
      </c>
      <c r="D51" s="869">
        <v>0</v>
      </c>
      <c r="E51" s="869">
        <v>0</v>
      </c>
      <c r="F51" s="870">
        <f t="shared" si="0"/>
        <v>0</v>
      </c>
    </row>
    <row r="52" spans="1:6" s="16" customFormat="1" ht="30" customHeight="1">
      <c r="A52" s="629" t="s">
        <v>570</v>
      </c>
      <c r="B52" s="630"/>
      <c r="C52" s="631" t="s">
        <v>571</v>
      </c>
      <c r="D52" s="869">
        <v>0</v>
      </c>
      <c r="E52" s="869">
        <v>0</v>
      </c>
      <c r="F52" s="870">
        <f t="shared" si="0"/>
        <v>0</v>
      </c>
    </row>
    <row r="53" spans="1:6" s="16" customFormat="1" ht="30" customHeight="1">
      <c r="A53" s="629" t="s">
        <v>703</v>
      </c>
      <c r="B53" s="630"/>
      <c r="C53" s="631" t="s">
        <v>704</v>
      </c>
      <c r="D53" s="869">
        <v>0</v>
      </c>
      <c r="E53" s="869">
        <v>0</v>
      </c>
      <c r="F53" s="870">
        <f>+D53+E53</f>
        <v>0</v>
      </c>
    </row>
    <row r="54" spans="1:6" s="16" customFormat="1" ht="30" customHeight="1">
      <c r="A54" s="629" t="s">
        <v>573</v>
      </c>
      <c r="B54" s="630"/>
      <c r="C54" s="631" t="s">
        <v>574</v>
      </c>
      <c r="D54" s="869">
        <f>134940+4065+1795</f>
        <v>140800</v>
      </c>
      <c r="E54" s="869">
        <v>0</v>
      </c>
      <c r="F54" s="870">
        <f t="shared" si="0"/>
        <v>140800</v>
      </c>
    </row>
    <row r="55" spans="1:6" s="16" customFormat="1" ht="30" customHeight="1">
      <c r="A55" s="629" t="s">
        <v>575</v>
      </c>
      <c r="B55" s="630"/>
      <c r="C55" s="631" t="s">
        <v>576</v>
      </c>
      <c r="D55" s="869">
        <v>0</v>
      </c>
      <c r="E55" s="869">
        <v>0</v>
      </c>
      <c r="F55" s="870">
        <f t="shared" si="0"/>
        <v>0</v>
      </c>
    </row>
    <row r="56" spans="1:6" s="16" customFormat="1" ht="30" customHeight="1" thickBot="1">
      <c r="A56" s="632" t="s">
        <v>577</v>
      </c>
      <c r="B56" s="633"/>
      <c r="C56" s="634" t="s">
        <v>578</v>
      </c>
      <c r="D56" s="869">
        <v>46941</v>
      </c>
      <c r="E56" s="635">
        <v>0</v>
      </c>
      <c r="F56" s="636">
        <f t="shared" si="0"/>
        <v>46941</v>
      </c>
    </row>
    <row r="57" spans="1:6" s="165" customFormat="1" ht="30" customHeight="1" thickBot="1">
      <c r="A57" s="251" t="s">
        <v>579</v>
      </c>
      <c r="B57" s="252"/>
      <c r="C57" s="531"/>
      <c r="D57" s="257">
        <f>SUM(D10:D56)</f>
        <v>1570837</v>
      </c>
      <c r="E57" s="257">
        <f>SUM(E10:E56)</f>
        <v>0</v>
      </c>
      <c r="F57" s="257">
        <f t="shared" si="0"/>
        <v>1570837</v>
      </c>
    </row>
    <row r="58" spans="1:6" s="16" customFormat="1" ht="30" customHeight="1">
      <c r="A58" s="225"/>
      <c r="B58" s="226"/>
      <c r="C58" s="532"/>
      <c r="D58" s="533"/>
      <c r="E58" s="533"/>
      <c r="F58" s="533"/>
    </row>
    <row r="59" spans="1:6" s="16" customFormat="1" ht="30" customHeight="1">
      <c r="A59" s="227"/>
      <c r="B59" s="227"/>
      <c r="C59" s="227"/>
      <c r="D59" s="228"/>
      <c r="E59" s="228"/>
      <c r="F59" s="228"/>
    </row>
    <row r="60" spans="1:6" s="16" customFormat="1" ht="30" customHeight="1" thickBot="1">
      <c r="A60" s="227"/>
      <c r="B60" s="227"/>
      <c r="C60" s="227"/>
      <c r="D60" s="228"/>
      <c r="E60" s="228"/>
      <c r="F60" s="228"/>
    </row>
    <row r="61" spans="1:6" s="16" customFormat="1" ht="30" customHeight="1" thickBot="1">
      <c r="A61" s="218"/>
      <c r="B61" s="219"/>
      <c r="C61" s="737" t="str">
        <f>C7</f>
        <v>2024-25</v>
      </c>
      <c r="D61" s="738"/>
      <c r="E61" s="738"/>
      <c r="F61" s="739"/>
    </row>
    <row r="62" spans="1:6" s="16" customFormat="1" ht="111.6" customHeight="1" thickBot="1">
      <c r="A62" s="839" t="s">
        <v>698</v>
      </c>
      <c r="B62" s="840"/>
      <c r="C62" s="221" t="s">
        <v>348</v>
      </c>
      <c r="D62" s="222" t="s">
        <v>699</v>
      </c>
      <c r="E62" s="529" t="s">
        <v>700</v>
      </c>
      <c r="F62" s="221" t="s">
        <v>701</v>
      </c>
    </row>
    <row r="63" spans="1:6" s="16" customFormat="1" ht="30" customHeight="1" thickBot="1">
      <c r="A63" s="741" t="s">
        <v>199</v>
      </c>
      <c r="B63" s="742"/>
      <c r="C63" s="229"/>
      <c r="D63" s="230"/>
      <c r="E63" s="230"/>
      <c r="F63" s="230"/>
    </row>
    <row r="64" spans="1:6" s="16" customFormat="1" ht="30" customHeight="1">
      <c r="A64" s="223" t="s">
        <v>581</v>
      </c>
      <c r="B64" s="231"/>
      <c r="C64" s="232" t="s">
        <v>582</v>
      </c>
      <c r="D64" s="426">
        <f>7550+7310+590</f>
        <v>15450</v>
      </c>
      <c r="E64" s="426">
        <v>0</v>
      </c>
      <c r="F64" s="224">
        <f t="shared" si="0"/>
        <v>15450</v>
      </c>
    </row>
    <row r="65" spans="1:6" s="16" customFormat="1" ht="30" customHeight="1">
      <c r="A65" s="629" t="s">
        <v>583</v>
      </c>
      <c r="B65" s="630"/>
      <c r="C65" s="868" t="s">
        <v>584</v>
      </c>
      <c r="D65" s="869">
        <v>245</v>
      </c>
      <c r="E65" s="869">
        <v>0</v>
      </c>
      <c r="F65" s="870">
        <f t="shared" si="0"/>
        <v>245</v>
      </c>
    </row>
    <row r="66" spans="1:6" s="16" customFormat="1" ht="30" customHeight="1">
      <c r="A66" s="629" t="s">
        <v>585</v>
      </c>
      <c r="B66" s="630"/>
      <c r="C66" s="868" t="s">
        <v>586</v>
      </c>
      <c r="D66" s="869">
        <f>2700+4210</f>
        <v>6910</v>
      </c>
      <c r="E66" s="869">
        <v>0</v>
      </c>
      <c r="F66" s="870">
        <f t="shared" si="0"/>
        <v>6910</v>
      </c>
    </row>
    <row r="67" spans="1:6" s="16" customFormat="1" ht="30" customHeight="1">
      <c r="A67" s="629" t="s">
        <v>587</v>
      </c>
      <c r="B67" s="630"/>
      <c r="C67" s="868" t="s">
        <v>588</v>
      </c>
      <c r="D67" s="869">
        <v>0</v>
      </c>
      <c r="E67" s="869">
        <v>0</v>
      </c>
      <c r="F67" s="870">
        <f t="shared" si="0"/>
        <v>0</v>
      </c>
    </row>
    <row r="68" spans="1:6" s="16" customFormat="1" ht="30" customHeight="1">
      <c r="A68" s="629" t="s">
        <v>705</v>
      </c>
      <c r="B68" s="630"/>
      <c r="C68" s="868" t="s">
        <v>590</v>
      </c>
      <c r="D68" s="869">
        <v>0</v>
      </c>
      <c r="E68" s="869">
        <v>0</v>
      </c>
      <c r="F68" s="870">
        <f t="shared" si="0"/>
        <v>0</v>
      </c>
    </row>
    <row r="69" spans="1:6" s="16" customFormat="1" ht="30" customHeight="1">
      <c r="A69" s="629" t="s">
        <v>591</v>
      </c>
      <c r="B69" s="630"/>
      <c r="C69" s="868" t="s">
        <v>592</v>
      </c>
      <c r="D69" s="869">
        <v>0</v>
      </c>
      <c r="E69" s="869">
        <v>0</v>
      </c>
      <c r="F69" s="870">
        <f t="shared" si="0"/>
        <v>0</v>
      </c>
    </row>
    <row r="70" spans="1:6" s="16" customFormat="1" ht="30" customHeight="1">
      <c r="A70" s="871" t="s">
        <v>593</v>
      </c>
      <c r="B70" s="630"/>
      <c r="C70" s="868">
        <v>63100</v>
      </c>
      <c r="D70" s="869">
        <v>0</v>
      </c>
      <c r="E70" s="869">
        <v>0</v>
      </c>
      <c r="F70" s="870">
        <v>0</v>
      </c>
    </row>
    <row r="71" spans="1:6" s="16" customFormat="1" ht="30" customHeight="1">
      <c r="A71" s="629" t="s">
        <v>594</v>
      </c>
      <c r="B71" s="630"/>
      <c r="C71" s="868" t="s">
        <v>595</v>
      </c>
      <c r="D71" s="869">
        <v>0</v>
      </c>
      <c r="E71" s="869">
        <v>0</v>
      </c>
      <c r="F71" s="870">
        <f t="shared" si="0"/>
        <v>0</v>
      </c>
    </row>
    <row r="72" spans="1:6" s="16" customFormat="1" ht="30" customHeight="1">
      <c r="A72" s="629" t="s">
        <v>706</v>
      </c>
      <c r="B72" s="630"/>
      <c r="C72" s="868" t="s">
        <v>597</v>
      </c>
      <c r="D72" s="869">
        <v>0</v>
      </c>
      <c r="E72" s="869">
        <v>0</v>
      </c>
      <c r="F72" s="870">
        <f t="shared" si="0"/>
        <v>0</v>
      </c>
    </row>
    <row r="73" spans="1:6" s="16" customFormat="1" ht="30" customHeight="1">
      <c r="A73" s="629" t="s">
        <v>598</v>
      </c>
      <c r="B73" s="630"/>
      <c r="C73" s="868" t="s">
        <v>599</v>
      </c>
      <c r="D73" s="869">
        <f>120+1250</f>
        <v>1370</v>
      </c>
      <c r="E73" s="869">
        <f>30875+35000+14250</f>
        <v>80125</v>
      </c>
      <c r="F73" s="870">
        <f t="shared" si="0"/>
        <v>81495</v>
      </c>
    </row>
    <row r="74" spans="1:6" s="16" customFormat="1" ht="30" customHeight="1">
      <c r="A74" s="629" t="s">
        <v>600</v>
      </c>
      <c r="B74" s="630"/>
      <c r="C74" s="868" t="s">
        <v>601</v>
      </c>
      <c r="D74" s="869">
        <v>7500</v>
      </c>
      <c r="E74" s="869">
        <v>0</v>
      </c>
      <c r="F74" s="870">
        <f t="shared" si="0"/>
        <v>7500</v>
      </c>
    </row>
    <row r="75" spans="1:6" s="16" customFormat="1" ht="30" customHeight="1">
      <c r="A75" s="629" t="s">
        <v>602</v>
      </c>
      <c r="B75" s="630"/>
      <c r="C75" s="868" t="s">
        <v>603</v>
      </c>
      <c r="D75" s="869">
        <v>0</v>
      </c>
      <c r="E75" s="869">
        <v>0</v>
      </c>
      <c r="F75" s="870">
        <f t="shared" ref="F75:F110" si="1">+D75+E75</f>
        <v>0</v>
      </c>
    </row>
    <row r="76" spans="1:6" s="16" customFormat="1" ht="30" customHeight="1">
      <c r="A76" s="629" t="s">
        <v>604</v>
      </c>
      <c r="B76" s="630"/>
      <c r="C76" s="868" t="s">
        <v>605</v>
      </c>
      <c r="D76" s="869">
        <f>200+3000</f>
        <v>3200</v>
      </c>
      <c r="E76" s="869">
        <v>0</v>
      </c>
      <c r="F76" s="870">
        <f t="shared" si="1"/>
        <v>3200</v>
      </c>
    </row>
    <row r="77" spans="1:6" s="16" customFormat="1" ht="30" customHeight="1">
      <c r="A77" s="629" t="s">
        <v>606</v>
      </c>
      <c r="B77" s="630"/>
      <c r="C77" s="868" t="s">
        <v>607</v>
      </c>
      <c r="D77" s="869">
        <f>5945+1705</f>
        <v>7650</v>
      </c>
      <c r="E77" s="869">
        <v>56976</v>
      </c>
      <c r="F77" s="870">
        <f t="shared" si="1"/>
        <v>64626</v>
      </c>
    </row>
    <row r="78" spans="1:6" s="16" customFormat="1" ht="30" customHeight="1">
      <c r="A78" s="629" t="s">
        <v>608</v>
      </c>
      <c r="B78" s="630"/>
      <c r="C78" s="868" t="s">
        <v>609</v>
      </c>
      <c r="D78" s="869">
        <v>500</v>
      </c>
      <c r="E78" s="869">
        <v>0</v>
      </c>
      <c r="F78" s="870">
        <f t="shared" si="1"/>
        <v>500</v>
      </c>
    </row>
    <row r="79" spans="1:6" s="16" customFormat="1" ht="30" customHeight="1">
      <c r="A79" s="629" t="s">
        <v>610</v>
      </c>
      <c r="B79" s="630"/>
      <c r="C79" s="868" t="s">
        <v>611</v>
      </c>
      <c r="D79" s="869">
        <v>0</v>
      </c>
      <c r="E79" s="869">
        <v>0</v>
      </c>
      <c r="F79" s="870">
        <f t="shared" si="1"/>
        <v>0</v>
      </c>
    </row>
    <row r="80" spans="1:6" s="16" customFormat="1" ht="30" customHeight="1">
      <c r="A80" s="629" t="s">
        <v>612</v>
      </c>
      <c r="B80" s="630"/>
      <c r="C80" s="868" t="s">
        <v>613</v>
      </c>
      <c r="D80" s="869">
        <v>0</v>
      </c>
      <c r="E80" s="869">
        <f>1000+86612</f>
        <v>87612</v>
      </c>
      <c r="F80" s="870">
        <f t="shared" si="1"/>
        <v>87612</v>
      </c>
    </row>
    <row r="81" spans="1:6" s="16" customFormat="1" ht="30" customHeight="1">
      <c r="A81" s="629" t="s">
        <v>614</v>
      </c>
      <c r="B81" s="630"/>
      <c r="C81" s="868" t="s">
        <v>615</v>
      </c>
      <c r="D81" s="869">
        <f>2000+10400+65593</f>
        <v>77993</v>
      </c>
      <c r="E81" s="869">
        <v>0</v>
      </c>
      <c r="F81" s="870">
        <f t="shared" ref="F81:F86" si="2">+D81+E81</f>
        <v>77993</v>
      </c>
    </row>
    <row r="82" spans="1:6" s="16" customFormat="1" ht="30" customHeight="1">
      <c r="A82" s="629" t="s">
        <v>616</v>
      </c>
      <c r="B82" s="630"/>
      <c r="C82" s="868" t="s">
        <v>617</v>
      </c>
      <c r="D82" s="869">
        <v>0</v>
      </c>
      <c r="E82" s="869">
        <v>0</v>
      </c>
      <c r="F82" s="870">
        <f t="shared" si="2"/>
        <v>0</v>
      </c>
    </row>
    <row r="83" spans="1:6" s="16" customFormat="1" ht="30" customHeight="1">
      <c r="A83" s="629" t="s">
        <v>618</v>
      </c>
      <c r="B83" s="630"/>
      <c r="C83" s="868" t="s">
        <v>619</v>
      </c>
      <c r="D83" s="869">
        <v>0</v>
      </c>
      <c r="E83" s="869">
        <v>0</v>
      </c>
      <c r="F83" s="870">
        <f t="shared" si="2"/>
        <v>0</v>
      </c>
    </row>
    <row r="84" spans="1:6" s="16" customFormat="1" ht="30" customHeight="1">
      <c r="A84" s="629" t="s">
        <v>620</v>
      </c>
      <c r="B84" s="630"/>
      <c r="C84" s="868" t="s">
        <v>621</v>
      </c>
      <c r="D84" s="869">
        <v>0</v>
      </c>
      <c r="E84" s="869">
        <v>0</v>
      </c>
      <c r="F84" s="870">
        <f t="shared" si="2"/>
        <v>0</v>
      </c>
    </row>
    <row r="85" spans="1:6" s="16" customFormat="1" ht="30" customHeight="1">
      <c r="A85" s="629" t="s">
        <v>622</v>
      </c>
      <c r="B85" s="630"/>
      <c r="C85" s="868" t="s">
        <v>623</v>
      </c>
      <c r="D85" s="869">
        <v>50000</v>
      </c>
      <c r="E85" s="869">
        <v>0</v>
      </c>
      <c r="F85" s="870">
        <f t="shared" si="2"/>
        <v>50000</v>
      </c>
    </row>
    <row r="86" spans="1:6" s="16" customFormat="1" ht="30" customHeight="1">
      <c r="A86" s="629" t="s">
        <v>624</v>
      </c>
      <c r="B86" s="630"/>
      <c r="C86" s="868" t="s">
        <v>625</v>
      </c>
      <c r="D86" s="869">
        <v>0</v>
      </c>
      <c r="E86" s="869">
        <v>0</v>
      </c>
      <c r="F86" s="870">
        <f t="shared" si="2"/>
        <v>0</v>
      </c>
    </row>
    <row r="87" spans="1:6" s="16" customFormat="1" ht="30" customHeight="1">
      <c r="A87" s="629" t="s">
        <v>626</v>
      </c>
      <c r="B87" s="630"/>
      <c r="C87" s="868" t="s">
        <v>627</v>
      </c>
      <c r="D87" s="869">
        <v>0</v>
      </c>
      <c r="E87" s="869">
        <v>0</v>
      </c>
      <c r="F87" s="870">
        <f t="shared" si="1"/>
        <v>0</v>
      </c>
    </row>
    <row r="88" spans="1:6" s="16" customFormat="1" ht="30" customHeight="1">
      <c r="A88" s="629" t="s">
        <v>707</v>
      </c>
      <c r="B88" s="630"/>
      <c r="C88" s="868">
        <v>69100</v>
      </c>
      <c r="D88" s="869">
        <v>0</v>
      </c>
      <c r="E88" s="869">
        <v>0</v>
      </c>
      <c r="F88" s="870">
        <f t="shared" si="1"/>
        <v>0</v>
      </c>
    </row>
    <row r="89" spans="1:6" s="16" customFormat="1" ht="30" customHeight="1">
      <c r="A89" s="629" t="s">
        <v>708</v>
      </c>
      <c r="B89" s="630"/>
      <c r="C89" s="868">
        <v>69200</v>
      </c>
      <c r="D89" s="869">
        <v>0</v>
      </c>
      <c r="E89" s="869">
        <v>0</v>
      </c>
      <c r="F89" s="870">
        <f t="shared" si="1"/>
        <v>0</v>
      </c>
    </row>
    <row r="90" spans="1:6" s="16" customFormat="1" ht="30" customHeight="1">
      <c r="A90" s="629" t="s">
        <v>630</v>
      </c>
      <c r="B90" s="630"/>
      <c r="C90" s="868" t="s">
        <v>631</v>
      </c>
      <c r="D90" s="869">
        <v>0</v>
      </c>
      <c r="E90" s="869">
        <v>15355</v>
      </c>
      <c r="F90" s="870">
        <f t="shared" si="1"/>
        <v>15355</v>
      </c>
    </row>
    <row r="91" spans="1:6" s="16" customFormat="1" ht="30" customHeight="1">
      <c r="A91" s="629" t="s">
        <v>483</v>
      </c>
      <c r="B91" s="630"/>
      <c r="C91" s="868" t="s">
        <v>633</v>
      </c>
      <c r="D91" s="869">
        <v>0</v>
      </c>
      <c r="E91" s="869">
        <v>0</v>
      </c>
      <c r="F91" s="870">
        <f t="shared" si="1"/>
        <v>0</v>
      </c>
    </row>
    <row r="92" spans="1:6" s="16" customFormat="1" ht="30" customHeight="1" thickBot="1">
      <c r="A92" s="632" t="s">
        <v>634</v>
      </c>
      <c r="B92" s="633"/>
      <c r="C92" s="637" t="s">
        <v>635</v>
      </c>
      <c r="D92" s="869">
        <v>43616</v>
      </c>
      <c r="E92" s="869">
        <v>0</v>
      </c>
      <c r="F92" s="636">
        <f t="shared" si="1"/>
        <v>43616</v>
      </c>
    </row>
    <row r="93" spans="1:6" s="16" customFormat="1" ht="30" customHeight="1" thickBot="1">
      <c r="A93" s="735" t="s">
        <v>709</v>
      </c>
      <c r="B93" s="740"/>
      <c r="C93" s="254"/>
      <c r="D93" s="253">
        <f>SUM(D64:D92)</f>
        <v>214434</v>
      </c>
      <c r="E93" s="253">
        <f>SUM(E64:E92)</f>
        <v>240068</v>
      </c>
      <c r="F93" s="253">
        <f t="shared" si="1"/>
        <v>454502</v>
      </c>
    </row>
    <row r="94" spans="1:6" s="16" customFormat="1" ht="30" customHeight="1">
      <c r="A94" s="233"/>
      <c r="B94" s="233"/>
      <c r="C94" s="233"/>
      <c r="D94" s="234"/>
      <c r="E94" s="234"/>
      <c r="F94" s="234"/>
    </row>
    <row r="95" spans="1:6" s="16" customFormat="1" ht="30" customHeight="1" thickBot="1">
      <c r="A95" s="233"/>
      <c r="B95" s="233"/>
      <c r="C95" s="233"/>
      <c r="D95" s="234"/>
      <c r="E95" s="234"/>
      <c r="F95" s="234"/>
    </row>
    <row r="96" spans="1:6" s="16" customFormat="1" ht="30" customHeight="1" thickBot="1">
      <c r="A96" s="235"/>
      <c r="B96" s="235"/>
      <c r="C96" s="737" t="str">
        <f>C7</f>
        <v>2024-25</v>
      </c>
      <c r="D96" s="738"/>
      <c r="E96" s="738"/>
      <c r="F96" s="739"/>
    </row>
    <row r="97" spans="1:6" s="16" customFormat="1" ht="111.6" customHeight="1" thickBot="1">
      <c r="A97" s="841" t="s">
        <v>200</v>
      </c>
      <c r="B97" s="842"/>
      <c r="C97" s="221" t="s">
        <v>348</v>
      </c>
      <c r="D97" s="222" t="s">
        <v>699</v>
      </c>
      <c r="E97" s="529" t="s">
        <v>700</v>
      </c>
      <c r="F97" s="221" t="s">
        <v>701</v>
      </c>
    </row>
    <row r="98" spans="1:6" s="16" customFormat="1" ht="30" customHeight="1">
      <c r="A98" s="223" t="s">
        <v>637</v>
      </c>
      <c r="B98" s="231"/>
      <c r="C98" s="232" t="s">
        <v>638</v>
      </c>
      <c r="D98" s="426">
        <v>0</v>
      </c>
      <c r="E98" s="426">
        <v>0</v>
      </c>
      <c r="F98" s="224">
        <f t="shared" si="1"/>
        <v>0</v>
      </c>
    </row>
    <row r="99" spans="1:6" s="16" customFormat="1" ht="30" customHeight="1">
      <c r="A99" s="629" t="s">
        <v>710</v>
      </c>
      <c r="B99" s="630"/>
      <c r="C99" s="868" t="s">
        <v>640</v>
      </c>
      <c r="D99" s="869">
        <v>0</v>
      </c>
      <c r="E99" s="869">
        <v>0</v>
      </c>
      <c r="F99" s="870">
        <f t="shared" si="1"/>
        <v>0</v>
      </c>
    </row>
    <row r="100" spans="1:6" s="16" customFormat="1" ht="30" customHeight="1">
      <c r="A100" s="629" t="s">
        <v>641</v>
      </c>
      <c r="B100" s="630"/>
      <c r="C100" s="868" t="s">
        <v>642</v>
      </c>
      <c r="D100" s="869">
        <v>0</v>
      </c>
      <c r="E100" s="869">
        <v>0</v>
      </c>
      <c r="F100" s="870">
        <f t="shared" si="1"/>
        <v>0</v>
      </c>
    </row>
    <row r="101" spans="1:6" s="16" customFormat="1" ht="30" customHeight="1">
      <c r="A101" s="629" t="s">
        <v>643</v>
      </c>
      <c r="B101" s="630"/>
      <c r="C101" s="868" t="s">
        <v>644</v>
      </c>
      <c r="D101" s="869">
        <v>0</v>
      </c>
      <c r="E101" s="869">
        <v>0</v>
      </c>
      <c r="F101" s="870">
        <f t="shared" si="1"/>
        <v>0</v>
      </c>
    </row>
    <row r="102" spans="1:6" s="16" customFormat="1" ht="30" customHeight="1">
      <c r="A102" s="629" t="s">
        <v>649</v>
      </c>
      <c r="B102" s="630"/>
      <c r="C102" s="868" t="s">
        <v>650</v>
      </c>
      <c r="D102" s="869">
        <v>0</v>
      </c>
      <c r="E102" s="869">
        <v>0</v>
      </c>
      <c r="F102" s="870">
        <f t="shared" si="1"/>
        <v>0</v>
      </c>
    </row>
    <row r="103" spans="1:6" s="16" customFormat="1" ht="30" customHeight="1">
      <c r="A103" s="944" t="s">
        <v>645</v>
      </c>
      <c r="B103" s="945"/>
      <c r="C103" s="1139">
        <v>73001</v>
      </c>
      <c r="D103" s="1140">
        <v>0</v>
      </c>
      <c r="E103" s="1140">
        <v>0</v>
      </c>
      <c r="F103" s="1141">
        <f t="shared" si="1"/>
        <v>0</v>
      </c>
    </row>
    <row r="104" spans="1:6" s="16" customFormat="1" ht="30" customHeight="1">
      <c r="A104" s="946" t="s">
        <v>646</v>
      </c>
      <c r="B104" s="947"/>
      <c r="C104" s="948">
        <v>73002</v>
      </c>
      <c r="D104" s="966">
        <v>0</v>
      </c>
      <c r="E104" s="966">
        <v>0</v>
      </c>
      <c r="F104" s="905">
        <f t="shared" si="1"/>
        <v>0</v>
      </c>
    </row>
    <row r="105" spans="1:6" s="16" customFormat="1" ht="30" customHeight="1">
      <c r="A105" s="629" t="s">
        <v>647</v>
      </c>
      <c r="B105" s="630"/>
      <c r="C105" s="1142">
        <v>73050</v>
      </c>
      <c r="D105" s="1143">
        <v>0</v>
      </c>
      <c r="E105" s="1143">
        <v>0</v>
      </c>
      <c r="F105" s="1144">
        <f>+D105+E105</f>
        <v>0</v>
      </c>
    </row>
    <row r="106" spans="1:6" s="16" customFormat="1" ht="30" customHeight="1">
      <c r="A106" s="871" t="s">
        <v>648</v>
      </c>
      <c r="B106" s="630"/>
      <c r="C106" s="868">
        <v>73100</v>
      </c>
      <c r="D106" s="869">
        <v>0</v>
      </c>
      <c r="E106" s="869">
        <v>0</v>
      </c>
      <c r="F106" s="1144">
        <f>+D106+E106</f>
        <v>0</v>
      </c>
    </row>
    <row r="107" spans="1:6" s="16" customFormat="1" ht="47.25" customHeight="1">
      <c r="A107" s="927" t="s">
        <v>711</v>
      </c>
      <c r="B107" s="928"/>
      <c r="C107" s="868" t="s">
        <v>652</v>
      </c>
      <c r="D107" s="869">
        <v>0</v>
      </c>
      <c r="E107" s="869">
        <v>0</v>
      </c>
      <c r="F107" s="870">
        <f t="shared" si="1"/>
        <v>0</v>
      </c>
    </row>
    <row r="108" spans="1:6" s="16" customFormat="1" ht="30" customHeight="1">
      <c r="A108" s="629" t="s">
        <v>653</v>
      </c>
      <c r="B108" s="630"/>
      <c r="C108" s="868" t="s">
        <v>654</v>
      </c>
      <c r="D108" s="869">
        <v>0</v>
      </c>
      <c r="E108" s="869">
        <v>0</v>
      </c>
      <c r="F108" s="870">
        <f t="shared" si="1"/>
        <v>0</v>
      </c>
    </row>
    <row r="109" spans="1:6" s="16" customFormat="1" ht="30" customHeight="1">
      <c r="A109" s="629" t="s">
        <v>655</v>
      </c>
      <c r="B109" s="630"/>
      <c r="C109" s="868" t="s">
        <v>656</v>
      </c>
      <c r="D109" s="869">
        <v>0</v>
      </c>
      <c r="E109" s="869">
        <v>0</v>
      </c>
      <c r="F109" s="870">
        <f t="shared" si="1"/>
        <v>0</v>
      </c>
    </row>
    <row r="110" spans="1:6" s="16" customFormat="1" ht="30" customHeight="1" thickBot="1">
      <c r="A110" s="632" t="s">
        <v>657</v>
      </c>
      <c r="B110" s="633"/>
      <c r="C110" s="637" t="s">
        <v>658</v>
      </c>
      <c r="D110" s="635">
        <v>0</v>
      </c>
      <c r="E110" s="635">
        <v>0</v>
      </c>
      <c r="F110" s="636">
        <f t="shared" si="1"/>
        <v>0</v>
      </c>
    </row>
    <row r="111" spans="1:6" s="16" customFormat="1" ht="30" customHeight="1" thickBot="1">
      <c r="A111" s="255" t="s">
        <v>659</v>
      </c>
      <c r="B111" s="256"/>
      <c r="C111" s="256"/>
      <c r="D111" s="257">
        <f>SUM(D98:D110)</f>
        <v>0</v>
      </c>
      <c r="E111" s="257">
        <f>SUM(E98:E110)</f>
        <v>0</v>
      </c>
      <c r="F111" s="257">
        <f>SUM(D111:E111)</f>
        <v>0</v>
      </c>
    </row>
    <row r="112" spans="1:6" s="16" customFormat="1" ht="30" customHeight="1" thickBot="1">
      <c r="A112" s="261"/>
      <c r="B112" s="262"/>
      <c r="C112" s="258"/>
      <c r="D112" s="259"/>
      <c r="E112" s="259"/>
      <c r="F112" s="259"/>
    </row>
    <row r="113" spans="1:7" s="168" customFormat="1" ht="30" customHeight="1" thickBot="1">
      <c r="A113" s="735" t="s">
        <v>660</v>
      </c>
      <c r="B113" s="740"/>
      <c r="C113" s="246"/>
      <c r="D113" s="253">
        <f>+D57+D93+D111</f>
        <v>1785271</v>
      </c>
      <c r="E113" s="253">
        <f>+E57+E93+E111</f>
        <v>240068</v>
      </c>
      <c r="F113" s="253">
        <f>SUM(D113:E113)</f>
        <v>2025339</v>
      </c>
    </row>
    <row r="114" spans="1:7" s="16" customFormat="1" ht="116.45" customHeight="1">
      <c r="F114" s="236"/>
    </row>
    <row r="115" spans="1:7" s="65" customFormat="1" ht="30" customHeight="1" thickBot="1">
      <c r="A115" s="16"/>
      <c r="B115" s="16"/>
      <c r="C115" s="16"/>
      <c r="D115" s="16"/>
      <c r="E115" s="16"/>
      <c r="F115" s="16"/>
    </row>
    <row r="116" spans="1:7" s="65" customFormat="1" ht="111.75" customHeight="1" thickBot="1">
      <c r="A116" s="839" t="s">
        <v>712</v>
      </c>
      <c r="B116" s="840"/>
      <c r="C116" s="221" t="s">
        <v>348</v>
      </c>
      <c r="D116" s="221" t="s">
        <v>699</v>
      </c>
      <c r="E116" s="221" t="s">
        <v>700</v>
      </c>
      <c r="G116" s="221" t="s">
        <v>701</v>
      </c>
    </row>
    <row r="117" spans="1:7" s="65" customFormat="1" ht="30" customHeight="1">
      <c r="A117" s="223" t="s">
        <v>713</v>
      </c>
      <c r="B117" s="249"/>
      <c r="C117" s="250"/>
      <c r="D117" s="426">
        <v>0</v>
      </c>
      <c r="E117" s="426">
        <v>0</v>
      </c>
      <c r="F117" s="224">
        <v>0</v>
      </c>
    </row>
    <row r="118" spans="1:7" s="65" customFormat="1" ht="30" customHeight="1">
      <c r="A118" s="629" t="s">
        <v>714</v>
      </c>
      <c r="B118" s="568"/>
      <c r="C118" s="1145"/>
      <c r="D118" s="1146">
        <f>'EXHIBIT C'!H10</f>
        <v>1338665</v>
      </c>
      <c r="E118" s="869">
        <v>0</v>
      </c>
      <c r="F118" s="870">
        <f t="shared" ref="F118:F128" si="3">+D118+E118</f>
        <v>1338665</v>
      </c>
    </row>
    <row r="119" spans="1:7" s="65" customFormat="1" ht="30" customHeight="1">
      <c r="A119" s="629" t="s">
        <v>715</v>
      </c>
      <c r="B119" s="568"/>
      <c r="C119" s="1145"/>
      <c r="D119" s="1146">
        <f>'EXHIBIT C'!F19</f>
        <v>101101</v>
      </c>
      <c r="E119" s="869">
        <v>0</v>
      </c>
      <c r="F119" s="870">
        <f t="shared" si="3"/>
        <v>101101</v>
      </c>
    </row>
    <row r="120" spans="1:7" s="65" customFormat="1" ht="50.25" customHeight="1">
      <c r="A120" s="629" t="s">
        <v>716</v>
      </c>
      <c r="B120" s="568"/>
      <c r="C120" s="1145"/>
      <c r="D120" s="869">
        <v>140149</v>
      </c>
      <c r="E120" s="869">
        <v>237888</v>
      </c>
      <c r="F120" s="870">
        <f t="shared" si="3"/>
        <v>378037</v>
      </c>
    </row>
    <row r="121" spans="1:7" s="65" customFormat="1" ht="30" customHeight="1">
      <c r="A121" s="629" t="s">
        <v>717</v>
      </c>
      <c r="B121" s="568"/>
      <c r="C121" s="1145"/>
      <c r="D121" s="869">
        <v>0</v>
      </c>
      <c r="E121" s="869">
        <v>0</v>
      </c>
      <c r="F121" s="870">
        <f t="shared" si="3"/>
        <v>0</v>
      </c>
    </row>
    <row r="122" spans="1:7" s="65" customFormat="1" ht="30" customHeight="1">
      <c r="A122" s="843" t="s">
        <v>718</v>
      </c>
      <c r="B122" s="568"/>
      <c r="C122" s="1145"/>
      <c r="D122" s="869">
        <v>0</v>
      </c>
      <c r="E122" s="869">
        <v>0</v>
      </c>
      <c r="F122" s="870">
        <f t="shared" si="3"/>
        <v>0</v>
      </c>
    </row>
    <row r="123" spans="1:7" s="65" customFormat="1" ht="30" customHeight="1">
      <c r="A123" s="629" t="s">
        <v>719</v>
      </c>
      <c r="B123" s="568"/>
      <c r="C123" s="1145"/>
      <c r="D123" s="869">
        <v>178164</v>
      </c>
      <c r="E123" s="869">
        <v>0</v>
      </c>
      <c r="F123" s="870">
        <f t="shared" si="3"/>
        <v>178164</v>
      </c>
    </row>
    <row r="124" spans="1:7" s="65" customFormat="1" ht="30" customHeight="1">
      <c r="A124" s="629" t="s">
        <v>720</v>
      </c>
      <c r="B124" s="568"/>
      <c r="C124" s="1145"/>
      <c r="D124" s="869">
        <v>0</v>
      </c>
      <c r="E124" s="869">
        <v>0</v>
      </c>
      <c r="F124" s="870">
        <f t="shared" si="3"/>
        <v>0</v>
      </c>
    </row>
    <row r="125" spans="1:7" s="65" customFormat="1" ht="30" customHeight="1">
      <c r="A125" s="629" t="s">
        <v>721</v>
      </c>
      <c r="B125" s="568"/>
      <c r="C125" s="1145"/>
      <c r="D125" s="869">
        <v>0</v>
      </c>
      <c r="E125" s="869">
        <v>0</v>
      </c>
      <c r="F125" s="870">
        <f t="shared" si="3"/>
        <v>0</v>
      </c>
    </row>
    <row r="126" spans="1:7" s="65" customFormat="1" ht="30" customHeight="1">
      <c r="A126" s="629" t="s">
        <v>722</v>
      </c>
      <c r="B126" s="568"/>
      <c r="C126" s="1145"/>
      <c r="D126" s="869">
        <v>159183</v>
      </c>
      <c r="E126" s="869">
        <v>0</v>
      </c>
      <c r="F126" s="870">
        <f t="shared" si="3"/>
        <v>159183</v>
      </c>
    </row>
    <row r="127" spans="1:7" ht="24.75" customHeight="1">
      <c r="A127" s="629" t="s">
        <v>723</v>
      </c>
      <c r="B127" s="568"/>
      <c r="C127" s="1145"/>
      <c r="D127" s="869">
        <v>0</v>
      </c>
      <c r="E127" s="869">
        <v>0</v>
      </c>
      <c r="F127" s="870">
        <f t="shared" si="3"/>
        <v>0</v>
      </c>
    </row>
    <row r="128" spans="1:7" ht="22.5" customHeight="1" thickBot="1">
      <c r="A128" s="632" t="s">
        <v>724</v>
      </c>
      <c r="B128" s="638"/>
      <c r="C128" s="639"/>
      <c r="D128" s="635">
        <v>0</v>
      </c>
      <c r="E128" s="635">
        <v>0</v>
      </c>
      <c r="F128" s="636">
        <f t="shared" si="3"/>
        <v>0</v>
      </c>
    </row>
    <row r="129" spans="1:6" ht="110.1" customHeight="1" thickBot="1">
      <c r="A129" s="735" t="s">
        <v>725</v>
      </c>
      <c r="B129" s="736"/>
      <c r="C129" s="246"/>
      <c r="D129" s="247">
        <f>SUM(D117:D128)</f>
        <v>1917262</v>
      </c>
      <c r="E129" s="1147">
        <f>SUM(E117:E128)</f>
        <v>237888</v>
      </c>
      <c r="F129" s="248">
        <f>SUM(F117:F128)</f>
        <v>2155150</v>
      </c>
    </row>
    <row r="130" spans="1:6" ht="14.1" customHeight="1">
      <c r="A130" s="237"/>
      <c r="B130" s="237"/>
      <c r="C130" s="238"/>
      <c r="D130" s="239"/>
      <c r="E130" s="239"/>
      <c r="F130" s="239"/>
    </row>
    <row r="131" spans="1:6" ht="83.25" customHeight="1">
      <c r="A131" s="790" t="s">
        <v>726</v>
      </c>
      <c r="B131" s="790"/>
      <c r="C131" s="791"/>
      <c r="D131" s="240">
        <f>D129-D113</f>
        <v>131991</v>
      </c>
      <c r="E131" s="240">
        <f>E129-E113</f>
        <v>-2180</v>
      </c>
      <c r="F131" s="240">
        <f>F129-F113</f>
        <v>129811</v>
      </c>
    </row>
    <row r="132" spans="1:6" ht="30" customHeight="1">
      <c r="A132" s="237"/>
      <c r="B132" s="237"/>
      <c r="C132" s="238"/>
      <c r="D132" s="239"/>
      <c r="E132" s="239"/>
      <c r="F132" s="239"/>
    </row>
    <row r="133" spans="1:6" ht="30" customHeight="1" thickBot="1">
      <c r="A133" s="430" t="s">
        <v>727</v>
      </c>
      <c r="B133" s="16"/>
      <c r="C133" s="16"/>
      <c r="D133" s="241"/>
      <c r="E133" s="241"/>
      <c r="F133" s="242"/>
    </row>
    <row r="134" spans="1:6" ht="238.5" customHeight="1" thickBot="1">
      <c r="A134" s="929" t="s">
        <v>792</v>
      </c>
      <c r="B134" s="930"/>
      <c r="C134" s="930"/>
      <c r="D134" s="930"/>
      <c r="E134" s="930"/>
      <c r="F134" s="931"/>
    </row>
    <row r="135" spans="1:6" ht="30" customHeight="1">
      <c r="A135" s="427"/>
      <c r="B135" s="427"/>
      <c r="C135" s="427"/>
      <c r="D135" s="427"/>
      <c r="E135" s="427"/>
      <c r="F135" s="427"/>
    </row>
    <row r="136" spans="1:6" ht="30" customHeight="1" thickBot="1">
      <c r="A136" s="430" t="s">
        <v>728</v>
      </c>
      <c r="B136" s="428"/>
      <c r="C136" s="428"/>
      <c r="D136" s="241"/>
      <c r="E136" s="241"/>
      <c r="F136" s="242"/>
    </row>
    <row r="137" spans="1:6" ht="207" customHeight="1" thickBot="1">
      <c r="A137" s="929"/>
      <c r="B137" s="930"/>
      <c r="C137" s="930"/>
      <c r="D137" s="930"/>
      <c r="E137" s="930"/>
      <c r="F137" s="931"/>
    </row>
    <row r="138" spans="1:6" ht="25.35" customHeight="1">
      <c r="F138" s="244"/>
    </row>
    <row r="139" spans="1:6" ht="25.35" customHeight="1">
      <c r="F139" s="244"/>
    </row>
    <row r="140" spans="1:6" ht="25.35" customHeight="1">
      <c r="F140" s="244"/>
    </row>
    <row r="141" spans="1:6" ht="25.35" customHeight="1">
      <c r="F141" s="244"/>
    </row>
    <row r="142" spans="1:6" ht="25.35" customHeight="1">
      <c r="F142" s="244"/>
    </row>
    <row r="143" spans="1:6" ht="25.35" customHeight="1">
      <c r="E143" s="245"/>
      <c r="F143" s="244"/>
    </row>
    <row r="144" spans="1:6" ht="25.35" customHeight="1">
      <c r="E144" s="245"/>
      <c r="F144" s="244"/>
    </row>
    <row r="145" spans="5:6" ht="25.35" customHeight="1">
      <c r="E145" s="245"/>
      <c r="F145" s="244"/>
    </row>
    <row r="146" spans="5:6" ht="25.35" customHeight="1">
      <c r="F146" s="244"/>
    </row>
    <row r="147" spans="5:6" ht="25.35" customHeight="1">
      <c r="F147" s="244"/>
    </row>
    <row r="148" spans="5:6" ht="25.35" customHeight="1">
      <c r="F148" s="244"/>
    </row>
    <row r="149" spans="5:6" ht="25.35" customHeight="1">
      <c r="F149" s="244"/>
    </row>
    <row r="150" spans="5:6" ht="25.35" customHeight="1">
      <c r="F150" s="244"/>
    </row>
    <row r="151" spans="5:6" ht="25.35" customHeight="1">
      <c r="F151" s="244"/>
    </row>
    <row r="152" spans="5:6" ht="25.35" customHeight="1">
      <c r="F152" s="244"/>
    </row>
    <row r="153" spans="5:6" ht="25.35" customHeight="1">
      <c r="F153" s="244"/>
    </row>
    <row r="154" spans="5:6" ht="25.35" customHeight="1">
      <c r="F154" s="244"/>
    </row>
    <row r="155" spans="5:6" ht="25.35" customHeight="1">
      <c r="F155" s="244"/>
    </row>
    <row r="156" spans="5:6" ht="25.35" customHeight="1">
      <c r="F156" s="244"/>
    </row>
    <row r="157" spans="5:6" ht="25.35" customHeight="1">
      <c r="F157" s="244"/>
    </row>
    <row r="158" spans="5:6" ht="25.35" customHeight="1">
      <c r="F158" s="244"/>
    </row>
    <row r="159" spans="5:6" ht="25.35" customHeight="1">
      <c r="F159" s="244"/>
    </row>
    <row r="160" spans="5: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ht="25.35" customHeight="1">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row r="1184" spans="6:6">
      <c r="F1184" s="244"/>
    </row>
  </sheetData>
  <sheetProtection algorithmName="SHA-512" hashValue="dYBBD0flzrHSlgU4y5umVBq7Q4E06+C52APoH1Q4Er9gKJo0dakejmHYvpNMBXWRa3SF5I8jbSgBfwdqPuwNhQ==" saltValue="8MLuEHtgmHfLMc+o4txm7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4" customWidth="1"/>
    <col min="2" max="2" width="84.42578125" style="264" customWidth="1"/>
    <col min="3" max="3" width="14.85546875" style="264" customWidth="1"/>
    <col min="4" max="4" width="14" style="264" customWidth="1"/>
    <col min="5" max="5" width="15.42578125" style="264" customWidth="1"/>
    <col min="6" max="6" width="9.140625" style="264"/>
    <col min="7" max="7" width="10.85546875" style="264" customWidth="1"/>
    <col min="8" max="16384" width="9.140625" style="264"/>
  </cols>
  <sheetData>
    <row r="1" spans="2:7" ht="26.25">
      <c r="B1" s="773" t="s">
        <v>10</v>
      </c>
      <c r="C1" s="773"/>
      <c r="D1" s="773"/>
      <c r="E1" s="773"/>
      <c r="F1" s="263"/>
      <c r="G1" s="263"/>
    </row>
    <row r="2" spans="2:7" ht="26.25">
      <c r="B2" s="773" t="s">
        <v>729</v>
      </c>
      <c r="C2" s="773"/>
      <c r="D2" s="773"/>
      <c r="E2" s="773"/>
      <c r="F2" s="263"/>
      <c r="G2" s="263"/>
    </row>
    <row r="3" spans="2:7" ht="21">
      <c r="B3" s="763"/>
      <c r="C3" s="763"/>
      <c r="D3" s="763"/>
      <c r="E3" s="763"/>
      <c r="F3" s="263"/>
      <c r="G3" s="263"/>
    </row>
    <row r="4" spans="2:7" ht="21.75" thickBot="1">
      <c r="B4" s="867"/>
      <c r="C4" s="867"/>
      <c r="D4" s="867"/>
      <c r="E4" s="867"/>
      <c r="F4" s="263"/>
      <c r="G4" s="263"/>
    </row>
    <row r="5" spans="2:7" ht="48" customHeight="1">
      <c r="B5" s="758" t="s">
        <v>730</v>
      </c>
      <c r="C5" s="847" t="s">
        <v>731</v>
      </c>
      <c r="D5" s="848"/>
      <c r="E5" s="849"/>
    </row>
    <row r="6" spans="2:7">
      <c r="B6" s="759"/>
      <c r="C6" s="748" t="s">
        <v>732</v>
      </c>
      <c r="D6" s="640" t="s">
        <v>733</v>
      </c>
      <c r="E6" s="641" t="s">
        <v>734</v>
      </c>
    </row>
    <row r="7" spans="2:7" ht="29.25" customHeight="1">
      <c r="B7" s="1148"/>
      <c r="C7" s="749"/>
      <c r="D7" s="642">
        <v>-0.1</v>
      </c>
      <c r="E7" s="643">
        <v>0.15</v>
      </c>
    </row>
    <row r="8" spans="2:7" ht="15" customHeight="1">
      <c r="B8" s="644" t="s">
        <v>260</v>
      </c>
      <c r="C8" s="645">
        <v>71.975999999999999</v>
      </c>
      <c r="D8" s="645">
        <v>64.78</v>
      </c>
      <c r="E8" s="646">
        <v>82.78</v>
      </c>
    </row>
    <row r="9" spans="2:7" ht="15" customHeight="1">
      <c r="B9" s="647" t="s">
        <v>735</v>
      </c>
      <c r="C9" s="648">
        <v>3.6</v>
      </c>
      <c r="D9" s="648">
        <v>3.24</v>
      </c>
      <c r="E9" s="649">
        <v>4.1399999999999997</v>
      </c>
    </row>
    <row r="10" spans="2:7" ht="15" customHeight="1">
      <c r="B10" s="647" t="s">
        <v>736</v>
      </c>
      <c r="C10" s="648">
        <v>3.6</v>
      </c>
      <c r="D10" s="648">
        <v>3.24</v>
      </c>
      <c r="E10" s="649">
        <v>4.1399999999999997</v>
      </c>
    </row>
    <row r="11" spans="2:7" ht="15" customHeight="1">
      <c r="B11" s="650" t="s">
        <v>737</v>
      </c>
      <c r="C11" s="648">
        <v>7.2</v>
      </c>
      <c r="D11" s="648">
        <v>6.48</v>
      </c>
      <c r="E11" s="649">
        <v>8.2799999999999994</v>
      </c>
      <c r="F11" s="168"/>
    </row>
    <row r="12" spans="2:7" ht="15" customHeight="1">
      <c r="B12" s="651" t="s">
        <v>738</v>
      </c>
      <c r="C12" s="652"/>
      <c r="D12" s="652"/>
      <c r="E12" s="653"/>
    </row>
    <row r="13" spans="2:7" ht="42.6" customHeight="1">
      <c r="B13" s="760" t="s">
        <v>739</v>
      </c>
      <c r="C13" s="844" t="s">
        <v>731</v>
      </c>
      <c r="D13" s="845"/>
      <c r="E13" s="846"/>
    </row>
    <row r="14" spans="2:7">
      <c r="B14" s="759"/>
      <c r="C14" s="748" t="s">
        <v>732</v>
      </c>
      <c r="D14" s="654" t="s">
        <v>733</v>
      </c>
      <c r="E14" s="655" t="s">
        <v>734</v>
      </c>
    </row>
    <row r="15" spans="2:7">
      <c r="B15" s="1148"/>
      <c r="C15" s="749"/>
      <c r="D15" s="642">
        <f>D7</f>
        <v>-0.1</v>
      </c>
      <c r="E15" s="643">
        <f>E7</f>
        <v>0.15</v>
      </c>
    </row>
    <row r="16" spans="2:7" ht="15" customHeight="1">
      <c r="B16" s="656" t="s">
        <v>260</v>
      </c>
      <c r="C16" s="648">
        <v>71.975999999999999</v>
      </c>
      <c r="D16" s="648">
        <v>64.78</v>
      </c>
      <c r="E16" s="649">
        <v>82.78</v>
      </c>
    </row>
    <row r="17" spans="2:5" ht="15" customHeight="1">
      <c r="B17" s="656" t="s">
        <v>740</v>
      </c>
      <c r="C17" s="648">
        <v>215.93799999999999</v>
      </c>
      <c r="D17" s="648">
        <v>194.35</v>
      </c>
      <c r="E17" s="649">
        <v>248.33</v>
      </c>
    </row>
    <row r="18" spans="2:5" ht="15" customHeight="1">
      <c r="B18" s="651" t="s">
        <v>741</v>
      </c>
      <c r="C18" s="648">
        <v>14.4</v>
      </c>
      <c r="D18" s="648">
        <v>12.96</v>
      </c>
      <c r="E18" s="649">
        <v>16.559999999999999</v>
      </c>
    </row>
    <row r="19" spans="2:5" ht="15" customHeight="1">
      <c r="B19" s="651" t="s">
        <v>742</v>
      </c>
      <c r="C19" s="648">
        <v>14.4</v>
      </c>
      <c r="D19" s="648">
        <v>12.96</v>
      </c>
      <c r="E19" s="649">
        <v>16.559999999999999</v>
      </c>
    </row>
    <row r="20" spans="2:5" ht="15" customHeight="1">
      <c r="B20" s="657" t="s">
        <v>743</v>
      </c>
      <c r="C20" s="648">
        <v>7.2</v>
      </c>
      <c r="D20" s="648">
        <v>6.48</v>
      </c>
      <c r="E20" s="649">
        <v>8.2799999999999994</v>
      </c>
    </row>
    <row r="21" spans="2:5" ht="15" customHeight="1" thickBot="1">
      <c r="B21" s="658" t="s">
        <v>744</v>
      </c>
      <c r="C21" s="659">
        <v>57.58</v>
      </c>
      <c r="D21" s="659">
        <v>51.83</v>
      </c>
      <c r="E21" s="660">
        <v>66.22</v>
      </c>
    </row>
    <row r="22" spans="2:5" ht="16.5" thickBot="1">
      <c r="B22" s="265"/>
    </row>
    <row r="23" spans="2:5" ht="34.35" customHeight="1">
      <c r="B23" s="761" t="s">
        <v>745</v>
      </c>
      <c r="C23" s="850" t="s">
        <v>731</v>
      </c>
      <c r="D23" s="851"/>
      <c r="E23" s="852"/>
    </row>
    <row r="24" spans="2:5">
      <c r="B24" s="762"/>
      <c r="C24" s="748" t="s">
        <v>732</v>
      </c>
      <c r="D24" s="640" t="s">
        <v>733</v>
      </c>
      <c r="E24" s="661" t="s">
        <v>734</v>
      </c>
    </row>
    <row r="25" spans="2:5">
      <c r="B25" s="1149"/>
      <c r="C25" s="749"/>
      <c r="D25" s="642">
        <v>0</v>
      </c>
      <c r="E25" s="662">
        <v>0</v>
      </c>
    </row>
    <row r="26" spans="2:5" ht="15" customHeight="1">
      <c r="B26" s="663" t="s">
        <v>260</v>
      </c>
      <c r="C26" s="648">
        <v>91.79</v>
      </c>
      <c r="D26" s="648">
        <f>ROUND(C26*(1+D25),2)</f>
        <v>91.79</v>
      </c>
      <c r="E26" s="664">
        <f>ROUND(C26*(1+E25),2)</f>
        <v>91.79</v>
      </c>
    </row>
    <row r="27" spans="2:5" ht="15" customHeight="1">
      <c r="B27" s="665" t="s">
        <v>735</v>
      </c>
      <c r="C27" s="648">
        <v>4.59</v>
      </c>
      <c r="D27" s="648">
        <v>4.59</v>
      </c>
      <c r="E27" s="664">
        <v>4.59</v>
      </c>
    </row>
    <row r="28" spans="2:5" ht="15" customHeight="1">
      <c r="B28" s="665" t="s">
        <v>736</v>
      </c>
      <c r="C28" s="648">
        <v>4.59</v>
      </c>
      <c r="D28" s="648">
        <v>4.59</v>
      </c>
      <c r="E28" s="664">
        <v>4.59</v>
      </c>
    </row>
    <row r="29" spans="2:5" ht="15" customHeight="1">
      <c r="B29" s="666" t="s">
        <v>737</v>
      </c>
      <c r="C29" s="648">
        <v>9.18</v>
      </c>
      <c r="D29" s="648">
        <v>9.18</v>
      </c>
      <c r="E29" s="664">
        <v>9.18</v>
      </c>
    </row>
    <row r="30" spans="2:5" ht="15" customHeight="1">
      <c r="B30" s="665" t="s">
        <v>746</v>
      </c>
      <c r="C30" s="652"/>
      <c r="D30" s="652"/>
      <c r="E30" s="667"/>
    </row>
    <row r="31" spans="2:5" ht="41.45" customHeight="1">
      <c r="B31" s="754" t="s">
        <v>747</v>
      </c>
      <c r="C31" s="844" t="s">
        <v>731</v>
      </c>
      <c r="D31" s="845"/>
      <c r="E31" s="853"/>
    </row>
    <row r="32" spans="2:5">
      <c r="B32" s="755"/>
      <c r="C32" s="748" t="s">
        <v>732</v>
      </c>
      <c r="D32" s="640" t="s">
        <v>733</v>
      </c>
      <c r="E32" s="661" t="s">
        <v>734</v>
      </c>
    </row>
    <row r="33" spans="2:7">
      <c r="B33" s="1150"/>
      <c r="C33" s="749"/>
      <c r="D33" s="642">
        <f>D25</f>
        <v>0</v>
      </c>
      <c r="E33" s="662">
        <f>E25</f>
        <v>0</v>
      </c>
    </row>
    <row r="34" spans="2:7" ht="15" customHeight="1">
      <c r="B34" s="663" t="s">
        <v>260</v>
      </c>
      <c r="C34" s="648">
        <v>91.79</v>
      </c>
      <c r="D34" s="648">
        <f>ROUND(C34*(1+D33),2)</f>
        <v>91.79</v>
      </c>
      <c r="E34" s="664">
        <f>ROUND(C34*(1+E33),2)</f>
        <v>91.79</v>
      </c>
    </row>
    <row r="35" spans="2:7" ht="15" customHeight="1">
      <c r="B35" s="663" t="s">
        <v>740</v>
      </c>
      <c r="C35" s="668" t="s">
        <v>748</v>
      </c>
      <c r="D35" s="668" t="s">
        <v>748</v>
      </c>
      <c r="E35" s="669" t="s">
        <v>748</v>
      </c>
    </row>
    <row r="36" spans="2:7" ht="15" customHeight="1">
      <c r="B36" s="665" t="s">
        <v>741</v>
      </c>
      <c r="C36" s="668" t="s">
        <v>748</v>
      </c>
      <c r="D36" s="668" t="s">
        <v>748</v>
      </c>
      <c r="E36" s="669" t="s">
        <v>748</v>
      </c>
    </row>
    <row r="37" spans="2:7" ht="15" customHeight="1">
      <c r="B37" s="665" t="s">
        <v>742</v>
      </c>
      <c r="C37" s="668" t="s">
        <v>748</v>
      </c>
      <c r="D37" s="668" t="s">
        <v>748</v>
      </c>
      <c r="E37" s="669" t="s">
        <v>748</v>
      </c>
    </row>
    <row r="38" spans="2:7" ht="15" customHeight="1">
      <c r="B38" s="666" t="s">
        <v>743</v>
      </c>
      <c r="C38" s="648">
        <f>C29</f>
        <v>9.18</v>
      </c>
      <c r="D38" s="648">
        <f>D29</f>
        <v>9.18</v>
      </c>
      <c r="E38" s="664">
        <f>E29</f>
        <v>9.18</v>
      </c>
    </row>
    <row r="39" spans="2:7" ht="15" customHeight="1" thickBot="1">
      <c r="B39" s="670" t="s">
        <v>744</v>
      </c>
      <c r="C39" s="671" t="s">
        <v>748</v>
      </c>
      <c r="D39" s="671" t="s">
        <v>748</v>
      </c>
      <c r="E39" s="672" t="s">
        <v>748</v>
      </c>
    </row>
    <row r="40" spans="2:7">
      <c r="B40" s="265"/>
      <c r="C40" s="266"/>
      <c r="D40" s="266"/>
      <c r="E40" s="266"/>
    </row>
    <row r="41" spans="2:7">
      <c r="B41" s="267" t="s">
        <v>749</v>
      </c>
      <c r="C41" s="268"/>
      <c r="D41" s="268"/>
      <c r="E41" s="268"/>
    </row>
    <row r="42" spans="2:7" ht="48" customHeight="1">
      <c r="B42" s="756" t="s">
        <v>750</v>
      </c>
      <c r="C42" s="756"/>
      <c r="D42" s="756"/>
      <c r="E42" s="756"/>
    </row>
    <row r="43" spans="2:7">
      <c r="B43" s="756"/>
      <c r="C43" s="756"/>
      <c r="D43" s="756"/>
      <c r="E43" s="756"/>
    </row>
    <row r="44" spans="2:7">
      <c r="B44" s="269"/>
      <c r="C44" s="269"/>
      <c r="D44" s="269"/>
      <c r="E44" s="269"/>
    </row>
    <row r="45" spans="2:7">
      <c r="B45" s="264" t="s">
        <v>751</v>
      </c>
      <c r="C45" s="269"/>
      <c r="D45" s="269"/>
      <c r="E45" s="269"/>
    </row>
    <row r="46" spans="2:7">
      <c r="B46" s="270" t="str">
        <f>"the maximum tuition rate.  Maximum credit tuition rate = "&amp;TEXT(E16,"$0.00")</f>
        <v>the maximum tuition rate.  Maximum credit tuition rate = $82.78</v>
      </c>
      <c r="C46" s="792"/>
    </row>
    <row r="47" spans="2:7">
      <c r="B47" s="270" t="s">
        <v>752</v>
      </c>
      <c r="G47" s="793"/>
    </row>
    <row r="49" spans="2:5" ht="15" customHeight="1">
      <c r="B49" s="756"/>
      <c r="C49" s="756"/>
      <c r="D49" s="756"/>
      <c r="E49" s="756"/>
    </row>
    <row r="50" spans="2:5">
      <c r="B50" s="756"/>
      <c r="C50" s="756"/>
      <c r="D50" s="756"/>
      <c r="E50" s="756"/>
    </row>
    <row r="51" spans="2:5">
      <c r="B51" s="756"/>
      <c r="C51" s="756"/>
      <c r="D51" s="756"/>
      <c r="E51" s="756"/>
    </row>
    <row r="52" spans="2:5" ht="21">
      <c r="B52" s="763" t="str">
        <f>B1</f>
        <v>THE FLORIDA COLLEGE SYSTEM</v>
      </c>
      <c r="C52" s="763"/>
      <c r="D52" s="763"/>
      <c r="E52" s="763"/>
    </row>
    <row r="53" spans="2:5" ht="21">
      <c r="B53" s="763" t="str">
        <f>B2&amp;" , cont."</f>
        <v>FALL 2024-25 TUITION INCREASED BY 0% , cont.</v>
      </c>
      <c r="C53" s="763"/>
      <c r="D53" s="763"/>
      <c r="E53" s="763"/>
    </row>
    <row r="54" spans="2:5" ht="21">
      <c r="B54" s="763"/>
      <c r="C54" s="763"/>
      <c r="D54" s="763"/>
      <c r="E54" s="763"/>
    </row>
    <row r="55" spans="2:5" ht="16.5" thickBot="1">
      <c r="B55" s="265"/>
      <c r="C55" s="266"/>
      <c r="D55" s="266"/>
      <c r="E55" s="266"/>
    </row>
    <row r="56" spans="2:5" ht="33" customHeight="1">
      <c r="B56" s="750" t="s">
        <v>753</v>
      </c>
      <c r="C56" s="850" t="s">
        <v>731</v>
      </c>
      <c r="D56" s="851"/>
      <c r="E56" s="852"/>
    </row>
    <row r="57" spans="2:5">
      <c r="B57" s="751"/>
      <c r="C57" s="748" t="s">
        <v>732</v>
      </c>
      <c r="D57" s="640" t="s">
        <v>733</v>
      </c>
      <c r="E57" s="661" t="s">
        <v>734</v>
      </c>
    </row>
    <row r="58" spans="2:5">
      <c r="B58" s="1151"/>
      <c r="C58" s="749"/>
      <c r="D58" s="642">
        <v>-0.05</v>
      </c>
      <c r="E58" s="662">
        <v>0.05</v>
      </c>
    </row>
    <row r="59" spans="2:5" ht="15" customHeight="1">
      <c r="B59" s="663" t="s">
        <v>260</v>
      </c>
      <c r="C59" s="648">
        <v>69.900000000000006</v>
      </c>
      <c r="D59" s="648">
        <f>ROUND(C59*(1+D58),2)</f>
        <v>66.41</v>
      </c>
      <c r="E59" s="664">
        <f>ROUND(C59*(1+E58),2)</f>
        <v>73.400000000000006</v>
      </c>
    </row>
    <row r="60" spans="2:5" ht="15" customHeight="1">
      <c r="B60" s="665" t="s">
        <v>754</v>
      </c>
      <c r="C60" s="648">
        <v>6.99</v>
      </c>
      <c r="D60" s="673">
        <f>ROUND(D59*'DISCRETIONARY FEE PERCENTAGES'!$B$6,2)</f>
        <v>6.64</v>
      </c>
      <c r="E60" s="664">
        <f>ROUND(E59*'DISCRETIONARY FEE PERCENTAGES'!$B$6,2)</f>
        <v>7.34</v>
      </c>
    </row>
    <row r="61" spans="2:5" ht="15" customHeight="1">
      <c r="B61" s="665" t="s">
        <v>736</v>
      </c>
      <c r="C61" s="648">
        <v>3.5</v>
      </c>
      <c r="D61" s="673">
        <f>ROUND(D59*'DISCRETIONARY FEE PERCENTAGES'!$B$25,2)</f>
        <v>3.32</v>
      </c>
      <c r="E61" s="664">
        <f>ROUND(E59*'DISCRETIONARY FEE PERCENTAGES'!$B$25,2)</f>
        <v>3.67</v>
      </c>
    </row>
    <row r="62" spans="2:5" ht="15" customHeight="1">
      <c r="B62" s="665" t="s">
        <v>755</v>
      </c>
      <c r="C62" s="648">
        <v>3.5</v>
      </c>
      <c r="D62" s="673">
        <f>ROUND(D59*'DISCRETIONARY FEE PERCENTAGES'!$B$19,2)</f>
        <v>3.32</v>
      </c>
      <c r="E62" s="664">
        <f>ROUND(E59*'DISCRETIONARY FEE PERCENTAGES'!$B$19,2)</f>
        <v>3.67</v>
      </c>
    </row>
    <row r="63" spans="2:5" ht="33" customHeight="1">
      <c r="B63" s="752" t="s">
        <v>756</v>
      </c>
      <c r="C63" s="844" t="s">
        <v>731</v>
      </c>
      <c r="D63" s="845"/>
      <c r="E63" s="853"/>
    </row>
    <row r="64" spans="2:5">
      <c r="B64" s="751"/>
      <c r="C64" s="748" t="s">
        <v>732</v>
      </c>
      <c r="D64" s="640" t="s">
        <v>733</v>
      </c>
      <c r="E64" s="661" t="s">
        <v>734</v>
      </c>
    </row>
    <row r="65" spans="2:16">
      <c r="B65" s="1151"/>
      <c r="C65" s="749"/>
      <c r="D65" s="642">
        <f>D58</f>
        <v>-0.05</v>
      </c>
      <c r="E65" s="662">
        <f>E58</f>
        <v>0.05</v>
      </c>
    </row>
    <row r="66" spans="2:16" ht="15" customHeight="1">
      <c r="B66" s="663" t="s">
        <v>260</v>
      </c>
      <c r="C66" s="648">
        <v>69.900000000000006</v>
      </c>
      <c r="D66" s="648">
        <f>ROUND(C66*(1+D65),2)</f>
        <v>66.41</v>
      </c>
      <c r="E66" s="664">
        <f>ROUND(C66*(1+E65),2)</f>
        <v>73.400000000000006</v>
      </c>
    </row>
    <row r="67" spans="2:16" ht="15" customHeight="1">
      <c r="B67" s="663" t="s">
        <v>740</v>
      </c>
      <c r="C67" s="648">
        <v>209.70000000000002</v>
      </c>
      <c r="D67" s="648">
        <f>ROUND(C67*(1+D65),2)</f>
        <v>199.22</v>
      </c>
      <c r="E67" s="664">
        <f>ROUND(C67*(1+E65),2)</f>
        <v>220.19</v>
      </c>
    </row>
    <row r="68" spans="2:16" ht="15" customHeight="1">
      <c r="B68" s="665" t="s">
        <v>757</v>
      </c>
      <c r="C68" s="648">
        <v>27.96</v>
      </c>
      <c r="D68" s="673">
        <f>ROUND((D66+D67)*'DISCRETIONARY FEE PERCENTAGES'!$B$10,2)</f>
        <v>26.56</v>
      </c>
      <c r="E68" s="664">
        <f>ROUND((E66+E67)*'DISCRETIONARY FEE PERCENTAGES'!$B$10,2)</f>
        <v>29.36</v>
      </c>
    </row>
    <row r="69" spans="2:16" ht="15" customHeight="1">
      <c r="B69" s="665" t="s">
        <v>742</v>
      </c>
      <c r="C69" s="648">
        <v>13.98</v>
      </c>
      <c r="D69" s="673">
        <f>ROUND((D66+D67)*'DISCRETIONARY FEE PERCENTAGES'!$B$28,2)</f>
        <v>13.28</v>
      </c>
      <c r="E69" s="664">
        <f>ROUND((E66+E67)*'DISCRETIONARY FEE PERCENTAGES'!$B$28,2)</f>
        <v>14.68</v>
      </c>
    </row>
    <row r="70" spans="2:16" ht="15" customHeight="1" thickBot="1">
      <c r="B70" s="670" t="s">
        <v>758</v>
      </c>
      <c r="C70" s="674">
        <v>13.98</v>
      </c>
      <c r="D70" s="675">
        <f>ROUND((D66+D67)*'DISCRETIONARY FEE PERCENTAGES'!$B$22,2)</f>
        <v>13.28</v>
      </c>
      <c r="E70" s="676">
        <f>ROUND((E66+E67)*'DISCRETIONARY FEE PERCENTAGES'!$B$22,2)</f>
        <v>14.68</v>
      </c>
    </row>
    <row r="71" spans="2:16" ht="16.5" thickBot="1">
      <c r="B71" s="265"/>
      <c r="C71" s="271"/>
      <c r="D71" s="271"/>
      <c r="E71" s="271"/>
    </row>
    <row r="72" spans="2:16" ht="32.25" customHeight="1">
      <c r="B72" s="746" t="s">
        <v>759</v>
      </c>
      <c r="C72" s="850" t="s">
        <v>760</v>
      </c>
      <c r="D72" s="851"/>
      <c r="E72" s="852"/>
    </row>
    <row r="73" spans="2:16">
      <c r="B73" s="747"/>
      <c r="C73" s="748" t="s">
        <v>732</v>
      </c>
      <c r="D73" s="640" t="s">
        <v>733</v>
      </c>
      <c r="E73" s="661" t="s">
        <v>734</v>
      </c>
    </row>
    <row r="74" spans="2:16">
      <c r="B74" s="1152"/>
      <c r="C74" s="749"/>
      <c r="D74" s="642">
        <v>-0.05</v>
      </c>
      <c r="E74" s="662">
        <v>0.05</v>
      </c>
    </row>
    <row r="75" spans="2:16" ht="15" customHeight="1">
      <c r="B75" s="663" t="s">
        <v>761</v>
      </c>
      <c r="C75" s="648">
        <v>30</v>
      </c>
      <c r="D75" s="648">
        <f>ROUND(C75*(1+D74),2)</f>
        <v>28.5</v>
      </c>
      <c r="E75" s="664">
        <f>ROUND(C75*(1+E74),2)</f>
        <v>31.5</v>
      </c>
    </row>
    <row r="76" spans="2:16" ht="15" customHeight="1">
      <c r="B76" s="663"/>
      <c r="C76" s="648"/>
      <c r="D76" s="648"/>
      <c r="E76" s="664"/>
      <c r="F76" s="757"/>
      <c r="G76" s="757"/>
      <c r="H76" s="757"/>
      <c r="I76" s="757"/>
      <c r="J76" s="757"/>
      <c r="K76" s="757"/>
      <c r="L76" s="757"/>
      <c r="M76" s="757"/>
      <c r="N76" s="757"/>
      <c r="O76" s="757"/>
      <c r="P76" s="757"/>
    </row>
    <row r="77" spans="2:16" ht="15" customHeight="1">
      <c r="B77" s="663" t="s">
        <v>762</v>
      </c>
      <c r="C77" s="648">
        <v>45</v>
      </c>
      <c r="D77" s="648">
        <f>ROUND(C77*(1+D74),2)</f>
        <v>42.75</v>
      </c>
      <c r="E77" s="677">
        <f>ROUND(C77*(1+E74),2)</f>
        <v>47.25</v>
      </c>
    </row>
    <row r="78" spans="2:16" ht="15" customHeight="1">
      <c r="C78" s="271"/>
      <c r="D78" s="271"/>
      <c r="E78" s="271"/>
      <c r="F78" s="757"/>
      <c r="G78" s="757"/>
      <c r="H78" s="757"/>
      <c r="I78" s="757"/>
      <c r="J78" s="757"/>
      <c r="K78" s="757"/>
      <c r="L78" s="757"/>
      <c r="M78" s="757"/>
      <c r="N78" s="757"/>
      <c r="O78" s="757"/>
      <c r="P78" s="757"/>
    </row>
    <row r="79" spans="2:16" ht="15" customHeight="1">
      <c r="B79" s="267" t="s">
        <v>763</v>
      </c>
      <c r="C79" s="268"/>
      <c r="D79" s="268"/>
      <c r="E79" s="268"/>
    </row>
    <row r="80" spans="2:16" ht="15" customHeight="1">
      <c r="B80" s="267"/>
      <c r="C80" s="268"/>
      <c r="D80" s="268"/>
      <c r="E80" s="268"/>
    </row>
    <row r="81" spans="2:5" ht="48" customHeight="1">
      <c r="B81" s="753" t="s">
        <v>764</v>
      </c>
      <c r="C81" s="753"/>
      <c r="D81" s="753"/>
      <c r="E81" s="753"/>
    </row>
    <row r="83" spans="2:5" ht="15" customHeight="1"/>
    <row r="85" spans="2:5">
      <c r="C85" s="794"/>
      <c r="D85" s="794"/>
      <c r="E85" s="794"/>
    </row>
    <row r="86" spans="2:5">
      <c r="C86" s="269"/>
      <c r="D86" s="269"/>
      <c r="E86" s="269"/>
    </row>
    <row r="87" spans="2:5">
      <c r="C87" s="792"/>
    </row>
    <row r="88" spans="2:5">
      <c r="C88" s="792"/>
    </row>
    <row r="91" spans="2:5">
      <c r="B91" s="168"/>
      <c r="C91" s="168"/>
      <c r="D91" s="168"/>
      <c r="E91" s="168"/>
    </row>
    <row r="92" spans="2:5">
      <c r="B92" s="168"/>
      <c r="C92" s="168"/>
      <c r="D92" s="168"/>
      <c r="E92" s="168"/>
    </row>
  </sheetData>
  <sheetProtection algorithmName="SHA-512" hashValue="nBz86H8CVt19ehMBQ1jAj1ehpCV1vdDvk2QurhHIV149KmO827M1mPmIulbHcHXJTCzWru3bHPwxg4lAVMPhwg==" saltValue="qiSKNUQeGSFDaB0YzdxFF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7" customWidth="1"/>
    <col min="2" max="2" width="8.42578125" style="77" customWidth="1"/>
    <col min="3" max="3" width="57.140625" style="77" customWidth="1"/>
    <col min="4" max="4" width="5" style="77" customWidth="1"/>
    <col min="5" max="16384" width="12.42578125" style="77"/>
  </cols>
  <sheetData>
    <row r="1" spans="1:3" s="80" customFormat="1" ht="26.25">
      <c r="A1" s="773" t="s">
        <v>10</v>
      </c>
      <c r="B1" s="773"/>
      <c r="C1" s="773"/>
    </row>
    <row r="2" spans="1:3" s="80" customFormat="1" ht="21" customHeight="1" thickBot="1">
      <c r="A2" s="773" t="s">
        <v>765</v>
      </c>
      <c r="B2" s="773"/>
      <c r="C2" s="773"/>
    </row>
    <row r="3" spans="1:3" s="80" customFormat="1" ht="26.45" customHeight="1">
      <c r="A3" s="866" t="s">
        <v>766</v>
      </c>
      <c r="B3" s="854"/>
      <c r="C3" s="855"/>
    </row>
    <row r="4" spans="1:3" s="80" customFormat="1" ht="42">
      <c r="A4" s="678" t="s">
        <v>767</v>
      </c>
      <c r="B4" s="679">
        <v>7.0000000000000007E-2</v>
      </c>
      <c r="C4" s="680" t="s">
        <v>768</v>
      </c>
    </row>
    <row r="5" spans="1:3" s="80" customFormat="1" ht="42">
      <c r="A5" s="678" t="s">
        <v>769</v>
      </c>
      <c r="B5" s="679">
        <v>0.05</v>
      </c>
      <c r="C5" s="680" t="s">
        <v>768</v>
      </c>
    </row>
    <row r="6" spans="1:3" s="80" customFormat="1" ht="30.95" customHeight="1">
      <c r="A6" s="681" t="s">
        <v>770</v>
      </c>
      <c r="B6" s="682">
        <v>0.1</v>
      </c>
      <c r="C6" s="683" t="s">
        <v>768</v>
      </c>
    </row>
    <row r="7" spans="1:3" s="80" customFormat="1" ht="26.45" customHeight="1">
      <c r="A7" s="860" t="s">
        <v>771</v>
      </c>
      <c r="B7" s="861"/>
      <c r="C7" s="862"/>
    </row>
    <row r="8" spans="1:3" s="80" customFormat="1" ht="42">
      <c r="A8" s="678" t="s">
        <v>767</v>
      </c>
      <c r="B8" s="679">
        <v>7.0000000000000007E-2</v>
      </c>
      <c r="C8" s="680" t="s">
        <v>772</v>
      </c>
    </row>
    <row r="9" spans="1:3" s="80" customFormat="1" ht="42">
      <c r="A9" s="678" t="s">
        <v>769</v>
      </c>
      <c r="B9" s="679">
        <v>0.05</v>
      </c>
      <c r="C9" s="680" t="s">
        <v>772</v>
      </c>
    </row>
    <row r="10" spans="1:3" s="80" customFormat="1" ht="29.1" customHeight="1">
      <c r="A10" s="681" t="str">
        <f>A6</f>
        <v>CCATD</v>
      </c>
      <c r="B10" s="682">
        <v>0.1</v>
      </c>
      <c r="C10" s="683" t="s">
        <v>772</v>
      </c>
    </row>
    <row r="11" spans="1:3" s="80" customFormat="1" ht="26.45" customHeight="1">
      <c r="A11" s="860" t="s">
        <v>773</v>
      </c>
      <c r="B11" s="861"/>
      <c r="C11" s="862"/>
    </row>
    <row r="12" spans="1:3" s="80" customFormat="1" ht="29.1" customHeight="1">
      <c r="A12" s="678" t="s">
        <v>774</v>
      </c>
      <c r="B12" s="679">
        <v>0.1</v>
      </c>
      <c r="C12" s="680" t="s">
        <v>775</v>
      </c>
    </row>
    <row r="13" spans="1:3" s="80" customFormat="1" ht="30" customHeight="1">
      <c r="A13" s="681" t="str">
        <f>A6</f>
        <v>CCATD</v>
      </c>
      <c r="B13" s="682">
        <v>0</v>
      </c>
      <c r="C13" s="683" t="s">
        <v>776</v>
      </c>
    </row>
    <row r="14" spans="1:3" s="80" customFormat="1" ht="26.45" customHeight="1">
      <c r="A14" s="863" t="s">
        <v>777</v>
      </c>
      <c r="B14" s="864"/>
      <c r="C14" s="865"/>
    </row>
    <row r="15" spans="1:3" s="80" customFormat="1" ht="27.95" customHeight="1">
      <c r="A15" s="678" t="s">
        <v>774</v>
      </c>
      <c r="B15" s="679">
        <v>0.1</v>
      </c>
      <c r="C15" s="680" t="s">
        <v>778</v>
      </c>
    </row>
    <row r="16" spans="1:3" s="80" customFormat="1" ht="27.95" customHeight="1">
      <c r="A16" s="681" t="str">
        <f>A6</f>
        <v>CCATD</v>
      </c>
      <c r="B16" s="682">
        <v>0</v>
      </c>
      <c r="C16" s="683" t="s">
        <v>776</v>
      </c>
    </row>
    <row r="17" spans="1:3" s="80" customFormat="1" ht="26.45" customHeight="1">
      <c r="A17" s="860" t="s">
        <v>779</v>
      </c>
      <c r="B17" s="861"/>
      <c r="C17" s="862"/>
    </row>
    <row r="18" spans="1:3" s="80" customFormat="1" ht="42">
      <c r="A18" s="684" t="s">
        <v>774</v>
      </c>
      <c r="B18" s="679">
        <v>0.2</v>
      </c>
      <c r="C18" s="685" t="s">
        <v>780</v>
      </c>
    </row>
    <row r="19" spans="1:3" s="80" customFormat="1" ht="30.95" customHeight="1">
      <c r="A19" s="681" t="str">
        <f>A6</f>
        <v>CCATD</v>
      </c>
      <c r="B19" s="682">
        <v>0.05</v>
      </c>
      <c r="C19" s="683" t="s">
        <v>781</v>
      </c>
    </row>
    <row r="20" spans="1:3" s="80" customFormat="1" ht="26.45" customHeight="1">
      <c r="A20" s="860" t="s">
        <v>782</v>
      </c>
      <c r="B20" s="861"/>
      <c r="C20" s="862"/>
    </row>
    <row r="21" spans="1:3" s="80" customFormat="1" ht="21">
      <c r="A21" s="684" t="s">
        <v>774</v>
      </c>
      <c r="B21" s="679">
        <v>0.2</v>
      </c>
      <c r="C21" s="680" t="s">
        <v>772</v>
      </c>
    </row>
    <row r="22" spans="1:3" s="80" customFormat="1" ht="27.95" customHeight="1">
      <c r="A22" s="681" t="str">
        <f>A6</f>
        <v>CCATD</v>
      </c>
      <c r="B22" s="682">
        <v>0.05</v>
      </c>
      <c r="C22" s="683" t="s">
        <v>772</v>
      </c>
    </row>
    <row r="23" spans="1:3" s="80" customFormat="1" ht="26.45" customHeight="1">
      <c r="A23" s="860" t="s">
        <v>783</v>
      </c>
      <c r="B23" s="861"/>
      <c r="C23" s="862"/>
    </row>
    <row r="24" spans="1:3" s="80" customFormat="1" ht="21">
      <c r="A24" s="684" t="s">
        <v>774</v>
      </c>
      <c r="B24" s="679">
        <v>0.05</v>
      </c>
      <c r="C24" s="680" t="s">
        <v>775</v>
      </c>
    </row>
    <row r="25" spans="1:3" s="80" customFormat="1" ht="27.95" customHeight="1">
      <c r="A25" s="681" t="str">
        <f>A6</f>
        <v>CCATD</v>
      </c>
      <c r="B25" s="682">
        <v>0.05</v>
      </c>
      <c r="C25" s="686" t="s">
        <v>775</v>
      </c>
    </row>
    <row r="26" spans="1:3" s="80" customFormat="1" ht="26.45" customHeight="1">
      <c r="A26" s="860" t="s">
        <v>784</v>
      </c>
      <c r="B26" s="861"/>
      <c r="C26" s="862"/>
    </row>
    <row r="27" spans="1:3" s="80" customFormat="1" ht="21">
      <c r="A27" s="684" t="s">
        <v>774</v>
      </c>
      <c r="B27" s="679">
        <v>0.05</v>
      </c>
      <c r="C27" s="680" t="s">
        <v>772</v>
      </c>
    </row>
    <row r="28" spans="1:3" s="80" customFormat="1" ht="27.95" customHeight="1" thickBot="1">
      <c r="A28" s="687" t="str">
        <f>A6</f>
        <v>CCATD</v>
      </c>
      <c r="B28" s="688">
        <v>0.05</v>
      </c>
      <c r="C28" s="689" t="s">
        <v>772</v>
      </c>
    </row>
    <row r="30" spans="1:3" ht="61.35" customHeight="1">
      <c r="A30" s="856" t="s">
        <v>785</v>
      </c>
      <c r="B30" s="856"/>
      <c r="C30" s="856"/>
    </row>
    <row r="31" spans="1:3" ht="14.45" customHeight="1">
      <c r="A31" s="857"/>
      <c r="B31" s="857"/>
      <c r="C31" s="857"/>
    </row>
    <row r="32" spans="1:3" ht="31.35" customHeight="1">
      <c r="A32" s="856" t="s">
        <v>786</v>
      </c>
      <c r="B32" s="856"/>
      <c r="C32" s="856"/>
    </row>
    <row r="33" spans="1:3" ht="14.45" customHeight="1">
      <c r="A33" s="857"/>
      <c r="B33" s="857"/>
      <c r="C33" s="857"/>
    </row>
    <row r="34" spans="1:3" ht="30" customHeight="1">
      <c r="A34" s="856" t="s">
        <v>787</v>
      </c>
      <c r="B34" s="856"/>
      <c r="C34" s="856"/>
    </row>
    <row r="35" spans="1:3" ht="14.45" customHeight="1">
      <c r="A35" s="857"/>
      <c r="B35" s="857"/>
      <c r="C35" s="857"/>
    </row>
    <row r="36" spans="1:3" ht="15" customHeight="1">
      <c r="A36" s="858" t="s">
        <v>788</v>
      </c>
      <c r="B36" s="857"/>
      <c r="C36" s="857"/>
    </row>
    <row r="37" spans="1:3" ht="15" customHeight="1">
      <c r="A37" s="78"/>
    </row>
    <row r="38" spans="1:3" ht="15" customHeight="1">
      <c r="A38" s="79"/>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2" t="s">
        <v>789</v>
      </c>
    </row>
    <row r="2" spans="1:1">
      <c r="A2" s="572" t="s">
        <v>790</v>
      </c>
    </row>
    <row r="3" spans="1:1">
      <c r="A3" s="572" t="s">
        <v>791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577" t="s">
        <v>10</v>
      </c>
      <c r="B1" s="574"/>
      <c r="C1" s="574"/>
      <c r="D1" s="574"/>
      <c r="E1" s="574"/>
      <c r="F1" s="574"/>
      <c r="G1" s="574"/>
      <c r="H1" s="574"/>
      <c r="I1" s="574"/>
      <c r="J1" s="574"/>
    </row>
    <row r="2" spans="1:10" ht="22.35" customHeight="1">
      <c r="A2" s="577" t="s">
        <v>11</v>
      </c>
      <c r="B2" s="574"/>
      <c r="C2" s="574"/>
      <c r="D2" s="574"/>
      <c r="E2" s="574"/>
      <c r="F2" s="574"/>
      <c r="G2" s="574"/>
      <c r="H2" s="574"/>
      <c r="I2" s="574"/>
      <c r="J2" s="574"/>
    </row>
    <row r="3" spans="1:10" ht="22.35" customHeight="1">
      <c r="A3" s="577" t="s">
        <v>12</v>
      </c>
      <c r="B3" s="574"/>
      <c r="C3" s="574"/>
      <c r="D3" s="574"/>
      <c r="E3" s="574"/>
      <c r="F3" s="574"/>
      <c r="G3" s="574"/>
      <c r="H3" s="574"/>
      <c r="I3" s="574"/>
      <c r="J3" s="574"/>
    </row>
    <row r="4" spans="1:10" ht="26.45" customHeight="1">
      <c r="A4" s="578" t="s">
        <v>13</v>
      </c>
      <c r="B4" s="579"/>
      <c r="C4" s="579"/>
      <c r="D4" s="579"/>
      <c r="E4" s="579"/>
      <c r="F4" s="579"/>
      <c r="G4" s="579"/>
      <c r="H4" s="579"/>
      <c r="I4" s="579"/>
      <c r="J4" s="579"/>
    </row>
    <row r="11" spans="1:10" ht="34.5">
      <c r="E11" s="40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altText="Instructions for Annual College Operating Budget Forms_x000d__x000a_"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6" customWidth="1"/>
    <col min="2" max="2" width="32.140625" style="16" customWidth="1"/>
    <col min="3" max="3" width="24.7109375" style="16" customWidth="1"/>
    <col min="4" max="4" width="26" style="16" bestFit="1" customWidth="1"/>
    <col min="5" max="5" width="23.42578125" style="16" customWidth="1"/>
    <col min="6" max="6" width="21.85546875" style="16" customWidth="1"/>
    <col min="7" max="7" width="22.28515625" style="16" customWidth="1"/>
    <col min="8" max="8" width="26.85546875" style="16" customWidth="1"/>
    <col min="9" max="9" width="14.85546875" style="16" customWidth="1"/>
    <col min="10" max="10" width="20.28515625" style="16" customWidth="1"/>
    <col min="11" max="11" width="17.85546875" style="16" bestFit="1" customWidth="1"/>
    <col min="12" max="12" width="13.7109375" style="16" customWidth="1"/>
    <col min="13" max="13" width="13.42578125" style="16" bestFit="1" customWidth="1"/>
    <col min="14" max="14" width="12.140625" style="16" bestFit="1" customWidth="1"/>
    <col min="15" max="15" width="13.28515625" style="16" customWidth="1"/>
    <col min="16" max="16" width="13" style="16" customWidth="1"/>
    <col min="17" max="17" width="15" style="16" customWidth="1"/>
    <col min="18" max="18" width="13.42578125" style="16" customWidth="1"/>
    <col min="19" max="19" width="13.7109375" style="16" customWidth="1"/>
    <col min="20" max="20" width="21.42578125" style="16" customWidth="1"/>
    <col min="21" max="21" width="8.85546875" style="16"/>
    <col min="22" max="22" width="12.140625" style="16" bestFit="1" customWidth="1"/>
    <col min="23" max="23" width="13.85546875" style="16" customWidth="1"/>
    <col min="24" max="24" width="9.28515625" style="16" bestFit="1" customWidth="1"/>
    <col min="25" max="25" width="2.42578125" style="16" customWidth="1"/>
    <col min="26" max="26" width="14.85546875" style="16" customWidth="1"/>
    <col min="27" max="27" width="15.28515625" style="16" customWidth="1"/>
    <col min="28" max="28" width="15.140625" style="16" customWidth="1"/>
    <col min="29" max="29" width="6.28515625" style="16" customWidth="1"/>
    <col min="30" max="30" width="64.85546875" style="16" customWidth="1"/>
    <col min="31" max="31" width="13.42578125" style="16" customWidth="1"/>
    <col min="32" max="32" width="14.7109375" style="16" customWidth="1"/>
    <col min="33" max="33" width="18" style="16" customWidth="1"/>
    <col min="34" max="34" width="4.7109375" style="16" customWidth="1"/>
    <col min="35" max="35" width="21.42578125" style="16" customWidth="1"/>
    <col min="36" max="39" width="8.85546875" style="16"/>
    <col min="40" max="40" width="46.85546875" style="16" customWidth="1"/>
    <col min="41" max="41" width="19.140625" style="16" customWidth="1"/>
    <col min="42" max="42" width="2.7109375" style="16" customWidth="1"/>
    <col min="43" max="44" width="20.140625" style="16" customWidth="1"/>
    <col min="45" max="16384" width="8.85546875" style="16"/>
  </cols>
  <sheetData>
    <row r="1" spans="1:10" ht="25.35" customHeight="1">
      <c r="A1" s="875" t="s">
        <v>14</v>
      </c>
      <c r="B1" s="875"/>
      <c r="C1" s="875"/>
      <c r="D1" s="875"/>
      <c r="E1" s="15"/>
    </row>
    <row r="2" spans="1:10" ht="33.6" customHeight="1" thickBot="1">
      <c r="A2" s="1003" t="s">
        <v>15</v>
      </c>
      <c r="B2" s="1003"/>
      <c r="C2" s="1003"/>
      <c r="D2" s="1003"/>
    </row>
    <row r="3" spans="1:10" ht="25.35" customHeight="1" thickBot="1">
      <c r="A3" s="59"/>
      <c r="B3" s="60" t="s">
        <v>16</v>
      </c>
      <c r="C3" s="61"/>
      <c r="D3" s="69"/>
      <c r="E3" s="68"/>
    </row>
    <row r="4" spans="1:10" ht="25.35" customHeight="1" thickBot="1">
      <c r="A4" s="59">
        <v>1</v>
      </c>
      <c r="B4" s="50">
        <v>2</v>
      </c>
      <c r="C4" s="50">
        <v>3</v>
      </c>
      <c r="D4" s="50">
        <v>4</v>
      </c>
      <c r="E4" s="18"/>
    </row>
    <row r="5" spans="1:10" ht="44.1" customHeight="1" thickBot="1">
      <c r="A5" s="36" t="s">
        <v>17</v>
      </c>
      <c r="B5" s="916" t="s">
        <v>18</v>
      </c>
      <c r="C5" s="917"/>
      <c r="D5" s="918"/>
      <c r="E5" s="557"/>
      <c r="F5" s="18"/>
    </row>
    <row r="6" spans="1:10" ht="89.1" customHeight="1" thickBot="1">
      <c r="A6" s="279" t="s">
        <v>19</v>
      </c>
      <c r="B6" s="58" t="s">
        <v>20</v>
      </c>
      <c r="C6" s="22" t="s">
        <v>21</v>
      </c>
      <c r="D6" s="72" t="s">
        <v>22</v>
      </c>
      <c r="F6" s="18"/>
    </row>
    <row r="7" spans="1:10" ht="25.35" customHeight="1">
      <c r="A7" s="383" t="s">
        <v>23</v>
      </c>
      <c r="B7" s="1004">
        <v>43600274.429753423</v>
      </c>
      <c r="C7" s="984">
        <v>9683162.5702465735</v>
      </c>
      <c r="D7" s="76">
        <f t="shared" ref="D7:D34" si="0">SUM(B7:C7)</f>
        <v>53283437</v>
      </c>
      <c r="E7" s="405"/>
      <c r="F7" s="406"/>
      <c r="G7" s="46"/>
      <c r="I7" s="46"/>
      <c r="J7" s="46"/>
    </row>
    <row r="8" spans="1:10" ht="25.35" customHeight="1">
      <c r="A8" s="363" t="s">
        <v>24</v>
      </c>
      <c r="B8" s="1005">
        <v>90255203.52015838</v>
      </c>
      <c r="C8" s="984">
        <v>19406699.479841623</v>
      </c>
      <c r="D8" s="70">
        <f t="shared" si="0"/>
        <v>109661903</v>
      </c>
      <c r="E8" s="384"/>
      <c r="F8" s="46"/>
      <c r="G8" s="46"/>
      <c r="I8" s="46"/>
      <c r="J8" s="46"/>
    </row>
    <row r="9" spans="1:10" ht="25.35" customHeight="1">
      <c r="A9" s="363" t="s">
        <v>25</v>
      </c>
      <c r="B9" s="799">
        <v>35165545.160336338</v>
      </c>
      <c r="C9" s="984">
        <v>5543604.8396636629</v>
      </c>
      <c r="D9" s="70">
        <f t="shared" si="0"/>
        <v>40709150</v>
      </c>
      <c r="E9" s="384"/>
      <c r="F9" s="46"/>
      <c r="G9" s="46"/>
      <c r="I9" s="46"/>
      <c r="J9" s="46"/>
    </row>
    <row r="10" spans="1:10" ht="25.35" customHeight="1">
      <c r="A10" s="363" t="s">
        <v>26</v>
      </c>
      <c r="B10" s="799">
        <v>13053746.353345605</v>
      </c>
      <c r="C10" s="984">
        <v>3049204.6466543949</v>
      </c>
      <c r="D10" s="70">
        <f t="shared" si="0"/>
        <v>16102951</v>
      </c>
      <c r="E10" s="384"/>
      <c r="F10" s="46"/>
      <c r="G10" s="46"/>
      <c r="I10" s="46"/>
      <c r="J10" s="46"/>
    </row>
    <row r="11" spans="1:10" ht="25.35" customHeight="1">
      <c r="A11" s="363" t="s">
        <v>27</v>
      </c>
      <c r="B11" s="799">
        <v>51911674.267480284</v>
      </c>
      <c r="C11" s="984">
        <v>11651335.732519712</v>
      </c>
      <c r="D11" s="70">
        <f t="shared" si="0"/>
        <v>63563010</v>
      </c>
      <c r="E11" s="384"/>
      <c r="F11" s="46"/>
      <c r="G11" s="46"/>
      <c r="I11" s="46"/>
      <c r="J11" s="46"/>
    </row>
    <row r="12" spans="1:10" ht="25.35" customHeight="1">
      <c r="A12" s="363" t="s">
        <v>28</v>
      </c>
      <c r="B12" s="799">
        <v>46221977.178284936</v>
      </c>
      <c r="C12" s="984">
        <v>7423501.8217150643</v>
      </c>
      <c r="D12" s="70">
        <f t="shared" si="0"/>
        <v>53645479</v>
      </c>
      <c r="E12" s="384"/>
      <c r="F12" s="46"/>
      <c r="G12" s="46"/>
      <c r="I12" s="46"/>
      <c r="J12" s="46"/>
    </row>
    <row r="13" spans="1:10" ht="25.35" customHeight="1">
      <c r="A13" s="363" t="s">
        <v>29</v>
      </c>
      <c r="B13" s="799">
        <v>70522268.071765155</v>
      </c>
      <c r="C13" s="984">
        <v>17443886.928234838</v>
      </c>
      <c r="D13" s="70">
        <f t="shared" si="0"/>
        <v>87966155</v>
      </c>
      <c r="E13" s="384"/>
      <c r="F13" s="46"/>
      <c r="G13" s="46"/>
      <c r="I13" s="46"/>
      <c r="J13" s="46"/>
    </row>
    <row r="14" spans="1:10" ht="25.35" customHeight="1">
      <c r="A14" s="363" t="s">
        <v>30</v>
      </c>
      <c r="B14" s="799">
        <v>9205482.6022929847</v>
      </c>
      <c r="C14" s="984">
        <v>1571784.3977070146</v>
      </c>
      <c r="D14" s="70">
        <f t="shared" si="0"/>
        <v>10777267</v>
      </c>
      <c r="E14" s="384"/>
      <c r="F14" s="46"/>
      <c r="G14" s="46"/>
      <c r="I14" s="46"/>
      <c r="J14" s="46"/>
    </row>
    <row r="15" spans="1:10" ht="25.35" customHeight="1">
      <c r="A15" s="363" t="s">
        <v>31</v>
      </c>
      <c r="B15" s="799">
        <v>22103920.083340969</v>
      </c>
      <c r="C15" s="984">
        <v>4970200.9166590301</v>
      </c>
      <c r="D15" s="70">
        <f t="shared" si="0"/>
        <v>27074121</v>
      </c>
      <c r="E15" s="384"/>
      <c r="F15" s="46"/>
      <c r="G15" s="46"/>
      <c r="I15" s="46"/>
      <c r="J15" s="46"/>
    </row>
    <row r="16" spans="1:10" ht="25.35" customHeight="1">
      <c r="A16" s="363" t="s">
        <v>32</v>
      </c>
      <c r="B16" s="799">
        <v>71153026.980324924</v>
      </c>
      <c r="C16" s="984">
        <v>13180273.01967508</v>
      </c>
      <c r="D16" s="70">
        <f t="shared" si="0"/>
        <v>84333300</v>
      </c>
      <c r="E16" s="384"/>
      <c r="F16" s="46"/>
      <c r="G16" s="46"/>
      <c r="I16" s="46"/>
      <c r="J16" s="46"/>
    </row>
    <row r="17" spans="1:10" ht="25.35" customHeight="1">
      <c r="A17" s="363" t="s">
        <v>33</v>
      </c>
      <c r="B17" s="799">
        <v>49338008.875280872</v>
      </c>
      <c r="C17" s="984">
        <v>10681339.124719128</v>
      </c>
      <c r="D17" s="70">
        <f t="shared" si="0"/>
        <v>60019348</v>
      </c>
      <c r="E17" s="384"/>
      <c r="F17" s="46"/>
      <c r="G17" s="46"/>
      <c r="I17" s="46"/>
      <c r="J17" s="46"/>
    </row>
    <row r="18" spans="1:10" ht="25.35" customHeight="1">
      <c r="A18" s="363" t="s">
        <v>34</v>
      </c>
      <c r="B18" s="799">
        <v>16227012.774821987</v>
      </c>
      <c r="C18" s="984">
        <v>3109791.2251780131</v>
      </c>
      <c r="D18" s="70">
        <f t="shared" si="0"/>
        <v>19336804</v>
      </c>
      <c r="E18" s="384"/>
      <c r="F18" s="46"/>
      <c r="G18" s="46"/>
      <c r="I18" s="46"/>
      <c r="J18" s="46"/>
    </row>
    <row r="19" spans="1:10" ht="25.35" customHeight="1">
      <c r="A19" s="363" t="s">
        <v>35</v>
      </c>
      <c r="B19" s="799">
        <v>21135195.500593662</v>
      </c>
      <c r="C19" s="984">
        <v>3055669.4994063387</v>
      </c>
      <c r="D19" s="70">
        <f t="shared" si="0"/>
        <v>24190865</v>
      </c>
      <c r="E19" s="384"/>
      <c r="F19" s="46"/>
      <c r="G19" s="46"/>
      <c r="I19" s="46"/>
      <c r="J19" s="46"/>
    </row>
    <row r="20" spans="1:10" ht="25.35" customHeight="1">
      <c r="A20" s="363" t="s">
        <v>36</v>
      </c>
      <c r="B20" s="799">
        <v>31285444.06757804</v>
      </c>
      <c r="C20" s="984">
        <v>5148765.9324219599</v>
      </c>
      <c r="D20" s="70">
        <f t="shared" si="0"/>
        <v>36434210</v>
      </c>
      <c r="E20" s="384"/>
      <c r="F20" s="46"/>
      <c r="G20" s="46"/>
      <c r="H20" s="46"/>
      <c r="I20" s="46"/>
      <c r="J20" s="46"/>
    </row>
    <row r="21" spans="1:10" ht="25.35" customHeight="1">
      <c r="A21" s="363" t="s">
        <v>37</v>
      </c>
      <c r="B21" s="799">
        <v>165651995.20318142</v>
      </c>
      <c r="C21" s="984">
        <v>39356905.796818577</v>
      </c>
      <c r="D21" s="70">
        <f t="shared" si="0"/>
        <v>205008901</v>
      </c>
      <c r="E21" s="384"/>
      <c r="F21" s="46"/>
      <c r="G21" s="46"/>
      <c r="I21" s="46"/>
      <c r="J21" s="46"/>
    </row>
    <row r="22" spans="1:10" ht="25.35" customHeight="1">
      <c r="A22" s="363" t="s">
        <v>38</v>
      </c>
      <c r="B22" s="799">
        <v>8949937.6940170676</v>
      </c>
      <c r="C22" s="984">
        <v>1656741.3059829331</v>
      </c>
      <c r="D22" s="70">
        <f t="shared" si="0"/>
        <v>10606679</v>
      </c>
      <c r="E22" s="384"/>
      <c r="F22" s="46"/>
      <c r="G22" s="46"/>
      <c r="I22" s="46"/>
      <c r="J22" s="46"/>
    </row>
    <row r="23" spans="1:10" ht="25.35" customHeight="1">
      <c r="A23" s="363" t="s">
        <v>39</v>
      </c>
      <c r="B23" s="799">
        <v>24756000.410122402</v>
      </c>
      <c r="C23" s="984">
        <v>4377734.5898775999</v>
      </c>
      <c r="D23" s="70">
        <f t="shared" si="0"/>
        <v>29133735</v>
      </c>
      <c r="E23" s="384"/>
      <c r="F23" s="46"/>
      <c r="G23" s="46"/>
      <c r="I23" s="46"/>
      <c r="J23" s="46"/>
    </row>
    <row r="24" spans="1:10" ht="25.35" customHeight="1">
      <c r="A24" s="363" t="s">
        <v>40</v>
      </c>
      <c r="B24" s="799">
        <v>65808360.931644589</v>
      </c>
      <c r="C24" s="984">
        <v>13200326.068355408</v>
      </c>
      <c r="D24" s="70">
        <f t="shared" si="0"/>
        <v>79008687</v>
      </c>
      <c r="E24" s="384"/>
      <c r="F24" s="46"/>
      <c r="G24" s="46"/>
      <c r="I24" s="46"/>
      <c r="J24" s="46"/>
    </row>
    <row r="25" spans="1:10" ht="25.35" customHeight="1">
      <c r="A25" s="363" t="s">
        <v>41</v>
      </c>
      <c r="B25" s="799">
        <v>45144249.785152942</v>
      </c>
      <c r="C25" s="984">
        <v>6373548.2148470599</v>
      </c>
      <c r="D25" s="70">
        <f t="shared" si="0"/>
        <v>51517798</v>
      </c>
      <c r="E25" s="384"/>
      <c r="F25" s="46"/>
      <c r="G25" s="46"/>
      <c r="I25" s="46"/>
      <c r="J25" s="46"/>
    </row>
    <row r="26" spans="1:10" ht="25.35" customHeight="1">
      <c r="A26" s="363" t="s">
        <v>42</v>
      </c>
      <c r="B26" s="799">
        <v>54382200.078217097</v>
      </c>
      <c r="C26" s="984">
        <v>7904347.9217829015</v>
      </c>
      <c r="D26" s="70">
        <f t="shared" si="0"/>
        <v>62286548</v>
      </c>
      <c r="E26" s="384"/>
      <c r="F26" s="46"/>
      <c r="G26" s="46"/>
      <c r="I26" s="46"/>
      <c r="J26" s="46"/>
    </row>
    <row r="27" spans="1:10" ht="25.35" customHeight="1">
      <c r="A27" s="363" t="s">
        <v>43</v>
      </c>
      <c r="B27" s="799">
        <v>43580224.848735243</v>
      </c>
      <c r="C27" s="984">
        <v>6479015.1512647606</v>
      </c>
      <c r="D27" s="70">
        <f t="shared" si="0"/>
        <v>50059240</v>
      </c>
      <c r="E27" s="384"/>
      <c r="F27" s="46"/>
      <c r="G27" s="46"/>
      <c r="I27" s="46"/>
      <c r="J27" s="46"/>
    </row>
    <row r="28" spans="1:10" ht="25.35" customHeight="1">
      <c r="A28" s="363" t="s">
        <v>44</v>
      </c>
      <c r="B28" s="799">
        <v>33932430.755269237</v>
      </c>
      <c r="C28" s="984">
        <v>4419727.2447307603</v>
      </c>
      <c r="D28" s="70">
        <f t="shared" si="0"/>
        <v>38352158</v>
      </c>
      <c r="E28" s="384"/>
      <c r="F28" s="46"/>
      <c r="G28" s="46"/>
      <c r="I28" s="46"/>
      <c r="J28" s="46"/>
    </row>
    <row r="29" spans="1:10" ht="25.35" customHeight="1">
      <c r="A29" s="363" t="s">
        <v>45</v>
      </c>
      <c r="B29" s="799">
        <v>77492481.402347744</v>
      </c>
      <c r="C29" s="984">
        <v>15840843.597652253</v>
      </c>
      <c r="D29" s="70">
        <f t="shared" si="0"/>
        <v>93333325</v>
      </c>
      <c r="E29" s="384"/>
      <c r="F29" s="46"/>
      <c r="G29" s="46"/>
      <c r="I29" s="46"/>
      <c r="J29" s="46"/>
    </row>
    <row r="30" spans="1:10" ht="25.35" customHeight="1">
      <c r="A30" s="363" t="s">
        <v>46</v>
      </c>
      <c r="B30" s="799">
        <v>45822834.425018497</v>
      </c>
      <c r="C30" s="984">
        <v>8042112.5749815032</v>
      </c>
      <c r="D30" s="70">
        <f t="shared" si="0"/>
        <v>53864947</v>
      </c>
      <c r="E30" s="384"/>
      <c r="F30" s="46"/>
      <c r="G30" s="46"/>
      <c r="I30" s="46"/>
      <c r="J30" s="46"/>
    </row>
    <row r="31" spans="1:10" ht="25.35" customHeight="1">
      <c r="A31" s="363" t="s">
        <v>47</v>
      </c>
      <c r="B31" s="799">
        <v>47618457.312297449</v>
      </c>
      <c r="C31" s="984">
        <v>8663977.6877025533</v>
      </c>
      <c r="D31" s="70">
        <f t="shared" si="0"/>
        <v>56282435</v>
      </c>
      <c r="E31" s="384"/>
      <c r="F31" s="46"/>
      <c r="G31" s="46"/>
      <c r="I31" s="46"/>
      <c r="J31" s="46"/>
    </row>
    <row r="32" spans="1:10" ht="25.35" customHeight="1">
      <c r="A32" s="363" t="s">
        <v>48</v>
      </c>
      <c r="B32" s="799">
        <v>22811855.379114985</v>
      </c>
      <c r="C32" s="984">
        <v>3719348.6208850164</v>
      </c>
      <c r="D32" s="70">
        <f t="shared" si="0"/>
        <v>26531204</v>
      </c>
      <c r="E32" s="384"/>
      <c r="F32" s="46"/>
      <c r="G32" s="46"/>
      <c r="I32" s="46" t="s">
        <v>49</v>
      </c>
      <c r="J32" s="46"/>
    </row>
    <row r="33" spans="1:12" ht="25.35" customHeight="1">
      <c r="A33" s="363" t="s">
        <v>50</v>
      </c>
      <c r="B33" s="799">
        <v>34145110.16823367</v>
      </c>
      <c r="C33" s="984">
        <v>7234580.8317663297</v>
      </c>
      <c r="D33" s="70">
        <f t="shared" si="0"/>
        <v>41379691</v>
      </c>
      <c r="E33" s="384"/>
      <c r="F33" s="46"/>
      <c r="G33" s="46"/>
      <c r="I33" s="384"/>
      <c r="J33" s="46"/>
      <c r="K33" s="384"/>
    </row>
    <row r="34" spans="1:12" ht="25.35" customHeight="1" thickBot="1">
      <c r="A34" s="364" t="s">
        <v>51</v>
      </c>
      <c r="B34" s="799">
        <v>110093250.74129009</v>
      </c>
      <c r="C34" s="984">
        <v>15737996.258709911</v>
      </c>
      <c r="D34" s="71">
        <f t="shared" si="0"/>
        <v>125831247</v>
      </c>
      <c r="E34" s="384"/>
      <c r="F34" s="46"/>
      <c r="G34" s="46"/>
      <c r="I34" s="384"/>
      <c r="J34" s="46"/>
      <c r="K34" s="384"/>
    </row>
    <row r="35" spans="1:12" ht="25.35" customHeight="1" thickBot="1">
      <c r="A35" s="365" t="s">
        <v>52</v>
      </c>
      <c r="B35" s="402">
        <f>SUM(B7:B34)</f>
        <v>1351368168.9999998</v>
      </c>
      <c r="C35" s="402">
        <f>SUM(C7:C34)</f>
        <v>258926426.00000006</v>
      </c>
      <c r="D35" s="377">
        <f>SUM(D7:D34)</f>
        <v>1610294595</v>
      </c>
      <c r="E35" s="403"/>
      <c r="F35" s="46"/>
      <c r="G35" s="46"/>
      <c r="H35" s="46"/>
      <c r="I35" s="384"/>
      <c r="J35" s="46"/>
      <c r="K35" s="384"/>
      <c r="L35" s="385"/>
    </row>
    <row r="36" spans="1:12" ht="19.350000000000001" customHeight="1">
      <c r="A36" s="919" t="s">
        <v>53</v>
      </c>
      <c r="B36" s="919"/>
      <c r="C36" s="919"/>
      <c r="D36" s="919"/>
      <c r="E36" s="447"/>
      <c r="K36" s="384"/>
    </row>
    <row r="37" spans="1:12" ht="44.45" customHeight="1">
      <c r="A37" s="920" t="s">
        <v>54</v>
      </c>
      <c r="B37" s="920"/>
      <c r="C37" s="920"/>
      <c r="D37" s="920"/>
      <c r="E37" s="446"/>
      <c r="K37" s="384"/>
    </row>
    <row r="38" spans="1:12" ht="26.45" customHeight="1">
      <c r="A38" s="894"/>
      <c r="B38" s="894"/>
      <c r="C38" s="894"/>
      <c r="D38" s="894"/>
      <c r="E38" s="446"/>
      <c r="K38" s="384"/>
    </row>
    <row r="39" spans="1:12" ht="36.6" customHeight="1" thickBot="1">
      <c r="A39" s="443" t="s">
        <v>15</v>
      </c>
      <c r="B39" s="444"/>
      <c r="C39" s="444"/>
      <c r="K39" s="159"/>
    </row>
    <row r="40" spans="1:12" ht="24" customHeight="1" thickBot="1">
      <c r="A40" s="42" t="s">
        <v>55</v>
      </c>
      <c r="B40" s="795" t="s">
        <v>56</v>
      </c>
      <c r="C40" s="796"/>
      <c r="D40" s="796"/>
      <c r="E40" s="797"/>
      <c r="F40" s="16" t="s">
        <v>9</v>
      </c>
      <c r="K40" s="159"/>
    </row>
    <row r="41" spans="1:12" ht="22.35" customHeight="1" thickBot="1">
      <c r="A41" s="43">
        <v>1</v>
      </c>
      <c r="B41" s="50">
        <v>2</v>
      </c>
      <c r="C41" s="50">
        <v>3</v>
      </c>
      <c r="D41" s="50">
        <v>4</v>
      </c>
      <c r="E41" s="50">
        <v>5</v>
      </c>
    </row>
    <row r="42" spans="1:12" ht="24.6" customHeight="1" thickBot="1">
      <c r="A42" s="38" t="s">
        <v>19</v>
      </c>
      <c r="B42" s="47" t="s">
        <v>57</v>
      </c>
      <c r="C42" s="48" t="s">
        <v>58</v>
      </c>
      <c r="D42" s="49" t="s">
        <v>59</v>
      </c>
      <c r="E42" s="366" t="s">
        <v>60</v>
      </c>
    </row>
    <row r="43" spans="1:12" ht="63">
      <c r="A43" s="801" t="str">
        <f>A10</f>
        <v>Chipola College</v>
      </c>
      <c r="B43" s="1006" t="s">
        <v>61</v>
      </c>
      <c r="C43" s="873"/>
      <c r="D43" s="873">
        <v>650000</v>
      </c>
      <c r="E43" s="965">
        <f t="shared" ref="E43:E53" si="1">C43+D43</f>
        <v>650000</v>
      </c>
    </row>
    <row r="44" spans="1:12" ht="63">
      <c r="A44" s="1007" t="str">
        <f>A11</f>
        <v>Daytona State College</v>
      </c>
      <c r="B44" s="872" t="s">
        <v>62</v>
      </c>
      <c r="C44" s="873"/>
      <c r="D44" s="873">
        <v>570000</v>
      </c>
      <c r="E44" s="965">
        <f t="shared" si="1"/>
        <v>570000</v>
      </c>
    </row>
    <row r="45" spans="1:12" ht="84.75" customHeight="1">
      <c r="A45" s="800" t="s">
        <v>27</v>
      </c>
      <c r="B45" s="872" t="s">
        <v>63</v>
      </c>
      <c r="C45" s="873"/>
      <c r="D45" s="873">
        <v>541000</v>
      </c>
      <c r="E45" s="965">
        <f t="shared" si="1"/>
        <v>541000</v>
      </c>
    </row>
    <row r="46" spans="1:12" ht="84.75" customHeight="1">
      <c r="A46" s="800" t="s">
        <v>27</v>
      </c>
      <c r="B46" s="872" t="s">
        <v>64</v>
      </c>
      <c r="C46" s="873"/>
      <c r="D46" s="873">
        <v>1500000</v>
      </c>
      <c r="E46" s="965">
        <f t="shared" si="1"/>
        <v>1500000</v>
      </c>
    </row>
    <row r="47" spans="1:12" ht="84.75" customHeight="1">
      <c r="A47" s="800" t="s">
        <v>65</v>
      </c>
      <c r="B47" s="872" t="s">
        <v>66</v>
      </c>
      <c r="C47" s="873"/>
      <c r="D47" s="873">
        <v>1500000</v>
      </c>
      <c r="E47" s="965">
        <f t="shared" si="1"/>
        <v>1500000</v>
      </c>
      <c r="G47" s="151" t="s">
        <v>9</v>
      </c>
    </row>
    <row r="48" spans="1:12" ht="62.45" customHeight="1">
      <c r="A48" s="800" t="s">
        <v>65</v>
      </c>
      <c r="B48" s="872" t="s">
        <v>67</v>
      </c>
      <c r="C48" s="873"/>
      <c r="D48" s="873">
        <v>2248487</v>
      </c>
      <c r="E48" s="965">
        <f t="shared" si="1"/>
        <v>2248487</v>
      </c>
    </row>
    <row r="49" spans="1:5" ht="62.45" customHeight="1">
      <c r="A49" s="800" t="s">
        <v>37</v>
      </c>
      <c r="B49" s="872" t="s">
        <v>68</v>
      </c>
      <c r="C49" s="873"/>
      <c r="D49" s="873">
        <v>500000</v>
      </c>
      <c r="E49" s="965">
        <f t="shared" si="1"/>
        <v>500000</v>
      </c>
    </row>
    <row r="50" spans="1:5" ht="62.45" customHeight="1">
      <c r="A50" s="800" t="s">
        <v>37</v>
      </c>
      <c r="B50" s="872" t="s">
        <v>69</v>
      </c>
      <c r="C50" s="873"/>
      <c r="D50" s="873">
        <v>2500000</v>
      </c>
      <c r="E50" s="965">
        <f t="shared" si="1"/>
        <v>2500000</v>
      </c>
    </row>
    <row r="51" spans="1:5" ht="62.45" customHeight="1">
      <c r="A51" s="975" t="s">
        <v>70</v>
      </c>
      <c r="B51" s="872" t="s">
        <v>71</v>
      </c>
      <c r="C51" s="873"/>
      <c r="D51" s="873">
        <v>1500000</v>
      </c>
      <c r="E51" s="965">
        <f t="shared" si="1"/>
        <v>1500000</v>
      </c>
    </row>
    <row r="52" spans="1:5" ht="62.45" customHeight="1" thickBot="1">
      <c r="A52" s="980" t="s">
        <v>48</v>
      </c>
      <c r="B52" s="981" t="s">
        <v>72</v>
      </c>
      <c r="C52" s="982"/>
      <c r="D52" s="982">
        <v>1975000</v>
      </c>
      <c r="E52" s="983">
        <f t="shared" si="1"/>
        <v>1975000</v>
      </c>
    </row>
    <row r="53" spans="1:5" ht="62.45" customHeight="1" thickBot="1">
      <c r="A53" s="980" t="s">
        <v>36</v>
      </c>
      <c r="B53" s="981" t="s">
        <v>73</v>
      </c>
      <c r="C53" s="982"/>
      <c r="D53" s="982">
        <v>3000000</v>
      </c>
      <c r="E53" s="983">
        <f t="shared" si="1"/>
        <v>3000000</v>
      </c>
    </row>
    <row r="54" spans="1:5" ht="24.6" customHeight="1" thickBot="1">
      <c r="A54" s="976" t="s">
        <v>60</v>
      </c>
      <c r="B54" s="977"/>
      <c r="C54" s="978">
        <f>SUM(C43:C51)</f>
        <v>0</v>
      </c>
      <c r="D54" s="978">
        <f>SUM(D43:D53)</f>
        <v>16484487</v>
      </c>
      <c r="E54" s="979">
        <f>SUM(E43:E53)</f>
        <v>16484487</v>
      </c>
    </row>
    <row r="55" spans="1:5" ht="25.35" customHeight="1">
      <c r="A55" s="16" t="s">
        <v>74</v>
      </c>
    </row>
    <row r="56" spans="1:5" ht="25.35" customHeight="1">
      <c r="D56" s="46"/>
    </row>
    <row r="57" spans="1:5" ht="30.6" customHeight="1" thickBot="1">
      <c r="A57" s="443" t="s">
        <v>15</v>
      </c>
      <c r="B57" s="444"/>
      <c r="C57" s="444"/>
    </row>
    <row r="58" spans="1:5" ht="41.1" customHeight="1" thickBot="1">
      <c r="A58" s="43" t="s">
        <v>75</v>
      </c>
      <c r="B58" s="367" t="s">
        <v>76</v>
      </c>
      <c r="C58" s="15" t="s">
        <v>9</v>
      </c>
      <c r="D58" s="15"/>
    </row>
    <row r="59" spans="1:5" ht="69" customHeight="1" thickBot="1">
      <c r="A59" s="889" t="s">
        <v>77</v>
      </c>
      <c r="B59" s="890"/>
      <c r="C59" s="138"/>
    </row>
    <row r="60" spans="1:5" ht="37.35" customHeight="1" thickBot="1">
      <c r="A60" s="334" t="s">
        <v>19</v>
      </c>
      <c r="B60" s="429" t="s">
        <v>52</v>
      </c>
      <c r="D60" s="21"/>
    </row>
    <row r="61" spans="1:5" ht="25.35" customHeight="1" thickBot="1">
      <c r="A61" s="1008" t="str">
        <f>A33</f>
        <v>Tallahassee State College</v>
      </c>
      <c r="B61" s="1009">
        <v>25000</v>
      </c>
      <c r="C61" s="151"/>
    </row>
    <row r="62" spans="1:5" ht="25.35" customHeight="1" thickBot="1">
      <c r="A62" s="976" t="s">
        <v>52</v>
      </c>
      <c r="B62" s="1010">
        <f>SUM(B61:B61)</f>
        <v>25000</v>
      </c>
      <c r="C62" s="368"/>
    </row>
    <row r="63" spans="1:5" ht="24.6" customHeight="1">
      <c r="A63" s="449"/>
      <c r="B63" s="448"/>
      <c r="C63" s="448"/>
    </row>
    <row r="64" spans="1:5" ht="32.1" customHeight="1" thickBot="1">
      <c r="A64" s="443" t="s">
        <v>78</v>
      </c>
      <c r="B64" s="444"/>
      <c r="C64" s="444"/>
    </row>
    <row r="65" spans="1:7" ht="44.45" customHeight="1" thickBot="1">
      <c r="A65" s="36" t="s">
        <v>79</v>
      </c>
      <c r="B65" s="891" t="s">
        <v>80</v>
      </c>
      <c r="C65" s="892"/>
      <c r="D65" s="892"/>
      <c r="E65" s="893"/>
      <c r="F65" s="17"/>
      <c r="G65" s="15"/>
    </row>
    <row r="66" spans="1:7" ht="87.6" customHeight="1" thickBot="1">
      <c r="A66" s="38" t="s">
        <v>19</v>
      </c>
      <c r="B66" s="1011" t="s">
        <v>81</v>
      </c>
      <c r="C66" s="37" t="s">
        <v>82</v>
      </c>
      <c r="D66" s="23" t="s">
        <v>83</v>
      </c>
      <c r="E66" s="24" t="s">
        <v>84</v>
      </c>
      <c r="F66" s="1011" t="s">
        <v>85</v>
      </c>
    </row>
    <row r="67" spans="1:7" ht="25.35" customHeight="1">
      <c r="A67" s="582" t="str">
        <f t="shared" ref="A67:A94" si="2">A7</f>
        <v>Eastern Florida State College</v>
      </c>
      <c r="B67" s="386">
        <v>21343920.702796087</v>
      </c>
      <c r="C67" s="386">
        <f t="shared" ref="C67:C94" si="3">B67*0.05</f>
        <v>1067196.0351398045</v>
      </c>
      <c r="D67" s="925">
        <f t="shared" ref="D67:D94" si="4">IF(C67&gt;500000,0,1)</f>
        <v>0</v>
      </c>
      <c r="E67" s="387">
        <f t="shared" ref="E67:E94" si="5">IF(D67&lt;1,0,B67*0.02)</f>
        <v>0</v>
      </c>
      <c r="F67" s="386">
        <f>C67+E67</f>
        <v>1067196.0351398045</v>
      </c>
    </row>
    <row r="68" spans="1:7" ht="25.35" customHeight="1">
      <c r="A68" s="583" t="str">
        <f t="shared" si="2"/>
        <v>Broward College</v>
      </c>
      <c r="B68" s="19">
        <v>58710588.862885587</v>
      </c>
      <c r="C68" s="19">
        <f t="shared" si="3"/>
        <v>2935529.4431442795</v>
      </c>
      <c r="D68" s="19">
        <f t="shared" si="4"/>
        <v>0</v>
      </c>
      <c r="E68" s="19">
        <f t="shared" si="5"/>
        <v>0</v>
      </c>
      <c r="F68" s="19">
        <f t="shared" ref="F68:F94" si="6">C68+E68</f>
        <v>2935529.4431442795</v>
      </c>
    </row>
    <row r="69" spans="1:7" ht="25.35" customHeight="1">
      <c r="A69" s="583" t="str">
        <f t="shared" si="2"/>
        <v>College of Central Florida</v>
      </c>
      <c r="B69" s="19">
        <v>10824134.7441312</v>
      </c>
      <c r="C69" s="19">
        <f t="shared" si="3"/>
        <v>541206.73720655998</v>
      </c>
      <c r="D69" s="19">
        <f t="shared" si="4"/>
        <v>0</v>
      </c>
      <c r="E69" s="19">
        <f t="shared" si="5"/>
        <v>0</v>
      </c>
      <c r="F69" s="19">
        <f t="shared" si="6"/>
        <v>541206.73720655998</v>
      </c>
    </row>
    <row r="70" spans="1:7" ht="25.35" customHeight="1">
      <c r="A70" s="584" t="str">
        <f t="shared" si="2"/>
        <v>Chipola College</v>
      </c>
      <c r="B70" s="354">
        <v>2572418.5309079303</v>
      </c>
      <c r="C70" s="354">
        <f t="shared" si="3"/>
        <v>128620.92654539652</v>
      </c>
      <c r="D70" s="354">
        <f t="shared" si="4"/>
        <v>1</v>
      </c>
      <c r="E70" s="354">
        <f t="shared" si="5"/>
        <v>51448.370618158609</v>
      </c>
      <c r="F70" s="354">
        <f t="shared" si="6"/>
        <v>180069.29716355514</v>
      </c>
    </row>
    <row r="71" spans="1:7" ht="25.35" customHeight="1">
      <c r="A71" s="583" t="str">
        <f t="shared" si="2"/>
        <v>Daytona State College</v>
      </c>
      <c r="B71" s="19">
        <v>22239203.763797291</v>
      </c>
      <c r="C71" s="19">
        <f t="shared" si="3"/>
        <v>1111960.1881898646</v>
      </c>
      <c r="D71" s="19">
        <f t="shared" si="4"/>
        <v>0</v>
      </c>
      <c r="E71" s="19">
        <f t="shared" si="5"/>
        <v>0</v>
      </c>
      <c r="F71" s="19">
        <f t="shared" si="6"/>
        <v>1111960.1881898646</v>
      </c>
    </row>
    <row r="72" spans="1:7" ht="25.35" customHeight="1">
      <c r="A72" s="583" t="str">
        <f t="shared" si="2"/>
        <v>Florida SouthWestern State College</v>
      </c>
      <c r="B72" s="19">
        <v>21026195.020153396</v>
      </c>
      <c r="C72" s="19">
        <f t="shared" si="3"/>
        <v>1051309.7510076698</v>
      </c>
      <c r="D72" s="19">
        <f t="shared" si="4"/>
        <v>0</v>
      </c>
      <c r="E72" s="19">
        <f t="shared" si="5"/>
        <v>0</v>
      </c>
      <c r="F72" s="19">
        <f t="shared" si="6"/>
        <v>1051309.7510076698</v>
      </c>
    </row>
    <row r="73" spans="1:7" ht="25.35" customHeight="1">
      <c r="A73" s="583" t="str">
        <f t="shared" si="2"/>
        <v>Florida State College at Jacksonville</v>
      </c>
      <c r="B73" s="19">
        <v>37416579.393034577</v>
      </c>
      <c r="C73" s="19">
        <f t="shared" si="3"/>
        <v>1870828.9696517289</v>
      </c>
      <c r="D73" s="19">
        <f t="shared" si="4"/>
        <v>0</v>
      </c>
      <c r="E73" s="19">
        <f t="shared" si="5"/>
        <v>0</v>
      </c>
      <c r="F73" s="19">
        <f t="shared" si="6"/>
        <v>1870828.9696517289</v>
      </c>
    </row>
    <row r="74" spans="1:7" ht="25.35" customHeight="1">
      <c r="A74" s="584" t="str">
        <f t="shared" si="2"/>
        <v>College of the Florida Keys</v>
      </c>
      <c r="B74" s="354">
        <v>2558702.4277445842</v>
      </c>
      <c r="C74" s="354">
        <f t="shared" si="3"/>
        <v>127935.12138722921</v>
      </c>
      <c r="D74" s="354">
        <f t="shared" si="4"/>
        <v>1</v>
      </c>
      <c r="E74" s="354">
        <f t="shared" si="5"/>
        <v>51174.048554891684</v>
      </c>
      <c r="F74" s="354">
        <f t="shared" si="6"/>
        <v>179109.16994212091</v>
      </c>
    </row>
    <row r="75" spans="1:7" ht="25.35" customHeight="1">
      <c r="A75" s="584" t="str">
        <f t="shared" si="2"/>
        <v>Gulf Coast State College</v>
      </c>
      <c r="B75" s="354">
        <v>7257684.5405805968</v>
      </c>
      <c r="C75" s="354">
        <f t="shared" si="3"/>
        <v>362884.22702902986</v>
      </c>
      <c r="D75" s="354">
        <f t="shared" si="4"/>
        <v>1</v>
      </c>
      <c r="E75" s="354">
        <f t="shared" si="5"/>
        <v>145153.69081161194</v>
      </c>
      <c r="F75" s="354">
        <f t="shared" si="6"/>
        <v>508037.91784064181</v>
      </c>
    </row>
    <row r="76" spans="1:7" ht="25.35" customHeight="1">
      <c r="A76" s="583" t="str">
        <f t="shared" si="2"/>
        <v>Hillsborough Community College</v>
      </c>
      <c r="B76" s="19">
        <v>44262235.065613717</v>
      </c>
      <c r="C76" s="19">
        <f>B76*0.05</f>
        <v>2213111.7532806857</v>
      </c>
      <c r="D76" s="19">
        <f t="shared" si="4"/>
        <v>0</v>
      </c>
      <c r="E76" s="19">
        <f t="shared" si="5"/>
        <v>0</v>
      </c>
      <c r="F76" s="19">
        <f t="shared" si="6"/>
        <v>2213111.7532806857</v>
      </c>
    </row>
    <row r="77" spans="1:7" ht="25.35" customHeight="1">
      <c r="A77" s="583" t="str">
        <f t="shared" si="2"/>
        <v>Indian River State College</v>
      </c>
      <c r="B77" s="19">
        <v>24017342.200046379</v>
      </c>
      <c r="C77" s="19">
        <f t="shared" si="3"/>
        <v>1200867.1100023191</v>
      </c>
      <c r="D77" s="19">
        <f t="shared" si="4"/>
        <v>0</v>
      </c>
      <c r="E77" s="19">
        <f t="shared" si="5"/>
        <v>0</v>
      </c>
      <c r="F77" s="19">
        <f t="shared" si="6"/>
        <v>1200867.1100023191</v>
      </c>
    </row>
    <row r="78" spans="1:7" ht="25.35" customHeight="1">
      <c r="A78" s="584" t="str">
        <f t="shared" si="2"/>
        <v>Florida Gateway College</v>
      </c>
      <c r="B78" s="354">
        <v>4502728.5670378795</v>
      </c>
      <c r="C78" s="354">
        <f t="shared" si="3"/>
        <v>225136.42835189399</v>
      </c>
      <c r="D78" s="354">
        <f t="shared" si="4"/>
        <v>1</v>
      </c>
      <c r="E78" s="354">
        <f t="shared" si="5"/>
        <v>90054.571340757597</v>
      </c>
      <c r="F78" s="354">
        <f t="shared" si="6"/>
        <v>315190.99969265156</v>
      </c>
    </row>
    <row r="79" spans="1:7" ht="25.35" customHeight="1">
      <c r="A79" s="584" t="str">
        <f t="shared" si="2"/>
        <v>Lake-Sumter State College</v>
      </c>
      <c r="B79" s="354">
        <v>7039410.8568977257</v>
      </c>
      <c r="C79" s="354">
        <f t="shared" si="3"/>
        <v>351970.54284488631</v>
      </c>
      <c r="D79" s="354">
        <f t="shared" si="4"/>
        <v>1</v>
      </c>
      <c r="E79" s="354">
        <f t="shared" si="5"/>
        <v>140788.21713795452</v>
      </c>
      <c r="F79" s="354">
        <f t="shared" si="6"/>
        <v>492758.75998284086</v>
      </c>
    </row>
    <row r="80" spans="1:7" ht="25.35" customHeight="1">
      <c r="A80" s="583" t="str">
        <f t="shared" si="2"/>
        <v>State College of Florida, Manatee-Sarasota</v>
      </c>
      <c r="B80" s="19">
        <v>15493697.017745752</v>
      </c>
      <c r="C80" s="19">
        <f t="shared" si="3"/>
        <v>774684.85088728764</v>
      </c>
      <c r="D80" s="19">
        <f t="shared" si="4"/>
        <v>0</v>
      </c>
      <c r="E80" s="19">
        <f t="shared" si="5"/>
        <v>0</v>
      </c>
      <c r="F80" s="19">
        <f t="shared" si="6"/>
        <v>774684.85088728764</v>
      </c>
    </row>
    <row r="81" spans="1:6" ht="25.35" customHeight="1">
      <c r="A81" s="583" t="str">
        <f t="shared" si="2"/>
        <v>Miami Dade College</v>
      </c>
      <c r="B81" s="19">
        <v>115592111.5884901</v>
      </c>
      <c r="C81" s="19">
        <f t="shared" si="3"/>
        <v>5779605.5794245051</v>
      </c>
      <c r="D81" s="19">
        <f t="shared" si="4"/>
        <v>0</v>
      </c>
      <c r="E81" s="19">
        <f t="shared" si="5"/>
        <v>0</v>
      </c>
      <c r="F81" s="19">
        <f t="shared" si="6"/>
        <v>5779605.5794245051</v>
      </c>
    </row>
    <row r="82" spans="1:6" ht="25.35" customHeight="1">
      <c r="A82" s="584" t="str">
        <f t="shared" si="2"/>
        <v>North Florida College</v>
      </c>
      <c r="B82" s="354">
        <v>1657248.7055421218</v>
      </c>
      <c r="C82" s="354">
        <f t="shared" si="3"/>
        <v>82862.435277106095</v>
      </c>
      <c r="D82" s="354">
        <f t="shared" si="4"/>
        <v>1</v>
      </c>
      <c r="E82" s="354">
        <f t="shared" si="5"/>
        <v>33144.974110842435</v>
      </c>
      <c r="F82" s="354">
        <f t="shared" si="6"/>
        <v>116007.40938794853</v>
      </c>
    </row>
    <row r="83" spans="1:6" ht="25.35" customHeight="1">
      <c r="A83" s="584" t="str">
        <f t="shared" si="2"/>
        <v>Northwest Florida State College</v>
      </c>
      <c r="B83" s="354">
        <v>8451652.197534265</v>
      </c>
      <c r="C83" s="354">
        <f t="shared" si="3"/>
        <v>422582.60987671325</v>
      </c>
      <c r="D83" s="354">
        <f t="shared" si="4"/>
        <v>1</v>
      </c>
      <c r="E83" s="354">
        <f t="shared" si="5"/>
        <v>169033.0439506853</v>
      </c>
      <c r="F83" s="354">
        <f t="shared" si="6"/>
        <v>591615.65382739855</v>
      </c>
    </row>
    <row r="84" spans="1:6" ht="25.35" customHeight="1">
      <c r="A84" s="583" t="str">
        <f t="shared" si="2"/>
        <v>Palm Beach State College</v>
      </c>
      <c r="B84" s="19">
        <v>40580920.396891579</v>
      </c>
      <c r="C84" s="19">
        <f t="shared" si="3"/>
        <v>2029046.019844579</v>
      </c>
      <c r="D84" s="19">
        <f t="shared" si="4"/>
        <v>0</v>
      </c>
      <c r="E84" s="19">
        <f t="shared" si="5"/>
        <v>0</v>
      </c>
      <c r="F84" s="19">
        <f t="shared" si="6"/>
        <v>2029046.019844579</v>
      </c>
    </row>
    <row r="85" spans="1:6" ht="25.35" customHeight="1">
      <c r="A85" s="583" t="str">
        <f t="shared" si="2"/>
        <v>Pasco-Hernando State College</v>
      </c>
      <c r="B85" s="19">
        <v>12738234.333178356</v>
      </c>
      <c r="C85" s="19">
        <f t="shared" si="3"/>
        <v>636911.71665891784</v>
      </c>
      <c r="D85" s="19">
        <f t="shared" si="4"/>
        <v>0</v>
      </c>
      <c r="E85" s="19">
        <f t="shared" si="5"/>
        <v>0</v>
      </c>
      <c r="F85" s="19">
        <f t="shared" si="6"/>
        <v>636911.71665891784</v>
      </c>
    </row>
    <row r="86" spans="1:6" ht="25.35" customHeight="1">
      <c r="A86" s="583" t="str">
        <f t="shared" si="2"/>
        <v>Pensacola State College</v>
      </c>
      <c r="B86" s="19">
        <v>14542196.654085513</v>
      </c>
      <c r="C86" s="19">
        <f t="shared" si="3"/>
        <v>727109.83270427573</v>
      </c>
      <c r="D86" s="19">
        <f t="shared" si="4"/>
        <v>0</v>
      </c>
      <c r="E86" s="19">
        <f t="shared" si="5"/>
        <v>0</v>
      </c>
      <c r="F86" s="19">
        <f t="shared" si="6"/>
        <v>727109.83270427573</v>
      </c>
    </row>
    <row r="87" spans="1:6" ht="25.35" customHeight="1">
      <c r="A87" s="583" t="str">
        <f t="shared" si="2"/>
        <v>Polk State College</v>
      </c>
      <c r="B87" s="19">
        <v>12813479.263554951</v>
      </c>
      <c r="C87" s="19">
        <f t="shared" si="3"/>
        <v>640673.96317774756</v>
      </c>
      <c r="D87" s="19">
        <f t="shared" si="4"/>
        <v>0</v>
      </c>
      <c r="E87" s="19">
        <f t="shared" si="5"/>
        <v>0</v>
      </c>
      <c r="F87" s="19">
        <f t="shared" si="6"/>
        <v>640673.96317774756</v>
      </c>
    </row>
    <row r="88" spans="1:6" ht="25.35" customHeight="1">
      <c r="A88" s="584" t="str">
        <f t="shared" si="2"/>
        <v>St. Johns River State College</v>
      </c>
      <c r="B88" s="354">
        <v>7749149.0055809645</v>
      </c>
      <c r="C88" s="354">
        <f t="shared" si="3"/>
        <v>387457.45027904824</v>
      </c>
      <c r="D88" s="354">
        <f t="shared" si="4"/>
        <v>1</v>
      </c>
      <c r="E88" s="354">
        <f t="shared" si="5"/>
        <v>154982.98011161928</v>
      </c>
      <c r="F88" s="354">
        <f t="shared" si="6"/>
        <v>542440.43039066752</v>
      </c>
    </row>
    <row r="89" spans="1:6" ht="25.35" customHeight="1">
      <c r="A89" s="583" t="str">
        <f t="shared" si="2"/>
        <v>St. Petersburg College</v>
      </c>
      <c r="B89" s="19">
        <v>38045061.348271757</v>
      </c>
      <c r="C89" s="19">
        <f t="shared" si="3"/>
        <v>1902253.0674135881</v>
      </c>
      <c r="D89" s="19">
        <f t="shared" si="4"/>
        <v>0</v>
      </c>
      <c r="E89" s="19">
        <f t="shared" si="5"/>
        <v>0</v>
      </c>
      <c r="F89" s="19">
        <f t="shared" si="6"/>
        <v>1902253.0674135881</v>
      </c>
    </row>
    <row r="90" spans="1:6" ht="25.35" customHeight="1">
      <c r="A90" s="583" t="str">
        <f t="shared" si="2"/>
        <v>Santa Fe College</v>
      </c>
      <c r="B90" s="19">
        <v>26232451.431537766</v>
      </c>
      <c r="C90" s="19">
        <f t="shared" si="3"/>
        <v>1311622.5715768884</v>
      </c>
      <c r="D90" s="19">
        <f t="shared" si="4"/>
        <v>0</v>
      </c>
      <c r="E90" s="19">
        <f t="shared" si="5"/>
        <v>0</v>
      </c>
      <c r="F90" s="19">
        <f t="shared" si="6"/>
        <v>1311622.5715768884</v>
      </c>
    </row>
    <row r="91" spans="1:6" ht="25.35" customHeight="1">
      <c r="A91" s="583" t="str">
        <f t="shared" si="2"/>
        <v>Seminole State College of Florida</v>
      </c>
      <c r="B91" s="19">
        <v>25194497.498493366</v>
      </c>
      <c r="C91" s="19">
        <f t="shared" si="3"/>
        <v>1259724.8749246683</v>
      </c>
      <c r="D91" s="19">
        <f t="shared" si="4"/>
        <v>0</v>
      </c>
      <c r="E91" s="19">
        <f t="shared" si="5"/>
        <v>0</v>
      </c>
      <c r="F91" s="19">
        <f t="shared" si="6"/>
        <v>1259724.8749246683</v>
      </c>
    </row>
    <row r="92" spans="1:6" ht="25.35" customHeight="1">
      <c r="A92" s="584" t="str">
        <f t="shared" si="2"/>
        <v>South Florida State College</v>
      </c>
      <c r="B92" s="354">
        <v>4045974.0797884515</v>
      </c>
      <c r="C92" s="354">
        <f t="shared" si="3"/>
        <v>202298.70398942259</v>
      </c>
      <c r="D92" s="354">
        <f t="shared" si="4"/>
        <v>1</v>
      </c>
      <c r="E92" s="354">
        <f t="shared" si="5"/>
        <v>80919.48159576903</v>
      </c>
      <c r="F92" s="354">
        <f t="shared" si="6"/>
        <v>283218.18558519159</v>
      </c>
    </row>
    <row r="93" spans="1:6" ht="25.35" customHeight="1">
      <c r="A93" s="583" t="str">
        <f t="shared" si="2"/>
        <v>Tallahassee State College</v>
      </c>
      <c r="B93" s="19">
        <v>24628352.217420455</v>
      </c>
      <c r="C93" s="19">
        <f t="shared" si="3"/>
        <v>1231417.6108710228</v>
      </c>
      <c r="D93" s="19">
        <f t="shared" si="4"/>
        <v>0</v>
      </c>
      <c r="E93" s="19">
        <f t="shared" si="5"/>
        <v>0</v>
      </c>
      <c r="F93" s="19">
        <f t="shared" si="6"/>
        <v>1231417.6108710228</v>
      </c>
    </row>
    <row r="94" spans="1:6" ht="25.35" customHeight="1" thickBot="1">
      <c r="A94" s="583" t="str">
        <f t="shared" si="2"/>
        <v>Valencia College</v>
      </c>
      <c r="B94" s="25">
        <v>95888317.353704765</v>
      </c>
      <c r="C94" s="25">
        <f t="shared" si="3"/>
        <v>4794415.8676852388</v>
      </c>
      <c r="D94" s="25">
        <f t="shared" si="4"/>
        <v>0</v>
      </c>
      <c r="E94" s="25">
        <f t="shared" si="5"/>
        <v>0</v>
      </c>
      <c r="F94" s="25">
        <f t="shared" si="6"/>
        <v>4794415.8676852388</v>
      </c>
    </row>
    <row r="95" spans="1:6" ht="25.35" customHeight="1" thickBot="1">
      <c r="A95" s="62" t="s">
        <v>52</v>
      </c>
      <c r="B95" s="388">
        <f>SUM(B67:B94)</f>
        <v>707424487.76744711</v>
      </c>
      <c r="C95" s="388">
        <f>SUM(C67:C94)</f>
        <v>35371224.388372362</v>
      </c>
      <c r="D95" s="63">
        <f>SUM(D67:D94)</f>
        <v>9</v>
      </c>
      <c r="E95" s="388">
        <f>SUM(E67:E94)</f>
        <v>916699.3782322905</v>
      </c>
      <c r="F95" s="389">
        <f>SUM(C95+E95)</f>
        <v>36287923.766604654</v>
      </c>
    </row>
    <row r="96" spans="1:6" ht="25.35" customHeight="1">
      <c r="A96" s="73"/>
    </row>
    <row r="97" spans="1:50" ht="25.35" customHeight="1">
      <c r="A97" s="74" t="s">
        <v>86</v>
      </c>
    </row>
    <row r="98" spans="1:50" ht="25.35" customHeight="1">
      <c r="A98" s="882" t="s">
        <v>87</v>
      </c>
      <c r="B98" s="882"/>
      <c r="C98" s="882"/>
      <c r="D98" s="882"/>
      <c r="E98" s="882"/>
      <c r="F98" s="882"/>
      <c r="G98" s="882"/>
      <c r="H98" s="882"/>
      <c r="I98" s="882"/>
      <c r="J98" s="882"/>
      <c r="K98" s="882"/>
      <c r="L98" s="882"/>
      <c r="M98" s="882"/>
      <c r="N98" s="882"/>
      <c r="O98" s="882"/>
      <c r="P98" s="882"/>
      <c r="Q98" s="882"/>
      <c r="R98" s="882"/>
    </row>
    <row r="99" spans="1:50" ht="20.100000000000001" customHeight="1">
      <c r="A99" s="881" t="s">
        <v>88</v>
      </c>
      <c r="B99" s="881"/>
      <c r="C99" s="881"/>
      <c r="D99" s="881"/>
      <c r="E99" s="881"/>
      <c r="F99" s="881"/>
      <c r="G99" s="881"/>
      <c r="H99" s="881"/>
      <c r="I99" s="881"/>
      <c r="J99" s="881"/>
      <c r="K99" s="881"/>
      <c r="L99" s="881"/>
      <c r="M99" s="881"/>
      <c r="N99" s="881"/>
      <c r="O99" s="881"/>
      <c r="P99" s="881"/>
      <c r="Q99" s="881"/>
      <c r="R99" s="881"/>
      <c r="S99" s="445"/>
    </row>
    <row r="100" spans="1:50" ht="20.100000000000001" customHeight="1">
      <c r="A100" s="431" t="s">
        <v>89</v>
      </c>
      <c r="B100" s="431"/>
      <c r="C100" s="431"/>
      <c r="D100" s="431"/>
      <c r="E100" s="431"/>
      <c r="F100" s="431"/>
      <c r="G100" s="431"/>
      <c r="H100" s="431"/>
      <c r="I100" s="431"/>
      <c r="J100" s="431"/>
      <c r="K100" s="431"/>
      <c r="L100" s="431"/>
      <c r="M100" s="431"/>
      <c r="N100" s="431"/>
      <c r="O100" s="431"/>
      <c r="P100" s="431"/>
      <c r="Q100" s="431"/>
      <c r="R100" s="431"/>
    </row>
    <row r="101" spans="1:50" ht="20.100000000000001" customHeight="1">
      <c r="A101" s="881" t="s">
        <v>90</v>
      </c>
      <c r="B101" s="881"/>
      <c r="C101" s="881"/>
      <c r="D101" s="881"/>
      <c r="E101" s="881"/>
      <c r="F101" s="881"/>
      <c r="G101" s="881"/>
      <c r="H101" s="881"/>
      <c r="I101" s="881"/>
      <c r="J101" s="881"/>
      <c r="K101" s="881"/>
      <c r="L101" s="881"/>
      <c r="M101" s="881"/>
      <c r="N101" s="881"/>
      <c r="O101" s="881"/>
      <c r="P101" s="881"/>
      <c r="Q101" s="881"/>
      <c r="R101" s="881"/>
    </row>
    <row r="102" spans="1:50" ht="20.100000000000001" customHeight="1">
      <c r="A102" s="881"/>
      <c r="B102" s="881"/>
      <c r="C102" s="881"/>
      <c r="D102" s="881"/>
      <c r="E102" s="881"/>
      <c r="F102" s="881"/>
      <c r="G102" s="881"/>
    </row>
    <row r="103" spans="1:50" ht="32.450000000000003" customHeight="1" thickBot="1">
      <c r="E103" s="442"/>
      <c r="F103" s="442"/>
      <c r="G103" s="442"/>
    </row>
    <row r="104" spans="1:50" ht="43.35" customHeight="1" thickBot="1">
      <c r="A104" s="45" t="s">
        <v>91</v>
      </c>
      <c r="B104" s="876" t="s">
        <v>92</v>
      </c>
      <c r="C104" s="877"/>
      <c r="D104" s="878"/>
      <c r="E104" s="879" t="s">
        <v>93</v>
      </c>
      <c r="F104" s="879"/>
      <c r="G104" s="879"/>
      <c r="H104" s="879"/>
      <c r="I104" s="879"/>
      <c r="J104" s="879"/>
      <c r="K104" s="879"/>
      <c r="L104" s="879"/>
      <c r="M104" s="879"/>
      <c r="N104" s="879"/>
      <c r="O104" s="879"/>
      <c r="P104" s="879"/>
      <c r="Q104" s="879"/>
      <c r="R104" s="879"/>
      <c r="S104" s="880"/>
      <c r="T104" s="18"/>
      <c r="U104" s="18"/>
      <c r="AC104" s="18"/>
      <c r="AK104" s="360"/>
    </row>
    <row r="105" spans="1:50" ht="39" customHeight="1" thickBot="1">
      <c r="A105" s="44">
        <v>1</v>
      </c>
      <c r="B105" s="42">
        <v>2</v>
      </c>
      <c r="C105" s="879">
        <v>3</v>
      </c>
      <c r="D105" s="880">
        <v>4</v>
      </c>
      <c r="E105" s="879">
        <v>5</v>
      </c>
      <c r="F105" s="879">
        <v>6</v>
      </c>
      <c r="G105" s="879">
        <v>7</v>
      </c>
      <c r="H105" s="879">
        <v>8</v>
      </c>
      <c r="I105" s="879">
        <v>9</v>
      </c>
      <c r="J105" s="879">
        <v>10</v>
      </c>
      <c r="K105" s="879">
        <v>11</v>
      </c>
      <c r="L105" s="879">
        <v>12</v>
      </c>
      <c r="M105" s="879">
        <v>13</v>
      </c>
      <c r="N105" s="879">
        <v>14</v>
      </c>
      <c r="O105" s="879">
        <v>15</v>
      </c>
      <c r="P105" s="879">
        <v>16</v>
      </c>
      <c r="Q105" s="879">
        <v>17</v>
      </c>
      <c r="R105" s="879">
        <v>18</v>
      </c>
      <c r="S105" s="880">
        <v>19</v>
      </c>
      <c r="T105" s="912" t="s">
        <v>52</v>
      </c>
      <c r="U105" s="26"/>
      <c r="V105" s="42">
        <v>20</v>
      </c>
      <c r="W105" s="879">
        <v>21</v>
      </c>
      <c r="X105" s="879">
        <v>22</v>
      </c>
      <c r="Y105" s="55"/>
      <c r="Z105" s="879">
        <v>23</v>
      </c>
      <c r="AA105" s="879">
        <v>24</v>
      </c>
      <c r="AB105" s="880">
        <v>25</v>
      </c>
      <c r="AC105" s="29"/>
    </row>
    <row r="106" spans="1:50" ht="29.45" customHeight="1" thickBot="1">
      <c r="A106" s="53" t="s">
        <v>94</v>
      </c>
      <c r="B106" s="921" t="s">
        <v>95</v>
      </c>
      <c r="C106" s="922"/>
      <c r="D106" s="923"/>
      <c r="E106" s="28"/>
      <c r="G106" s="897"/>
      <c r="H106" s="897"/>
      <c r="I106" s="897"/>
      <c r="J106" s="897" t="s">
        <v>96</v>
      </c>
      <c r="K106" s="897"/>
      <c r="L106" s="897"/>
      <c r="M106" s="897"/>
      <c r="N106" s="897"/>
      <c r="O106" s="897"/>
      <c r="P106" s="897"/>
      <c r="Q106" s="906" t="s">
        <v>97</v>
      </c>
      <c r="R106" s="907"/>
      <c r="S106" s="908"/>
      <c r="T106" s="913" t="s">
        <v>98</v>
      </c>
      <c r="U106" s="30"/>
      <c r="V106" s="31"/>
      <c r="W106" s="32"/>
      <c r="X106" s="33"/>
      <c r="Y106" s="56"/>
      <c r="Z106" s="898"/>
      <c r="AA106" s="899"/>
      <c r="AB106" s="900"/>
      <c r="AC106" s="18"/>
      <c r="AD106" s="974" t="s">
        <v>99</v>
      </c>
      <c r="AF106" s="27"/>
    </row>
    <row r="107" spans="1:50" ht="66" customHeight="1" thickBot="1">
      <c r="A107" s="34"/>
      <c r="B107" s="42" t="s">
        <v>100</v>
      </c>
      <c r="C107" s="879"/>
      <c r="D107" s="880"/>
      <c r="E107" s="42" t="s">
        <v>101</v>
      </c>
      <c r="F107" s="879"/>
      <c r="G107" s="880"/>
      <c r="H107" s="42" t="s">
        <v>102</v>
      </c>
      <c r="I107" s="879"/>
      <c r="J107" s="880"/>
      <c r="K107" s="886" t="s">
        <v>103</v>
      </c>
      <c r="L107" s="886"/>
      <c r="M107" s="886"/>
      <c r="N107" s="36" t="s">
        <v>104</v>
      </c>
      <c r="O107" s="887"/>
      <c r="P107" s="37"/>
      <c r="Q107" s="909" t="s">
        <v>105</v>
      </c>
      <c r="R107" s="910"/>
      <c r="S107" s="911"/>
      <c r="T107" s="964"/>
      <c r="U107" s="20"/>
      <c r="V107" s="883" t="s">
        <v>106</v>
      </c>
      <c r="W107" s="884"/>
      <c r="X107" s="888"/>
      <c r="Y107" s="914"/>
      <c r="Z107" s="883" t="s">
        <v>107</v>
      </c>
      <c r="AA107" s="884"/>
      <c r="AB107" s="885"/>
      <c r="AD107" s="41" t="s">
        <v>108</v>
      </c>
      <c r="AF107" s="18"/>
      <c r="AI107" s="915" t="s">
        <v>109</v>
      </c>
      <c r="AJ107" s="915"/>
      <c r="AK107" s="915"/>
      <c r="AL107" s="915"/>
      <c r="AM107" s="915"/>
      <c r="AN107" s="915"/>
      <c r="AO107" s="915"/>
    </row>
    <row r="108" spans="1:50" ht="87" customHeight="1" thickBot="1">
      <c r="A108" s="38" t="s">
        <v>19</v>
      </c>
      <c r="B108" s="808" t="s">
        <v>110</v>
      </c>
      <c r="C108" s="358"/>
      <c r="D108" s="534" t="s">
        <v>60</v>
      </c>
      <c r="E108" s="807" t="s">
        <v>110</v>
      </c>
      <c r="F108" s="806" t="s">
        <v>111</v>
      </c>
      <c r="G108" s="18" t="s">
        <v>60</v>
      </c>
      <c r="H108" s="809" t="s">
        <v>110</v>
      </c>
      <c r="I108" s="810" t="s">
        <v>111</v>
      </c>
      <c r="J108" s="54" t="s">
        <v>60</v>
      </c>
      <c r="K108" s="811" t="s">
        <v>110</v>
      </c>
      <c r="L108" s="812" t="s">
        <v>111</v>
      </c>
      <c r="M108" s="1012" t="s">
        <v>60</v>
      </c>
      <c r="N108" s="813" t="s">
        <v>110</v>
      </c>
      <c r="O108" s="812" t="s">
        <v>111</v>
      </c>
      <c r="P108" s="504" t="s">
        <v>60</v>
      </c>
      <c r="Q108" s="813" t="s">
        <v>110</v>
      </c>
      <c r="R108" s="806" t="s">
        <v>111</v>
      </c>
      <c r="S108" s="54" t="s">
        <v>60</v>
      </c>
      <c r="T108" s="963" t="s">
        <v>112</v>
      </c>
      <c r="V108" s="814" t="s">
        <v>110</v>
      </c>
      <c r="W108" s="815" t="s">
        <v>111</v>
      </c>
      <c r="X108" s="1013" t="s">
        <v>60</v>
      </c>
      <c r="Y108" s="1014"/>
      <c r="Z108" s="35" t="s">
        <v>110</v>
      </c>
      <c r="AA108" s="816" t="s">
        <v>111</v>
      </c>
      <c r="AB108" s="1015" t="s">
        <v>60</v>
      </c>
      <c r="AD108" s="38" t="s">
        <v>19</v>
      </c>
      <c r="AE108" s="817" t="s">
        <v>113</v>
      </c>
      <c r="AF108" s="818" t="s">
        <v>114</v>
      </c>
      <c r="AG108" s="22" t="s">
        <v>115</v>
      </c>
      <c r="AR108" s="26"/>
      <c r="AS108" s="26"/>
      <c r="AT108" s="26"/>
    </row>
    <row r="109" spans="1:50" ht="24.6" customHeight="1">
      <c r="A109" s="355" t="str">
        <f t="shared" ref="A109:A136" si="7">A7</f>
        <v>Eastern Florida State College</v>
      </c>
      <c r="B109" s="432">
        <v>915</v>
      </c>
      <c r="C109" s="924"/>
      <c r="D109" s="802">
        <f t="shared" ref="D109:D136" si="8">B109+C109</f>
        <v>915</v>
      </c>
      <c r="E109" s="901">
        <v>4409.036589992068</v>
      </c>
      <c r="F109" s="433">
        <v>221.0982515432631</v>
      </c>
      <c r="G109" s="369">
        <f t="shared" ref="G109:G136" si="9">E109+F109</f>
        <v>4630.1348415353314</v>
      </c>
      <c r="H109" s="957">
        <v>1630.3516883116883</v>
      </c>
      <c r="I109" s="958">
        <v>56.467994227994225</v>
      </c>
      <c r="J109" s="369">
        <f>H109+I109</f>
        <v>1686.8196825396826</v>
      </c>
      <c r="K109" s="434">
        <v>200.18078512396693</v>
      </c>
      <c r="L109" s="435">
        <v>29.819214876033058</v>
      </c>
      <c r="M109" s="52">
        <f t="shared" ref="M109:M136" si="10">K109+L109</f>
        <v>230</v>
      </c>
      <c r="N109" s="434">
        <v>0</v>
      </c>
      <c r="O109" s="435">
        <v>0</v>
      </c>
      <c r="P109" s="52">
        <f t="shared" ref="P109:P136" si="11">N109+O109</f>
        <v>0</v>
      </c>
      <c r="Q109" s="434">
        <v>313.48756635931829</v>
      </c>
      <c r="R109" s="436">
        <v>21.506007264599049</v>
      </c>
      <c r="S109" s="369">
        <f t="shared" ref="S109:S136" si="12">Q109+R109</f>
        <v>334.99357362391731</v>
      </c>
      <c r="T109" s="52">
        <f t="shared" ref="T109:T136" si="13">D109+G109+J109+M109+P109+S109</f>
        <v>7796.9480976989316</v>
      </c>
      <c r="V109" s="1016">
        <f>X109-W109</f>
        <v>0</v>
      </c>
      <c r="W109" s="437">
        <v>0</v>
      </c>
      <c r="X109" s="438">
        <v>0</v>
      </c>
      <c r="Y109" s="75"/>
      <c r="Z109" s="374">
        <f>AB109-AA109</f>
        <v>0</v>
      </c>
      <c r="AA109" s="439">
        <v>0</v>
      </c>
      <c r="AB109" s="1017">
        <f t="shared" ref="AB109:AB136" si="14">AG109</f>
        <v>0</v>
      </c>
      <c r="AD109" s="355" t="str">
        <f t="shared" ref="AD109:AD136" si="15">A109</f>
        <v>Eastern Florida State College</v>
      </c>
      <c r="AE109" s="440">
        <v>0</v>
      </c>
      <c r="AF109" s="440">
        <v>0</v>
      </c>
      <c r="AG109" s="376">
        <f t="shared" ref="AG109:AG136" si="16">AE109+AF109</f>
        <v>0</v>
      </c>
      <c r="AI109" s="896" t="s">
        <v>116</v>
      </c>
      <c r="AJ109" s="896"/>
      <c r="AK109" s="896"/>
      <c r="AL109" s="896"/>
      <c r="AM109" s="896"/>
      <c r="AN109" s="896"/>
      <c r="AO109" s="40">
        <f>X137+AB137</f>
        <v>3532</v>
      </c>
      <c r="AR109" s="26"/>
      <c r="AS109" s="26"/>
      <c r="AT109" s="26"/>
    </row>
    <row r="110" spans="1:50" ht="25.35" customHeight="1">
      <c r="A110" s="1018" t="str">
        <f t="shared" si="7"/>
        <v>Broward College</v>
      </c>
      <c r="B110" s="575">
        <v>1082</v>
      </c>
      <c r="C110" s="1019"/>
      <c r="D110" s="803">
        <f t="shared" si="8"/>
        <v>1082</v>
      </c>
      <c r="E110" s="902">
        <v>10754.786556714595</v>
      </c>
      <c r="F110" s="1020">
        <v>616.13231055978451</v>
      </c>
      <c r="G110" s="1021">
        <f t="shared" si="9"/>
        <v>11370.918867274378</v>
      </c>
      <c r="H110" s="959">
        <v>6176.8892795185529</v>
      </c>
      <c r="I110" s="960">
        <v>351.75979857838098</v>
      </c>
      <c r="J110" s="1021">
        <f t="shared" ref="J110:J136" si="17">H110+I110</f>
        <v>6528.6490780969343</v>
      </c>
      <c r="K110" s="585">
        <v>544.13924050632909</v>
      </c>
      <c r="L110" s="576">
        <v>78.860759493670869</v>
      </c>
      <c r="M110" s="1022">
        <f t="shared" si="10"/>
        <v>623</v>
      </c>
      <c r="N110" s="585">
        <v>3.9082568807339451</v>
      </c>
      <c r="O110" s="576">
        <v>9.1743119266055037E-2</v>
      </c>
      <c r="P110" s="1022">
        <f t="shared" si="11"/>
        <v>4</v>
      </c>
      <c r="Q110" s="585">
        <v>225.47382314122305</v>
      </c>
      <c r="R110" s="1023">
        <v>3.5261768587769469</v>
      </c>
      <c r="S110" s="1021">
        <f t="shared" si="12"/>
        <v>229</v>
      </c>
      <c r="T110" s="1022">
        <f t="shared" si="13"/>
        <v>19837.567945371313</v>
      </c>
      <c r="V110" s="1016">
        <f t="shared" ref="V110:V136" si="18">X110-W110</f>
        <v>0</v>
      </c>
      <c r="W110" s="1023">
        <v>0</v>
      </c>
      <c r="X110" s="1024">
        <v>0</v>
      </c>
      <c r="Y110" s="75"/>
      <c r="Z110" s="1025">
        <f t="shared" ref="Z110:Z136" si="19">AB110-AA110</f>
        <v>1</v>
      </c>
      <c r="AA110" s="1026">
        <v>30</v>
      </c>
      <c r="AB110" s="1017">
        <f t="shared" si="14"/>
        <v>31</v>
      </c>
      <c r="AD110" s="359" t="str">
        <f t="shared" si="15"/>
        <v>Broward College</v>
      </c>
      <c r="AE110" s="1027">
        <v>30</v>
      </c>
      <c r="AF110" s="1027">
        <v>1</v>
      </c>
      <c r="AG110" s="1021">
        <f t="shared" si="16"/>
        <v>31</v>
      </c>
      <c r="AI110" s="896" t="s">
        <v>117</v>
      </c>
      <c r="AJ110" s="896"/>
      <c r="AK110" s="896"/>
      <c r="AL110" s="896"/>
      <c r="AM110" s="896"/>
      <c r="AN110" s="896"/>
      <c r="AO110" s="441">
        <v>31528.837477508579</v>
      </c>
      <c r="AR110" s="147"/>
      <c r="AS110" s="147"/>
      <c r="AT110" s="147"/>
      <c r="AU110" s="147"/>
      <c r="AV110" s="147"/>
      <c r="AW110" s="147"/>
      <c r="AX110" s="147"/>
    </row>
    <row r="111" spans="1:50" ht="25.35" customHeight="1">
      <c r="A111" s="905" t="str">
        <f t="shared" si="7"/>
        <v>College of Central Florida</v>
      </c>
      <c r="B111" s="575">
        <v>271</v>
      </c>
      <c r="C111" s="1019"/>
      <c r="D111" s="803">
        <f t="shared" si="8"/>
        <v>271</v>
      </c>
      <c r="E111" s="902">
        <v>1950.0543591452492</v>
      </c>
      <c r="F111" s="1020">
        <v>95.307077102511784</v>
      </c>
      <c r="G111" s="1021">
        <f t="shared" si="9"/>
        <v>2045.361436247761</v>
      </c>
      <c r="H111" s="959">
        <v>1130.6624683009297</v>
      </c>
      <c r="I111" s="960">
        <v>49.621217244294172</v>
      </c>
      <c r="J111" s="1021">
        <f t="shared" si="17"/>
        <v>1180.283685545224</v>
      </c>
      <c r="K111" s="585">
        <v>94.157007376185462</v>
      </c>
      <c r="L111" s="576">
        <v>20.842992623814538</v>
      </c>
      <c r="M111" s="1022">
        <f t="shared" si="10"/>
        <v>115</v>
      </c>
      <c r="N111" s="585">
        <v>0</v>
      </c>
      <c r="O111" s="576">
        <v>0</v>
      </c>
      <c r="P111" s="1022">
        <f t="shared" si="11"/>
        <v>0</v>
      </c>
      <c r="Q111" s="585">
        <v>117.88142292490119</v>
      </c>
      <c r="R111" s="1023">
        <v>0.7083003952569169</v>
      </c>
      <c r="S111" s="1021">
        <f t="shared" si="12"/>
        <v>118.5897233201581</v>
      </c>
      <c r="T111" s="1022">
        <f t="shared" si="13"/>
        <v>3730.2348451131434</v>
      </c>
      <c r="V111" s="1016">
        <f t="shared" si="18"/>
        <v>0</v>
      </c>
      <c r="W111" s="1023">
        <v>0</v>
      </c>
      <c r="X111" s="1024">
        <v>0</v>
      </c>
      <c r="Y111" s="75"/>
      <c r="Z111" s="1025">
        <f t="shared" si="19"/>
        <v>6.3057851239669436</v>
      </c>
      <c r="AA111" s="1026">
        <v>6.6942148760330564</v>
      </c>
      <c r="AB111" s="1017">
        <f t="shared" si="14"/>
        <v>13</v>
      </c>
      <c r="AD111" s="905" t="str">
        <f t="shared" si="15"/>
        <v>College of Central Florida</v>
      </c>
      <c r="AE111" s="1027">
        <v>10</v>
      </c>
      <c r="AF111" s="1027">
        <v>3</v>
      </c>
      <c r="AG111" s="1021">
        <f t="shared" si="16"/>
        <v>13</v>
      </c>
      <c r="AI111" s="896" t="s">
        <v>118</v>
      </c>
      <c r="AJ111" s="896"/>
      <c r="AK111" s="896"/>
      <c r="AL111" s="896"/>
      <c r="AM111" s="896"/>
      <c r="AN111" s="896"/>
      <c r="AO111" s="546">
        <f>3515-0</f>
        <v>3515</v>
      </c>
    </row>
    <row r="112" spans="1:50" ht="25.35" customHeight="1">
      <c r="A112" s="905" t="str">
        <f t="shared" si="7"/>
        <v>Chipola College</v>
      </c>
      <c r="B112" s="575">
        <v>139</v>
      </c>
      <c r="C112" s="1019"/>
      <c r="D112" s="803">
        <f t="shared" si="8"/>
        <v>139</v>
      </c>
      <c r="E112" s="902">
        <v>530.8765915768854</v>
      </c>
      <c r="F112" s="1020">
        <v>41.880264446620963</v>
      </c>
      <c r="G112" s="1021">
        <f t="shared" si="9"/>
        <v>572.75685602350632</v>
      </c>
      <c r="H112" s="959">
        <v>162.48306010928962</v>
      </c>
      <c r="I112" s="960">
        <v>5.027322404371585</v>
      </c>
      <c r="J112" s="1021">
        <f t="shared" si="17"/>
        <v>167.5103825136612</v>
      </c>
      <c r="K112" s="585">
        <v>5.5555555555555562</v>
      </c>
      <c r="L112" s="576">
        <v>6.4444444444444438</v>
      </c>
      <c r="M112" s="1022">
        <f t="shared" si="10"/>
        <v>12</v>
      </c>
      <c r="N112" s="585">
        <v>0</v>
      </c>
      <c r="O112" s="576">
        <v>0</v>
      </c>
      <c r="P112" s="1022">
        <f t="shared" si="11"/>
        <v>0</v>
      </c>
      <c r="Q112" s="585">
        <v>168.70016034206307</v>
      </c>
      <c r="R112" s="1023">
        <v>1.2442544094067345</v>
      </c>
      <c r="S112" s="1021">
        <f t="shared" si="12"/>
        <v>169.94441475146979</v>
      </c>
      <c r="T112" s="1022">
        <f t="shared" si="13"/>
        <v>1061.2116532886373</v>
      </c>
      <c r="V112" s="1016">
        <f t="shared" si="18"/>
        <v>0</v>
      </c>
      <c r="W112" s="1023">
        <v>0</v>
      </c>
      <c r="X112" s="1024">
        <v>0</v>
      </c>
      <c r="Y112" s="75"/>
      <c r="Z112" s="1025">
        <f t="shared" si="19"/>
        <v>0</v>
      </c>
      <c r="AA112" s="1026">
        <v>0</v>
      </c>
      <c r="AB112" s="1017">
        <f t="shared" si="14"/>
        <v>0</v>
      </c>
      <c r="AD112" s="905" t="str">
        <f t="shared" si="15"/>
        <v>Chipola College</v>
      </c>
      <c r="AE112" s="1027">
        <v>0</v>
      </c>
      <c r="AF112" s="1027">
        <v>0</v>
      </c>
      <c r="AG112" s="1021">
        <f t="shared" si="16"/>
        <v>0</v>
      </c>
      <c r="AI112" s="26" t="s">
        <v>60</v>
      </c>
      <c r="AJ112" s="26"/>
      <c r="AK112" s="26"/>
      <c r="AL112" s="26"/>
      <c r="AM112" s="26"/>
      <c r="AN112" s="26"/>
      <c r="AO112" s="39">
        <f>SUM(AO109:AO111)</f>
        <v>38575.837477508583</v>
      </c>
      <c r="AR112" s="147"/>
      <c r="AS112" s="147"/>
      <c r="AT112" s="147"/>
      <c r="AU112" s="147"/>
      <c r="AV112" s="147"/>
      <c r="AW112" s="147"/>
      <c r="AX112" s="147"/>
    </row>
    <row r="113" spans="1:45" ht="25.35" customHeight="1">
      <c r="A113" s="905" t="str">
        <f t="shared" si="7"/>
        <v>Daytona State College</v>
      </c>
      <c r="B113" s="575">
        <v>891</v>
      </c>
      <c r="C113" s="1019"/>
      <c r="D113" s="803">
        <f t="shared" si="8"/>
        <v>891</v>
      </c>
      <c r="E113" s="902">
        <v>3949.4169250375667</v>
      </c>
      <c r="F113" s="1020">
        <v>253.44011184448291</v>
      </c>
      <c r="G113" s="1021">
        <f t="shared" si="9"/>
        <v>4202.8570368820492</v>
      </c>
      <c r="H113" s="959">
        <v>1969.277802262377</v>
      </c>
      <c r="I113" s="960">
        <v>93.272317712159051</v>
      </c>
      <c r="J113" s="1021">
        <f t="shared" si="17"/>
        <v>2062.5501199745358</v>
      </c>
      <c r="K113" s="585">
        <v>123.56525096525097</v>
      </c>
      <c r="L113" s="576">
        <v>19.434749034749036</v>
      </c>
      <c r="M113" s="1022">
        <f t="shared" si="10"/>
        <v>143</v>
      </c>
      <c r="N113" s="585">
        <v>1</v>
      </c>
      <c r="O113" s="576">
        <v>0</v>
      </c>
      <c r="P113" s="1022">
        <f t="shared" si="11"/>
        <v>1</v>
      </c>
      <c r="Q113" s="585">
        <v>652.31127626125487</v>
      </c>
      <c r="R113" s="1023">
        <v>26.036587108760898</v>
      </c>
      <c r="S113" s="1021">
        <f t="shared" si="12"/>
        <v>678.34786337001583</v>
      </c>
      <c r="T113" s="1022">
        <f t="shared" si="13"/>
        <v>7978.7550202266011</v>
      </c>
      <c r="V113" s="1016">
        <f t="shared" si="18"/>
        <v>1</v>
      </c>
      <c r="W113" s="1023">
        <v>0</v>
      </c>
      <c r="X113" s="1024">
        <v>1</v>
      </c>
      <c r="Y113" s="75"/>
      <c r="Z113" s="1025">
        <f t="shared" si="19"/>
        <v>174</v>
      </c>
      <c r="AA113" s="1026">
        <v>0</v>
      </c>
      <c r="AB113" s="1017">
        <f t="shared" si="14"/>
        <v>174</v>
      </c>
      <c r="AD113" s="905" t="str">
        <f t="shared" si="15"/>
        <v>Daytona State College</v>
      </c>
      <c r="AE113" s="1027">
        <v>147</v>
      </c>
      <c r="AF113" s="1027">
        <v>27</v>
      </c>
      <c r="AG113" s="1021">
        <f t="shared" si="16"/>
        <v>174</v>
      </c>
      <c r="AS113" s="26"/>
    </row>
    <row r="114" spans="1:45" ht="25.35" customHeight="1">
      <c r="A114" s="905" t="str">
        <f t="shared" si="7"/>
        <v>Florida SouthWestern State College</v>
      </c>
      <c r="B114" s="575">
        <v>531</v>
      </c>
      <c r="C114" s="1019"/>
      <c r="D114" s="803">
        <f t="shared" si="8"/>
        <v>531</v>
      </c>
      <c r="E114" s="902">
        <v>6246.663270894951</v>
      </c>
      <c r="F114" s="1020">
        <v>316.57735421915504</v>
      </c>
      <c r="G114" s="1021">
        <f t="shared" si="9"/>
        <v>6563.2406251141056</v>
      </c>
      <c r="H114" s="959">
        <v>265.25056947608203</v>
      </c>
      <c r="I114" s="960">
        <v>6.6970387243735763</v>
      </c>
      <c r="J114" s="1021">
        <f t="shared" si="17"/>
        <v>271.94760820045559</v>
      </c>
      <c r="K114" s="585">
        <v>110.59583333333333</v>
      </c>
      <c r="L114" s="576">
        <v>16.404166666666669</v>
      </c>
      <c r="M114" s="1022">
        <f t="shared" si="10"/>
        <v>127</v>
      </c>
      <c r="N114" s="585">
        <v>0</v>
      </c>
      <c r="O114" s="576">
        <v>0</v>
      </c>
      <c r="P114" s="1022">
        <f t="shared" si="11"/>
        <v>0</v>
      </c>
      <c r="Q114" s="585">
        <v>37.010204081632651</v>
      </c>
      <c r="R114" s="1023">
        <v>1.9897959183673468</v>
      </c>
      <c r="S114" s="1021">
        <f t="shared" si="12"/>
        <v>39</v>
      </c>
      <c r="T114" s="1022">
        <f t="shared" si="13"/>
        <v>7532.1882333145613</v>
      </c>
      <c r="V114" s="1016">
        <f t="shared" si="18"/>
        <v>0</v>
      </c>
      <c r="W114" s="1023">
        <v>0</v>
      </c>
      <c r="X114" s="1024">
        <v>0</v>
      </c>
      <c r="Y114" s="75"/>
      <c r="Z114" s="1025">
        <f t="shared" si="19"/>
        <v>0</v>
      </c>
      <c r="AA114" s="1026">
        <v>0</v>
      </c>
      <c r="AB114" s="1017">
        <f t="shared" si="14"/>
        <v>0</v>
      </c>
      <c r="AD114" s="905" t="str">
        <f t="shared" si="15"/>
        <v>Florida SouthWestern State College</v>
      </c>
      <c r="AE114" s="1027">
        <v>0</v>
      </c>
      <c r="AF114" s="1027">
        <v>0</v>
      </c>
      <c r="AG114" s="1021">
        <f t="shared" si="16"/>
        <v>0</v>
      </c>
      <c r="AI114" s="26" t="s">
        <v>119</v>
      </c>
      <c r="AO114" s="441">
        <v>285270</v>
      </c>
      <c r="AR114" s="26"/>
      <c r="AS114" s="26"/>
    </row>
    <row r="115" spans="1:45" ht="25.35" customHeight="1">
      <c r="A115" s="905" t="str">
        <f t="shared" si="7"/>
        <v>Florida State College at Jacksonville</v>
      </c>
      <c r="B115" s="575">
        <v>1557</v>
      </c>
      <c r="C115" s="1019"/>
      <c r="D115" s="803">
        <f t="shared" si="8"/>
        <v>1557</v>
      </c>
      <c r="E115" s="902">
        <v>6978.5329556305305</v>
      </c>
      <c r="F115" s="1020">
        <v>244.79709720542363</v>
      </c>
      <c r="G115" s="1021">
        <f t="shared" si="9"/>
        <v>7223.3300528359541</v>
      </c>
      <c r="H115" s="959">
        <v>3115.5123649380935</v>
      </c>
      <c r="I115" s="960">
        <v>68.539984892771514</v>
      </c>
      <c r="J115" s="1021">
        <f t="shared" si="17"/>
        <v>3184.0523498308648</v>
      </c>
      <c r="K115" s="585">
        <v>593.4707661290322</v>
      </c>
      <c r="L115" s="576">
        <v>37.529233870967744</v>
      </c>
      <c r="M115" s="1022">
        <f t="shared" si="10"/>
        <v>631</v>
      </c>
      <c r="N115" s="585">
        <v>5.3604651162790695</v>
      </c>
      <c r="O115" s="576">
        <v>0.63953488372093026</v>
      </c>
      <c r="P115" s="1022">
        <f t="shared" si="11"/>
        <v>6</v>
      </c>
      <c r="Q115" s="585">
        <v>626.52662164284595</v>
      </c>
      <c r="R115" s="1023">
        <v>30.24611276896497</v>
      </c>
      <c r="S115" s="1021">
        <f t="shared" si="12"/>
        <v>656.77273441181092</v>
      </c>
      <c r="T115" s="1022">
        <f t="shared" si="13"/>
        <v>13258.155137078629</v>
      </c>
      <c r="V115" s="1016">
        <f t="shared" si="18"/>
        <v>4</v>
      </c>
      <c r="W115" s="1023">
        <v>0</v>
      </c>
      <c r="X115" s="1024">
        <v>4</v>
      </c>
      <c r="Y115" s="75"/>
      <c r="Z115" s="1025">
        <f t="shared" si="19"/>
        <v>358.85693515556846</v>
      </c>
      <c r="AA115" s="1026">
        <v>12.143064844431525</v>
      </c>
      <c r="AB115" s="1017">
        <f t="shared" si="14"/>
        <v>371</v>
      </c>
      <c r="AD115" s="905" t="str">
        <f t="shared" si="15"/>
        <v>Florida State College at Jacksonville</v>
      </c>
      <c r="AE115" s="1027">
        <v>360</v>
      </c>
      <c r="AF115" s="1027">
        <v>11</v>
      </c>
      <c r="AG115" s="1021">
        <f t="shared" si="16"/>
        <v>371</v>
      </c>
      <c r="AO115" s="547">
        <f>AO112</f>
        <v>38575.837477508583</v>
      </c>
      <c r="AQ115" s="26"/>
      <c r="AR115" s="26"/>
      <c r="AS115" s="26"/>
    </row>
    <row r="116" spans="1:45" ht="25.35" customHeight="1">
      <c r="A116" s="905" t="str">
        <f t="shared" si="7"/>
        <v>College of the Florida Keys</v>
      </c>
      <c r="B116" s="575">
        <v>65</v>
      </c>
      <c r="C116" s="1019"/>
      <c r="D116" s="803">
        <f t="shared" si="8"/>
        <v>65</v>
      </c>
      <c r="E116" s="902">
        <v>350.46916076845298</v>
      </c>
      <c r="F116" s="1020">
        <v>38.554095045500503</v>
      </c>
      <c r="G116" s="1021">
        <f t="shared" si="9"/>
        <v>389.02325581395348</v>
      </c>
      <c r="H116" s="959">
        <v>207.54407616361073</v>
      </c>
      <c r="I116" s="960">
        <v>35.136459802538788</v>
      </c>
      <c r="J116" s="1021">
        <f t="shared" si="17"/>
        <v>242.68053596614951</v>
      </c>
      <c r="K116" s="585">
        <v>9.4499999999999993</v>
      </c>
      <c r="L116" s="576">
        <v>2.5499999999999998</v>
      </c>
      <c r="M116" s="1022">
        <f t="shared" si="10"/>
        <v>12</v>
      </c>
      <c r="N116" s="585">
        <v>0</v>
      </c>
      <c r="O116" s="576">
        <v>0</v>
      </c>
      <c r="P116" s="1022">
        <f t="shared" si="11"/>
        <v>0</v>
      </c>
      <c r="Q116" s="585">
        <v>42</v>
      </c>
      <c r="R116" s="1023">
        <v>0</v>
      </c>
      <c r="S116" s="1021">
        <f t="shared" si="12"/>
        <v>42</v>
      </c>
      <c r="T116" s="1022">
        <f t="shared" si="13"/>
        <v>750.70379178010296</v>
      </c>
      <c r="V116" s="1016">
        <f t="shared" si="18"/>
        <v>0</v>
      </c>
      <c r="W116" s="1023">
        <v>0</v>
      </c>
      <c r="X116" s="1024">
        <v>0</v>
      </c>
      <c r="Y116" s="75"/>
      <c r="Z116" s="1025">
        <f t="shared" si="19"/>
        <v>0</v>
      </c>
      <c r="AA116" s="1026">
        <v>0</v>
      </c>
      <c r="AB116" s="1017">
        <f t="shared" si="14"/>
        <v>0</v>
      </c>
      <c r="AD116" s="905" t="str">
        <f t="shared" si="15"/>
        <v>College of the Florida Keys</v>
      </c>
      <c r="AE116" s="1027">
        <v>0</v>
      </c>
      <c r="AF116" s="1027">
        <v>0</v>
      </c>
      <c r="AG116" s="1021">
        <f t="shared" si="16"/>
        <v>0</v>
      </c>
      <c r="AI116" s="895" t="s">
        <v>120</v>
      </c>
      <c r="AJ116" s="895"/>
      <c r="AK116" s="895"/>
      <c r="AL116" s="895"/>
      <c r="AM116" s="895"/>
      <c r="AN116" s="895"/>
      <c r="AO116" s="361">
        <f>AO114-AO115</f>
        <v>246694.16252249142</v>
      </c>
    </row>
    <row r="117" spans="1:45" ht="25.35" customHeight="1">
      <c r="A117" s="905" t="str">
        <f t="shared" si="7"/>
        <v>Gulf Coast State College</v>
      </c>
      <c r="B117" s="575">
        <v>117</v>
      </c>
      <c r="C117" s="1019"/>
      <c r="D117" s="803">
        <f t="shared" si="8"/>
        <v>117</v>
      </c>
      <c r="E117" s="902">
        <v>1861.715429118274</v>
      </c>
      <c r="F117" s="1020">
        <v>124.25133759624168</v>
      </c>
      <c r="G117" s="1021">
        <f t="shared" si="9"/>
        <v>1985.9667667145156</v>
      </c>
      <c r="H117" s="959">
        <v>507.69817767653751</v>
      </c>
      <c r="I117" s="960">
        <v>33.260820045558091</v>
      </c>
      <c r="J117" s="1021">
        <f t="shared" si="17"/>
        <v>540.95899772209555</v>
      </c>
      <c r="K117" s="585">
        <v>31.675126903553299</v>
      </c>
      <c r="L117" s="576">
        <v>7.3248730964467006</v>
      </c>
      <c r="M117" s="1022">
        <f t="shared" si="10"/>
        <v>39</v>
      </c>
      <c r="N117" s="585">
        <v>0</v>
      </c>
      <c r="O117" s="576">
        <v>0</v>
      </c>
      <c r="P117" s="1022">
        <f t="shared" si="11"/>
        <v>0</v>
      </c>
      <c r="Q117" s="585">
        <v>159.68537939543492</v>
      </c>
      <c r="R117" s="1023">
        <v>7.314620604565083</v>
      </c>
      <c r="S117" s="1021">
        <f t="shared" si="12"/>
        <v>167</v>
      </c>
      <c r="T117" s="1022">
        <f t="shared" si="13"/>
        <v>2849.9257644366116</v>
      </c>
      <c r="V117" s="1016">
        <f t="shared" si="18"/>
        <v>0</v>
      </c>
      <c r="W117" s="1023">
        <v>0</v>
      </c>
      <c r="X117" s="1024">
        <v>0</v>
      </c>
      <c r="Y117" s="75"/>
      <c r="Z117" s="1025">
        <f t="shared" si="19"/>
        <v>0</v>
      </c>
      <c r="AA117" s="1026">
        <v>0</v>
      </c>
      <c r="AB117" s="1017">
        <f t="shared" si="14"/>
        <v>0</v>
      </c>
      <c r="AD117" s="905" t="str">
        <f t="shared" si="15"/>
        <v>Gulf Coast State College</v>
      </c>
      <c r="AE117" s="1027">
        <v>0</v>
      </c>
      <c r="AF117" s="1027">
        <v>0</v>
      </c>
      <c r="AG117" s="1021">
        <f t="shared" si="16"/>
        <v>0</v>
      </c>
    </row>
    <row r="118" spans="1:45" ht="25.35" customHeight="1">
      <c r="A118" s="905" t="str">
        <f t="shared" si="7"/>
        <v>Hillsborough Community College</v>
      </c>
      <c r="B118" s="575">
        <v>80</v>
      </c>
      <c r="C118" s="1019"/>
      <c r="D118" s="803">
        <f t="shared" si="8"/>
        <v>80</v>
      </c>
      <c r="E118" s="902">
        <v>8639.7149535510944</v>
      </c>
      <c r="F118" s="1020">
        <v>533.80634444967677</v>
      </c>
      <c r="G118" s="1021">
        <f t="shared" si="9"/>
        <v>9173.5212980007709</v>
      </c>
      <c r="H118" s="959">
        <v>4542.0368683668621</v>
      </c>
      <c r="I118" s="960">
        <v>252.86729763979093</v>
      </c>
      <c r="J118" s="1021">
        <f t="shared" si="17"/>
        <v>4794.9041660066532</v>
      </c>
      <c r="K118" s="585">
        <v>664.37132216014902</v>
      </c>
      <c r="L118" s="576">
        <v>106.62867783985102</v>
      </c>
      <c r="M118" s="1022">
        <f t="shared" si="10"/>
        <v>771</v>
      </c>
      <c r="N118" s="585">
        <v>16</v>
      </c>
      <c r="O118" s="576">
        <v>0</v>
      </c>
      <c r="P118" s="1022">
        <f t="shared" si="11"/>
        <v>16</v>
      </c>
      <c r="Q118" s="585">
        <v>283.39088397790056</v>
      </c>
      <c r="R118" s="1023">
        <v>6.6091160220994469</v>
      </c>
      <c r="S118" s="1021">
        <f t="shared" si="12"/>
        <v>290</v>
      </c>
      <c r="T118" s="1022">
        <f t="shared" si="13"/>
        <v>15125.425464007425</v>
      </c>
      <c r="V118" s="1016">
        <f t="shared" si="18"/>
        <v>0</v>
      </c>
      <c r="W118" s="1023">
        <v>0</v>
      </c>
      <c r="X118" s="1024">
        <v>0</v>
      </c>
      <c r="Y118" s="75"/>
      <c r="Z118" s="1025">
        <f t="shared" si="19"/>
        <v>0</v>
      </c>
      <c r="AA118" s="1026">
        <v>0</v>
      </c>
      <c r="AB118" s="1017">
        <f t="shared" si="14"/>
        <v>0</v>
      </c>
      <c r="AD118" s="905" t="str">
        <f t="shared" si="15"/>
        <v>Hillsborough Community College</v>
      </c>
      <c r="AE118" s="1027">
        <v>0</v>
      </c>
      <c r="AF118" s="1027">
        <v>0</v>
      </c>
      <c r="AG118" s="1021">
        <f t="shared" si="16"/>
        <v>0</v>
      </c>
      <c r="AI118" s="895" t="s">
        <v>121</v>
      </c>
      <c r="AJ118" s="895"/>
      <c r="AK118" s="895"/>
      <c r="AL118" s="895"/>
      <c r="AM118" s="895"/>
      <c r="AN118" s="895"/>
      <c r="AO118" s="362">
        <f>AO112+AO116</f>
        <v>285270</v>
      </c>
    </row>
    <row r="119" spans="1:45" ht="25.35" customHeight="1">
      <c r="A119" s="905" t="str">
        <f t="shared" si="7"/>
        <v>Indian River State College</v>
      </c>
      <c r="B119" s="575">
        <v>1215</v>
      </c>
      <c r="C119" s="1019"/>
      <c r="D119" s="803">
        <f t="shared" si="8"/>
        <v>1215</v>
      </c>
      <c r="E119" s="902">
        <v>4660.3299105664128</v>
      </c>
      <c r="F119" s="1020">
        <v>157.9372744547689</v>
      </c>
      <c r="G119" s="1021">
        <f t="shared" si="9"/>
        <v>4818.2671850211818</v>
      </c>
      <c r="H119" s="959">
        <v>2124.51858988395</v>
      </c>
      <c r="I119" s="960">
        <v>47.263586599518284</v>
      </c>
      <c r="J119" s="1021">
        <f t="shared" si="17"/>
        <v>2171.7821764834684</v>
      </c>
      <c r="K119" s="585">
        <v>43.864285714285714</v>
      </c>
      <c r="L119" s="576">
        <v>2.1357142857142857</v>
      </c>
      <c r="M119" s="1022">
        <f t="shared" si="10"/>
        <v>46</v>
      </c>
      <c r="N119" s="585">
        <v>1</v>
      </c>
      <c r="O119" s="576">
        <v>0</v>
      </c>
      <c r="P119" s="1022">
        <f t="shared" si="11"/>
        <v>1</v>
      </c>
      <c r="Q119" s="585">
        <v>589.13895216400908</v>
      </c>
      <c r="R119" s="1023">
        <v>18.14123006833713</v>
      </c>
      <c r="S119" s="1021">
        <f t="shared" si="12"/>
        <v>607.28018223234619</v>
      </c>
      <c r="T119" s="1022">
        <f t="shared" si="13"/>
        <v>8859.3295437369961</v>
      </c>
      <c r="V119" s="1016">
        <f t="shared" si="18"/>
        <v>0</v>
      </c>
      <c r="W119" s="1023">
        <v>0</v>
      </c>
      <c r="X119" s="1024">
        <v>0</v>
      </c>
      <c r="Y119" s="75"/>
      <c r="Z119" s="1025">
        <f t="shared" si="19"/>
        <v>568</v>
      </c>
      <c r="AA119" s="1026">
        <v>0</v>
      </c>
      <c r="AB119" s="1017">
        <f t="shared" si="14"/>
        <v>568</v>
      </c>
      <c r="AD119" s="905" t="str">
        <f t="shared" si="15"/>
        <v>Indian River State College</v>
      </c>
      <c r="AE119" s="1027">
        <v>554</v>
      </c>
      <c r="AF119" s="1027">
        <v>14</v>
      </c>
      <c r="AG119" s="1021">
        <f t="shared" si="16"/>
        <v>568</v>
      </c>
    </row>
    <row r="120" spans="1:45" ht="25.35" customHeight="1">
      <c r="A120" s="905" t="str">
        <f t="shared" si="7"/>
        <v>Florida Gateway College</v>
      </c>
      <c r="B120" s="575">
        <v>117</v>
      </c>
      <c r="C120" s="1019"/>
      <c r="D120" s="803">
        <f t="shared" si="8"/>
        <v>117</v>
      </c>
      <c r="E120" s="902">
        <v>915.82362999755719</v>
      </c>
      <c r="F120" s="1020">
        <v>18.145102190375379</v>
      </c>
      <c r="G120" s="1021">
        <f t="shared" si="9"/>
        <v>933.96873218793257</v>
      </c>
      <c r="H120" s="959">
        <v>364.09095831077423</v>
      </c>
      <c r="I120" s="960">
        <v>6.6854358419057931</v>
      </c>
      <c r="J120" s="1021">
        <f t="shared" si="17"/>
        <v>370.77639415268004</v>
      </c>
      <c r="K120" s="585">
        <v>36.901734104046241</v>
      </c>
      <c r="L120" s="576">
        <v>1.0982658959537572</v>
      </c>
      <c r="M120" s="1022">
        <f t="shared" si="10"/>
        <v>38</v>
      </c>
      <c r="N120" s="585">
        <v>3</v>
      </c>
      <c r="O120" s="576">
        <v>0</v>
      </c>
      <c r="P120" s="1022">
        <f t="shared" si="11"/>
        <v>3</v>
      </c>
      <c r="Q120" s="585">
        <v>291.98661500528351</v>
      </c>
      <c r="R120" s="1023">
        <v>1.8703768932722791</v>
      </c>
      <c r="S120" s="1021">
        <f t="shared" si="12"/>
        <v>293.8569918985558</v>
      </c>
      <c r="T120" s="1022">
        <f t="shared" si="13"/>
        <v>1756.6021182391685</v>
      </c>
      <c r="V120" s="1016">
        <f t="shared" si="18"/>
        <v>0</v>
      </c>
      <c r="W120" s="1023">
        <v>0</v>
      </c>
      <c r="X120" s="1024">
        <v>0</v>
      </c>
      <c r="Y120" s="75"/>
      <c r="Z120" s="1025">
        <f t="shared" si="19"/>
        <v>2</v>
      </c>
      <c r="AA120" s="1026">
        <v>0</v>
      </c>
      <c r="AB120" s="1017">
        <f t="shared" si="14"/>
        <v>2</v>
      </c>
      <c r="AD120" s="905" t="str">
        <f t="shared" si="15"/>
        <v>Florida Gateway College</v>
      </c>
      <c r="AE120" s="1027">
        <v>1</v>
      </c>
      <c r="AF120" s="1027">
        <v>1</v>
      </c>
      <c r="AG120" s="1021">
        <f t="shared" si="16"/>
        <v>2</v>
      </c>
    </row>
    <row r="121" spans="1:45" ht="25.35" customHeight="1">
      <c r="A121" s="905" t="str">
        <f t="shared" si="7"/>
        <v>Lake-Sumter State College</v>
      </c>
      <c r="B121" s="575">
        <v>150</v>
      </c>
      <c r="C121" s="1019"/>
      <c r="D121" s="803">
        <f t="shared" si="8"/>
        <v>150</v>
      </c>
      <c r="E121" s="902">
        <v>1830.1096644350432</v>
      </c>
      <c r="F121" s="1020">
        <v>37.919743705590008</v>
      </c>
      <c r="G121" s="1021">
        <f t="shared" si="9"/>
        <v>1868.0294081406332</v>
      </c>
      <c r="H121" s="959">
        <v>499.36773102135754</v>
      </c>
      <c r="I121" s="960">
        <v>7.5935715796151406</v>
      </c>
      <c r="J121" s="1021">
        <f t="shared" si="17"/>
        <v>506.96130260097266</v>
      </c>
      <c r="K121" s="585">
        <v>69.432989690721655</v>
      </c>
      <c r="L121" s="576">
        <v>5.5670103092783503</v>
      </c>
      <c r="M121" s="1022">
        <f t="shared" si="10"/>
        <v>75</v>
      </c>
      <c r="N121" s="585">
        <v>0</v>
      </c>
      <c r="O121" s="576">
        <v>0</v>
      </c>
      <c r="P121" s="1022">
        <f t="shared" si="11"/>
        <v>0</v>
      </c>
      <c r="Q121" s="585">
        <v>0</v>
      </c>
      <c r="R121" s="1023">
        <v>0</v>
      </c>
      <c r="S121" s="1021">
        <f t="shared" si="12"/>
        <v>0</v>
      </c>
      <c r="T121" s="1022">
        <f t="shared" si="13"/>
        <v>2599.9907107416057</v>
      </c>
      <c r="V121" s="1016">
        <f t="shared" si="18"/>
        <v>0</v>
      </c>
      <c r="W121" s="1023">
        <v>0</v>
      </c>
      <c r="X121" s="1024">
        <v>0</v>
      </c>
      <c r="Y121" s="75"/>
      <c r="Z121" s="1025">
        <f t="shared" si="19"/>
        <v>0</v>
      </c>
      <c r="AA121" s="1026">
        <v>0</v>
      </c>
      <c r="AB121" s="1017">
        <f t="shared" si="14"/>
        <v>0</v>
      </c>
      <c r="AD121" s="905" t="str">
        <f t="shared" si="15"/>
        <v>Lake-Sumter State College</v>
      </c>
      <c r="AE121" s="1027">
        <v>0</v>
      </c>
      <c r="AF121" s="1027">
        <v>0</v>
      </c>
      <c r="AG121" s="1021">
        <f t="shared" si="16"/>
        <v>0</v>
      </c>
    </row>
    <row r="122" spans="1:45" ht="25.35" customHeight="1">
      <c r="A122" s="905" t="str">
        <f t="shared" si="7"/>
        <v>State College of Florida, Manatee-Sarasota</v>
      </c>
      <c r="B122" s="575">
        <v>466</v>
      </c>
      <c r="C122" s="1019"/>
      <c r="D122" s="803">
        <f t="shared" si="8"/>
        <v>466</v>
      </c>
      <c r="E122" s="902">
        <v>3934.7164576870982</v>
      </c>
      <c r="F122" s="1020">
        <v>212.71462274454976</v>
      </c>
      <c r="G122" s="1021">
        <f t="shared" si="9"/>
        <v>4147.4310804316483</v>
      </c>
      <c r="H122" s="959">
        <v>622.55562848703642</v>
      </c>
      <c r="I122" s="960">
        <v>30.371184771906794</v>
      </c>
      <c r="J122" s="1021">
        <f t="shared" si="17"/>
        <v>652.92681325894318</v>
      </c>
      <c r="K122" s="585">
        <v>118.04559848005067</v>
      </c>
      <c r="L122" s="576">
        <v>15.954401519949336</v>
      </c>
      <c r="M122" s="1022">
        <f t="shared" si="10"/>
        <v>134</v>
      </c>
      <c r="N122" s="585">
        <v>0</v>
      </c>
      <c r="O122" s="576">
        <v>0</v>
      </c>
      <c r="P122" s="1022">
        <f t="shared" si="11"/>
        <v>0</v>
      </c>
      <c r="Q122" s="585">
        <v>0</v>
      </c>
      <c r="R122" s="1023">
        <v>0</v>
      </c>
      <c r="S122" s="1021">
        <f t="shared" si="12"/>
        <v>0</v>
      </c>
      <c r="T122" s="1022">
        <f t="shared" si="13"/>
        <v>5400.3578936905915</v>
      </c>
      <c r="V122" s="1016">
        <f t="shared" si="18"/>
        <v>0</v>
      </c>
      <c r="W122" s="1023">
        <v>0</v>
      </c>
      <c r="X122" s="1024">
        <v>0</v>
      </c>
      <c r="Y122" s="75"/>
      <c r="Z122" s="1025">
        <f t="shared" si="19"/>
        <v>0</v>
      </c>
      <c r="AA122" s="1026">
        <v>0</v>
      </c>
      <c r="AB122" s="1017">
        <f t="shared" si="14"/>
        <v>0</v>
      </c>
      <c r="AD122" s="905" t="str">
        <f t="shared" si="15"/>
        <v>State College of Florida, Manatee-Sarasota</v>
      </c>
      <c r="AE122" s="1027">
        <v>0</v>
      </c>
      <c r="AF122" s="1027">
        <v>0</v>
      </c>
      <c r="AG122" s="1021">
        <f t="shared" si="16"/>
        <v>0</v>
      </c>
    </row>
    <row r="123" spans="1:45" ht="25.35" customHeight="1">
      <c r="A123" s="905" t="str">
        <f t="shared" si="7"/>
        <v>Miami Dade College</v>
      </c>
      <c r="B123" s="575">
        <v>2438</v>
      </c>
      <c r="C123" s="1019"/>
      <c r="D123" s="803">
        <f t="shared" si="8"/>
        <v>2438</v>
      </c>
      <c r="E123" s="902">
        <v>28519.305599670413</v>
      </c>
      <c r="F123" s="1020">
        <v>1484.6336724455282</v>
      </c>
      <c r="G123" s="1021">
        <f t="shared" si="9"/>
        <v>30003.939272115942</v>
      </c>
      <c r="H123" s="959">
        <v>4245.8402679830742</v>
      </c>
      <c r="I123" s="960">
        <v>202.42729196050777</v>
      </c>
      <c r="J123" s="1021">
        <f t="shared" si="17"/>
        <v>4448.2675599435825</v>
      </c>
      <c r="K123" s="585">
        <v>1180.5966860414678</v>
      </c>
      <c r="L123" s="576">
        <v>106.40331395853212</v>
      </c>
      <c r="M123" s="1022">
        <f t="shared" si="10"/>
        <v>1287</v>
      </c>
      <c r="N123" s="585">
        <v>7.7931034482758621</v>
      </c>
      <c r="O123" s="576">
        <v>0.20689655172413796</v>
      </c>
      <c r="P123" s="1022">
        <f t="shared" si="11"/>
        <v>8</v>
      </c>
      <c r="Q123" s="585">
        <v>973.35855717574827</v>
      </c>
      <c r="R123" s="1023">
        <v>47.641442824251719</v>
      </c>
      <c r="S123" s="1021">
        <f t="shared" si="12"/>
        <v>1021</v>
      </c>
      <c r="T123" s="1022">
        <f t="shared" si="13"/>
        <v>39206.206832059528</v>
      </c>
      <c r="V123" s="1016">
        <f t="shared" si="18"/>
        <v>0.65625</v>
      </c>
      <c r="W123" s="1023">
        <v>2.34375</v>
      </c>
      <c r="X123" s="1024">
        <v>3</v>
      </c>
      <c r="Y123" s="75"/>
      <c r="Z123" s="1025">
        <f t="shared" si="19"/>
        <v>11.950877494838096</v>
      </c>
      <c r="AA123" s="1026">
        <v>1459.0491225051619</v>
      </c>
      <c r="AB123" s="1017">
        <f t="shared" si="14"/>
        <v>1471</v>
      </c>
      <c r="AD123" s="905" t="str">
        <f t="shared" si="15"/>
        <v>Miami Dade College</v>
      </c>
      <c r="AE123" s="1027">
        <v>1467</v>
      </c>
      <c r="AF123" s="1027">
        <v>4</v>
      </c>
      <c r="AG123" s="1021">
        <f t="shared" si="16"/>
        <v>1471</v>
      </c>
    </row>
    <row r="124" spans="1:45" ht="25.35" customHeight="1">
      <c r="A124" s="905" t="str">
        <f t="shared" si="7"/>
        <v>North Florida College</v>
      </c>
      <c r="B124" s="575">
        <v>30</v>
      </c>
      <c r="C124" s="1019"/>
      <c r="D124" s="803">
        <f t="shared" si="8"/>
        <v>30</v>
      </c>
      <c r="E124" s="902">
        <v>425.69584283459039</v>
      </c>
      <c r="F124" s="1020">
        <v>17.30187686370812</v>
      </c>
      <c r="G124" s="1021">
        <f t="shared" si="9"/>
        <v>442.99771969829851</v>
      </c>
      <c r="H124" s="959">
        <v>85.788276465441825</v>
      </c>
      <c r="I124" s="960">
        <v>11.624671916010501</v>
      </c>
      <c r="J124" s="1021">
        <f t="shared" si="17"/>
        <v>97.412948381452324</v>
      </c>
      <c r="K124" s="585">
        <v>9.7468354430379751</v>
      </c>
      <c r="L124" s="576">
        <v>1.2531645569620253</v>
      </c>
      <c r="M124" s="1022">
        <f t="shared" si="10"/>
        <v>11</v>
      </c>
      <c r="N124" s="585">
        <v>0</v>
      </c>
      <c r="O124" s="576">
        <v>0</v>
      </c>
      <c r="P124" s="1022">
        <f t="shared" si="11"/>
        <v>0</v>
      </c>
      <c r="Q124" s="585">
        <v>43.551587301587304</v>
      </c>
      <c r="R124" s="1023">
        <v>3.9682539682539679</v>
      </c>
      <c r="S124" s="1021">
        <f t="shared" si="12"/>
        <v>47.519841269841272</v>
      </c>
      <c r="T124" s="1022">
        <f t="shared" si="13"/>
        <v>628.93050934959217</v>
      </c>
      <c r="V124" s="1016">
        <f t="shared" si="18"/>
        <v>0</v>
      </c>
      <c r="W124" s="1023">
        <v>0</v>
      </c>
      <c r="X124" s="1024">
        <v>0</v>
      </c>
      <c r="Y124" s="75"/>
      <c r="Z124" s="1025">
        <f t="shared" si="19"/>
        <v>0</v>
      </c>
      <c r="AA124" s="1026">
        <v>0</v>
      </c>
      <c r="AB124" s="1017">
        <f t="shared" si="14"/>
        <v>0</v>
      </c>
      <c r="AD124" s="905" t="str">
        <f t="shared" si="15"/>
        <v>North Florida College</v>
      </c>
      <c r="AE124" s="1027">
        <v>0</v>
      </c>
      <c r="AF124" s="1027">
        <v>0</v>
      </c>
      <c r="AG124" s="1021">
        <f t="shared" si="16"/>
        <v>0</v>
      </c>
    </row>
    <row r="125" spans="1:45" ht="25.35" customHeight="1">
      <c r="A125" s="905" t="str">
        <f t="shared" si="7"/>
        <v>Northwest Florida State College</v>
      </c>
      <c r="B125" s="575">
        <v>246</v>
      </c>
      <c r="C125" s="1019"/>
      <c r="D125" s="803">
        <f t="shared" si="8"/>
        <v>246</v>
      </c>
      <c r="E125" s="902">
        <v>1490.3653406706153</v>
      </c>
      <c r="F125" s="1020">
        <v>143.48169565825674</v>
      </c>
      <c r="G125" s="1021">
        <f t="shared" si="9"/>
        <v>1633.847036328872</v>
      </c>
      <c r="H125" s="959">
        <v>526.6685103244838</v>
      </c>
      <c r="I125" s="960">
        <v>43.436578171091448</v>
      </c>
      <c r="J125" s="1021">
        <f t="shared" si="17"/>
        <v>570.10508849557527</v>
      </c>
      <c r="K125" s="585">
        <v>50.735812133072407</v>
      </c>
      <c r="L125" s="576">
        <v>7.2641878669275926</v>
      </c>
      <c r="M125" s="1022">
        <f t="shared" si="10"/>
        <v>58</v>
      </c>
      <c r="N125" s="585">
        <v>0</v>
      </c>
      <c r="O125" s="576">
        <v>0</v>
      </c>
      <c r="P125" s="1022">
        <f t="shared" si="11"/>
        <v>0</v>
      </c>
      <c r="Q125" s="585">
        <v>227.1479069767442</v>
      </c>
      <c r="R125" s="1023">
        <v>4.1181395348837206</v>
      </c>
      <c r="S125" s="1021">
        <f t="shared" si="12"/>
        <v>231.26604651162791</v>
      </c>
      <c r="T125" s="1022">
        <f t="shared" si="13"/>
        <v>2739.2181713360751</v>
      </c>
      <c r="V125" s="1016">
        <f t="shared" si="18"/>
        <v>0</v>
      </c>
      <c r="W125" s="1023">
        <v>0</v>
      </c>
      <c r="X125" s="1024">
        <v>0</v>
      </c>
      <c r="Y125" s="75"/>
      <c r="Z125" s="1025">
        <f t="shared" si="19"/>
        <v>0</v>
      </c>
      <c r="AA125" s="1026">
        <v>0</v>
      </c>
      <c r="AB125" s="1017">
        <f t="shared" si="14"/>
        <v>0</v>
      </c>
      <c r="AD125" s="905" t="str">
        <f t="shared" si="15"/>
        <v>Northwest Florida State College</v>
      </c>
      <c r="AE125" s="1027">
        <v>0</v>
      </c>
      <c r="AF125" s="1027">
        <v>0</v>
      </c>
      <c r="AG125" s="1021">
        <f t="shared" si="16"/>
        <v>0</v>
      </c>
    </row>
    <row r="126" spans="1:45" ht="25.35" customHeight="1">
      <c r="A126" s="905" t="str">
        <f t="shared" si="7"/>
        <v>Palm Beach State College</v>
      </c>
      <c r="B126" s="575">
        <v>789</v>
      </c>
      <c r="C126" s="1019"/>
      <c r="D126" s="803">
        <f t="shared" si="8"/>
        <v>789</v>
      </c>
      <c r="E126" s="902">
        <v>11127.499699106949</v>
      </c>
      <c r="F126" s="1020">
        <v>542.61688692037967</v>
      </c>
      <c r="G126" s="1021">
        <f t="shared" si="9"/>
        <v>11670.116586027329</v>
      </c>
      <c r="H126" s="959">
        <v>1386.531490015361</v>
      </c>
      <c r="I126" s="960">
        <v>36.663594470046085</v>
      </c>
      <c r="J126" s="1021">
        <f t="shared" si="17"/>
        <v>1423.1950844854071</v>
      </c>
      <c r="K126" s="585">
        <v>331.58231447256185</v>
      </c>
      <c r="L126" s="576">
        <v>33.417685527438152</v>
      </c>
      <c r="M126" s="1022">
        <f t="shared" si="10"/>
        <v>365</v>
      </c>
      <c r="N126" s="585">
        <v>13</v>
      </c>
      <c r="O126" s="576">
        <v>0</v>
      </c>
      <c r="P126" s="1022">
        <f t="shared" si="11"/>
        <v>13</v>
      </c>
      <c r="Q126" s="585">
        <v>703.31690391459074</v>
      </c>
      <c r="R126" s="1023">
        <v>19.683096085409254</v>
      </c>
      <c r="S126" s="1021">
        <f t="shared" si="12"/>
        <v>723</v>
      </c>
      <c r="T126" s="1022">
        <f t="shared" si="13"/>
        <v>14983.311670512736</v>
      </c>
      <c r="V126" s="1016">
        <f t="shared" si="18"/>
        <v>0</v>
      </c>
      <c r="W126" s="1023">
        <v>0</v>
      </c>
      <c r="X126" s="1024">
        <v>0</v>
      </c>
      <c r="Y126" s="75"/>
      <c r="Z126" s="1025">
        <f t="shared" si="19"/>
        <v>0</v>
      </c>
      <c r="AA126" s="1026">
        <v>0</v>
      </c>
      <c r="AB126" s="1017">
        <f t="shared" si="14"/>
        <v>0</v>
      </c>
      <c r="AD126" s="905" t="str">
        <f t="shared" si="15"/>
        <v>Palm Beach State College</v>
      </c>
      <c r="AE126" s="1027">
        <v>0</v>
      </c>
      <c r="AF126" s="1027">
        <v>0</v>
      </c>
      <c r="AG126" s="1021">
        <f t="shared" si="16"/>
        <v>0</v>
      </c>
    </row>
    <row r="127" spans="1:45" ht="25.35" customHeight="1">
      <c r="A127" s="905" t="str">
        <f t="shared" si="7"/>
        <v>Pasco-Hernando State College</v>
      </c>
      <c r="B127" s="575">
        <v>327</v>
      </c>
      <c r="C127" s="1019"/>
      <c r="D127" s="803">
        <f t="shared" si="8"/>
        <v>327</v>
      </c>
      <c r="E127" s="902">
        <v>2912.2009412671323</v>
      </c>
      <c r="F127" s="1020">
        <v>21.2593163428194</v>
      </c>
      <c r="G127" s="1021">
        <f t="shared" si="9"/>
        <v>2933.4602576099519</v>
      </c>
      <c r="H127" s="959">
        <v>1538.983320785313</v>
      </c>
      <c r="I127" s="960">
        <v>9.470666589448081</v>
      </c>
      <c r="J127" s="1021">
        <f t="shared" si="17"/>
        <v>1548.453987374761</v>
      </c>
      <c r="K127" s="585">
        <v>120.73129251700681</v>
      </c>
      <c r="L127" s="576">
        <v>3.2687074829931975</v>
      </c>
      <c r="M127" s="1022">
        <f t="shared" si="10"/>
        <v>124</v>
      </c>
      <c r="N127" s="585">
        <v>10</v>
      </c>
      <c r="O127" s="576">
        <v>0</v>
      </c>
      <c r="P127" s="1022">
        <f t="shared" si="11"/>
        <v>10</v>
      </c>
      <c r="Q127" s="585">
        <v>211.63776668179756</v>
      </c>
      <c r="R127" s="1023">
        <v>4.7190195188379471</v>
      </c>
      <c r="S127" s="1021">
        <f t="shared" si="12"/>
        <v>216.3567862006355</v>
      </c>
      <c r="T127" s="1022">
        <f t="shared" si="13"/>
        <v>5159.2710311853489</v>
      </c>
      <c r="V127" s="1016">
        <f t="shared" si="18"/>
        <v>0</v>
      </c>
      <c r="W127" s="1023">
        <v>0</v>
      </c>
      <c r="X127" s="1024">
        <v>0</v>
      </c>
      <c r="Y127" s="75"/>
      <c r="Z127" s="1025">
        <f t="shared" si="19"/>
        <v>0</v>
      </c>
      <c r="AA127" s="1026">
        <v>0</v>
      </c>
      <c r="AB127" s="1017">
        <f t="shared" si="14"/>
        <v>0</v>
      </c>
      <c r="AD127" s="905" t="str">
        <f t="shared" si="15"/>
        <v>Pasco-Hernando State College</v>
      </c>
      <c r="AE127" s="1027">
        <v>0</v>
      </c>
      <c r="AF127" s="1027">
        <v>0</v>
      </c>
      <c r="AG127" s="1021">
        <f t="shared" si="16"/>
        <v>0</v>
      </c>
    </row>
    <row r="128" spans="1:45" ht="25.35" customHeight="1">
      <c r="A128" s="905" t="str">
        <f t="shared" si="7"/>
        <v>Pensacola State College</v>
      </c>
      <c r="B128" s="575">
        <v>353</v>
      </c>
      <c r="C128" s="1019"/>
      <c r="D128" s="803">
        <f t="shared" si="8"/>
        <v>353</v>
      </c>
      <c r="E128" s="902">
        <v>3119.6488266081378</v>
      </c>
      <c r="F128" s="1020">
        <v>134.73712645618775</v>
      </c>
      <c r="G128" s="1021">
        <f t="shared" si="9"/>
        <v>3254.3859530643258</v>
      </c>
      <c r="H128" s="959">
        <v>1128.286918177364</v>
      </c>
      <c r="I128" s="960">
        <v>30.345124938755507</v>
      </c>
      <c r="J128" s="1021">
        <f t="shared" si="17"/>
        <v>1158.6320431161196</v>
      </c>
      <c r="K128" s="585">
        <v>164.8031496062992</v>
      </c>
      <c r="L128" s="576">
        <v>19.196850393700785</v>
      </c>
      <c r="M128" s="1022">
        <f t="shared" si="10"/>
        <v>184</v>
      </c>
      <c r="N128" s="585">
        <v>0</v>
      </c>
      <c r="O128" s="576">
        <v>0</v>
      </c>
      <c r="P128" s="1022">
        <f t="shared" si="11"/>
        <v>0</v>
      </c>
      <c r="Q128" s="585">
        <v>322.05436156763591</v>
      </c>
      <c r="R128" s="1023">
        <v>8.630214917825537</v>
      </c>
      <c r="S128" s="1021">
        <f t="shared" si="12"/>
        <v>330.68457648546143</v>
      </c>
      <c r="T128" s="1022">
        <f t="shared" si="13"/>
        <v>5280.7025726659067</v>
      </c>
      <c r="V128" s="1016">
        <f t="shared" si="18"/>
        <v>0</v>
      </c>
      <c r="W128" s="1023">
        <v>0</v>
      </c>
      <c r="X128" s="1024">
        <v>0</v>
      </c>
      <c r="Y128" s="75"/>
      <c r="Z128" s="1025">
        <f t="shared" si="19"/>
        <v>0</v>
      </c>
      <c r="AA128" s="1026">
        <v>0</v>
      </c>
      <c r="AB128" s="1017">
        <f t="shared" si="14"/>
        <v>0</v>
      </c>
      <c r="AD128" s="905" t="str">
        <f t="shared" si="15"/>
        <v>Pensacola State College</v>
      </c>
      <c r="AE128" s="1027">
        <v>0</v>
      </c>
      <c r="AF128" s="1027">
        <v>0</v>
      </c>
      <c r="AG128" s="1021">
        <f t="shared" si="16"/>
        <v>0</v>
      </c>
    </row>
    <row r="129" spans="1:44" ht="25.35" customHeight="1">
      <c r="A129" s="905" t="str">
        <f t="shared" si="7"/>
        <v>Polk State College</v>
      </c>
      <c r="B129" s="575">
        <v>650</v>
      </c>
      <c r="C129" s="1019"/>
      <c r="D129" s="803">
        <f t="shared" si="8"/>
        <v>650</v>
      </c>
      <c r="E129" s="902">
        <v>2439.848461767725</v>
      </c>
      <c r="F129" s="1020">
        <v>81.772626419843036</v>
      </c>
      <c r="G129" s="1021">
        <f t="shared" si="9"/>
        <v>2521.6210881875681</v>
      </c>
      <c r="H129" s="959">
        <v>1221.8153354632586</v>
      </c>
      <c r="I129" s="960">
        <v>27.664137380191693</v>
      </c>
      <c r="J129" s="1021">
        <f t="shared" si="17"/>
        <v>1249.4794728434504</v>
      </c>
      <c r="K129" s="585">
        <v>84.755403868031848</v>
      </c>
      <c r="L129" s="576">
        <v>15.244596131968146</v>
      </c>
      <c r="M129" s="1022">
        <f t="shared" si="10"/>
        <v>100</v>
      </c>
      <c r="N129" s="585">
        <v>16</v>
      </c>
      <c r="O129" s="576">
        <v>0</v>
      </c>
      <c r="P129" s="1022">
        <f t="shared" si="11"/>
        <v>16</v>
      </c>
      <c r="Q129" s="585">
        <v>127.87238285144566</v>
      </c>
      <c r="R129" s="1023">
        <v>0.12761714855433701</v>
      </c>
      <c r="S129" s="1021">
        <f t="shared" si="12"/>
        <v>128</v>
      </c>
      <c r="T129" s="1022">
        <f t="shared" si="13"/>
        <v>4665.1005610310185</v>
      </c>
      <c r="V129" s="1016">
        <f t="shared" si="18"/>
        <v>0</v>
      </c>
      <c r="W129" s="1023">
        <v>0</v>
      </c>
      <c r="X129" s="1024">
        <v>0</v>
      </c>
      <c r="Y129" s="75"/>
      <c r="Z129" s="1025">
        <f t="shared" si="19"/>
        <v>0</v>
      </c>
      <c r="AA129" s="1026">
        <v>0</v>
      </c>
      <c r="AB129" s="1017">
        <f t="shared" si="14"/>
        <v>0</v>
      </c>
      <c r="AD129" s="905" t="str">
        <f t="shared" si="15"/>
        <v>Polk State College</v>
      </c>
      <c r="AE129" s="1027">
        <v>0</v>
      </c>
      <c r="AF129" s="1027">
        <v>0</v>
      </c>
      <c r="AG129" s="1021">
        <f t="shared" si="16"/>
        <v>0</v>
      </c>
    </row>
    <row r="130" spans="1:44" ht="25.35" customHeight="1">
      <c r="A130" s="905" t="str">
        <f t="shared" si="7"/>
        <v>St. Johns River State College</v>
      </c>
      <c r="B130" s="575">
        <v>201</v>
      </c>
      <c r="C130" s="1019"/>
      <c r="D130" s="803">
        <f t="shared" si="8"/>
        <v>201</v>
      </c>
      <c r="E130" s="902">
        <v>1972.8061068702291</v>
      </c>
      <c r="F130" s="1020">
        <v>59.65190839694656</v>
      </c>
      <c r="G130" s="1021">
        <f t="shared" si="9"/>
        <v>2032.4580152671756</v>
      </c>
      <c r="H130" s="959">
        <v>630.75982651124968</v>
      </c>
      <c r="I130" s="960">
        <v>10.347248576850097</v>
      </c>
      <c r="J130" s="1021">
        <f t="shared" si="17"/>
        <v>641.1070750880998</v>
      </c>
      <c r="K130" s="585">
        <v>36.075000000000003</v>
      </c>
      <c r="L130" s="576">
        <v>0.92500000000000004</v>
      </c>
      <c r="M130" s="1022">
        <f t="shared" si="10"/>
        <v>37</v>
      </c>
      <c r="N130" s="585">
        <v>10.990147783251231</v>
      </c>
      <c r="O130" s="576">
        <v>9.852216748768473E-3</v>
      </c>
      <c r="P130" s="1022">
        <f t="shared" si="11"/>
        <v>11</v>
      </c>
      <c r="Q130" s="585">
        <v>112.73159144893111</v>
      </c>
      <c r="R130" s="1023">
        <v>0.26840855106888362</v>
      </c>
      <c r="S130" s="1021">
        <f t="shared" si="12"/>
        <v>113</v>
      </c>
      <c r="T130" s="1022">
        <f t="shared" si="13"/>
        <v>3035.5650903552755</v>
      </c>
      <c r="V130" s="1016">
        <f t="shared" si="18"/>
        <v>0</v>
      </c>
      <c r="W130" s="1023">
        <v>0</v>
      </c>
      <c r="X130" s="1024">
        <v>0</v>
      </c>
      <c r="Y130" s="75"/>
      <c r="Z130" s="1025">
        <f t="shared" si="19"/>
        <v>20</v>
      </c>
      <c r="AA130" s="1026">
        <v>0</v>
      </c>
      <c r="AB130" s="1017">
        <f t="shared" si="14"/>
        <v>20</v>
      </c>
      <c r="AD130" s="905" t="str">
        <f t="shared" si="15"/>
        <v>St. Johns River State College</v>
      </c>
      <c r="AE130" s="1027">
        <v>19</v>
      </c>
      <c r="AF130" s="1027">
        <v>1</v>
      </c>
      <c r="AG130" s="1021">
        <f t="shared" si="16"/>
        <v>20</v>
      </c>
    </row>
    <row r="131" spans="1:44" ht="25.35" customHeight="1">
      <c r="A131" s="905" t="str">
        <f t="shared" si="7"/>
        <v>St. Petersburg College</v>
      </c>
      <c r="B131" s="575">
        <v>2202</v>
      </c>
      <c r="C131" s="1019"/>
      <c r="D131" s="803">
        <f t="shared" si="8"/>
        <v>2202</v>
      </c>
      <c r="E131" s="902">
        <v>6385.6475648389005</v>
      </c>
      <c r="F131" s="1020">
        <v>294.91843304916682</v>
      </c>
      <c r="G131" s="1021">
        <f t="shared" si="9"/>
        <v>6680.5659978880676</v>
      </c>
      <c r="H131" s="959">
        <v>3681.5011252813206</v>
      </c>
      <c r="I131" s="960">
        <v>137.5775693923481</v>
      </c>
      <c r="J131" s="1021">
        <f t="shared" si="17"/>
        <v>3819.0786946736689</v>
      </c>
      <c r="K131" s="585">
        <v>313.94513867723253</v>
      </c>
      <c r="L131" s="576">
        <v>39.054861322767444</v>
      </c>
      <c r="M131" s="1022">
        <f t="shared" si="10"/>
        <v>353</v>
      </c>
      <c r="N131" s="585">
        <v>0</v>
      </c>
      <c r="O131" s="576">
        <v>0</v>
      </c>
      <c r="P131" s="1022">
        <f t="shared" si="11"/>
        <v>0</v>
      </c>
      <c r="Q131" s="585">
        <v>108.93219303604154</v>
      </c>
      <c r="R131" s="1023">
        <v>54.067806963958461</v>
      </c>
      <c r="S131" s="1021">
        <f t="shared" si="12"/>
        <v>163</v>
      </c>
      <c r="T131" s="1022">
        <f t="shared" si="13"/>
        <v>13217.644692561738</v>
      </c>
      <c r="V131" s="1016">
        <f t="shared" si="18"/>
        <v>0</v>
      </c>
      <c r="W131" s="1023">
        <v>0</v>
      </c>
      <c r="X131" s="1024">
        <v>0</v>
      </c>
      <c r="Y131" s="75"/>
      <c r="Z131" s="1025">
        <f t="shared" si="19"/>
        <v>0</v>
      </c>
      <c r="AA131" s="1026">
        <v>0</v>
      </c>
      <c r="AB131" s="1017">
        <f t="shared" si="14"/>
        <v>0</v>
      </c>
      <c r="AD131" s="905" t="str">
        <f t="shared" si="15"/>
        <v>St. Petersburg College</v>
      </c>
      <c r="AE131" s="1027">
        <v>0</v>
      </c>
      <c r="AF131" s="1027">
        <v>0</v>
      </c>
      <c r="AG131" s="1021">
        <f t="shared" si="16"/>
        <v>0</v>
      </c>
    </row>
    <row r="132" spans="1:44" ht="25.35" customHeight="1">
      <c r="A132" s="905" t="str">
        <f t="shared" si="7"/>
        <v>Santa Fe College</v>
      </c>
      <c r="B132" s="575">
        <v>381</v>
      </c>
      <c r="C132" s="1019"/>
      <c r="D132" s="803">
        <f t="shared" si="8"/>
        <v>381</v>
      </c>
      <c r="E132" s="902">
        <v>5381.8846382753609</v>
      </c>
      <c r="F132" s="1020">
        <v>449.149814839307</v>
      </c>
      <c r="G132" s="1021">
        <f t="shared" si="9"/>
        <v>5831.0344531146675</v>
      </c>
      <c r="H132" s="959">
        <v>2081.6657560975609</v>
      </c>
      <c r="I132" s="960">
        <v>114.82712195121952</v>
      </c>
      <c r="J132" s="1021">
        <f t="shared" si="17"/>
        <v>2196.4928780487803</v>
      </c>
      <c r="K132" s="585">
        <v>208.51632564214191</v>
      </c>
      <c r="L132" s="576">
        <v>37.483674357858078</v>
      </c>
      <c r="M132" s="1022">
        <f t="shared" si="10"/>
        <v>246</v>
      </c>
      <c r="N132" s="585">
        <v>0</v>
      </c>
      <c r="O132" s="576">
        <v>0</v>
      </c>
      <c r="P132" s="1022">
        <f t="shared" si="11"/>
        <v>0</v>
      </c>
      <c r="Q132" s="585">
        <v>242.0517444139553</v>
      </c>
      <c r="R132" s="1023">
        <v>7.6667973343786757</v>
      </c>
      <c r="S132" s="1021">
        <f t="shared" si="12"/>
        <v>249.71854174833399</v>
      </c>
      <c r="T132" s="1022">
        <f t="shared" si="13"/>
        <v>8904.2458729117825</v>
      </c>
      <c r="V132" s="1016">
        <f t="shared" si="18"/>
        <v>1</v>
      </c>
      <c r="W132" s="1023">
        <v>0</v>
      </c>
      <c r="X132" s="1024">
        <v>1</v>
      </c>
      <c r="Y132" s="75"/>
      <c r="Z132" s="1025">
        <f t="shared" si="19"/>
        <v>18.982165605095545</v>
      </c>
      <c r="AA132" s="1026">
        <v>107.01783439490445</v>
      </c>
      <c r="AB132" s="1017">
        <f t="shared" si="14"/>
        <v>126</v>
      </c>
      <c r="AD132" s="905" t="str">
        <f t="shared" si="15"/>
        <v>Santa Fe College</v>
      </c>
      <c r="AE132" s="1027">
        <v>123</v>
      </c>
      <c r="AF132" s="1027">
        <v>3</v>
      </c>
      <c r="AG132" s="1021">
        <f t="shared" si="16"/>
        <v>126</v>
      </c>
    </row>
    <row r="133" spans="1:44" ht="25.35" customHeight="1">
      <c r="A133" s="905" t="str">
        <f t="shared" si="7"/>
        <v>Seminole State College of Florida</v>
      </c>
      <c r="B133" s="575">
        <v>912</v>
      </c>
      <c r="C133" s="1019"/>
      <c r="D133" s="803">
        <f t="shared" si="8"/>
        <v>912</v>
      </c>
      <c r="E133" s="902">
        <v>5395.3895303809049</v>
      </c>
      <c r="F133" s="1020">
        <v>133.51193409842992</v>
      </c>
      <c r="G133" s="1021">
        <f t="shared" si="9"/>
        <v>5528.9014644793351</v>
      </c>
      <c r="H133" s="959">
        <v>2255.4402489782146</v>
      </c>
      <c r="I133" s="960">
        <v>117.52251677978177</v>
      </c>
      <c r="J133" s="1021">
        <f t="shared" si="17"/>
        <v>2372.9627657579963</v>
      </c>
      <c r="K133" s="585">
        <v>146.14361702127658</v>
      </c>
      <c r="L133" s="576">
        <v>10.856382978723406</v>
      </c>
      <c r="M133" s="1022">
        <f t="shared" si="10"/>
        <v>157</v>
      </c>
      <c r="N133" s="585">
        <v>38</v>
      </c>
      <c r="O133" s="576">
        <v>0</v>
      </c>
      <c r="P133" s="1022">
        <f t="shared" si="11"/>
        <v>38</v>
      </c>
      <c r="Q133" s="585">
        <v>212.25119744544972</v>
      </c>
      <c r="R133" s="1023">
        <v>17.748802554550291</v>
      </c>
      <c r="S133" s="1021">
        <f t="shared" si="12"/>
        <v>230</v>
      </c>
      <c r="T133" s="1022">
        <f t="shared" si="13"/>
        <v>9238.8642302373319</v>
      </c>
      <c r="V133" s="1016">
        <f t="shared" si="18"/>
        <v>0</v>
      </c>
      <c r="W133" s="1023">
        <v>10</v>
      </c>
      <c r="X133" s="1024">
        <v>10</v>
      </c>
      <c r="Y133" s="75"/>
      <c r="Z133" s="1025">
        <f t="shared" si="19"/>
        <v>51.053398058252469</v>
      </c>
      <c r="AA133" s="1026">
        <v>274.94660194174753</v>
      </c>
      <c r="AB133" s="1017">
        <f t="shared" si="14"/>
        <v>326</v>
      </c>
      <c r="AD133" s="905" t="str">
        <f t="shared" si="15"/>
        <v>Seminole State College of Florida</v>
      </c>
      <c r="AE133" s="1027">
        <v>285</v>
      </c>
      <c r="AF133" s="1027">
        <v>41</v>
      </c>
      <c r="AG133" s="1021">
        <f t="shared" si="16"/>
        <v>326</v>
      </c>
    </row>
    <row r="134" spans="1:44" ht="25.35" customHeight="1">
      <c r="A134" s="905" t="str">
        <f t="shared" si="7"/>
        <v>South Florida State College</v>
      </c>
      <c r="B134" s="575">
        <v>99</v>
      </c>
      <c r="C134" s="1019"/>
      <c r="D134" s="803">
        <f t="shared" si="8"/>
        <v>99</v>
      </c>
      <c r="E134" s="902">
        <v>1219.1509675765731</v>
      </c>
      <c r="F134" s="1020">
        <v>16.127450980392158</v>
      </c>
      <c r="G134" s="1021">
        <f t="shared" si="9"/>
        <v>1235.2784185569653</v>
      </c>
      <c r="H134" s="959">
        <v>1</v>
      </c>
      <c r="I134" s="960">
        <v>0</v>
      </c>
      <c r="J134" s="1021">
        <f t="shared" si="17"/>
        <v>1</v>
      </c>
      <c r="K134" s="585">
        <v>17.739130434782609</v>
      </c>
      <c r="L134" s="576">
        <v>0.2608695652173913</v>
      </c>
      <c r="M134" s="1022">
        <f t="shared" si="10"/>
        <v>18</v>
      </c>
      <c r="N134" s="585">
        <v>0</v>
      </c>
      <c r="O134" s="576">
        <v>0</v>
      </c>
      <c r="P134" s="1022">
        <f t="shared" si="11"/>
        <v>0</v>
      </c>
      <c r="Q134" s="585">
        <v>269.94545454545454</v>
      </c>
      <c r="R134" s="1023">
        <v>0.66818181818181821</v>
      </c>
      <c r="S134" s="1021">
        <f t="shared" si="12"/>
        <v>270.61363636363637</v>
      </c>
      <c r="T134" s="1022">
        <f t="shared" si="13"/>
        <v>1623.8920549206018</v>
      </c>
      <c r="V134" s="1016">
        <f t="shared" si="18"/>
        <v>0</v>
      </c>
      <c r="W134" s="1023">
        <v>0</v>
      </c>
      <c r="X134" s="1024">
        <v>0</v>
      </c>
      <c r="Y134" s="75"/>
      <c r="Z134" s="1025">
        <f t="shared" si="19"/>
        <v>35.69956066238592</v>
      </c>
      <c r="AA134" s="1026">
        <v>329.30043933761408</v>
      </c>
      <c r="AB134" s="1017">
        <f t="shared" si="14"/>
        <v>365</v>
      </c>
      <c r="AD134" s="905" t="str">
        <f t="shared" si="15"/>
        <v>South Florida State College</v>
      </c>
      <c r="AE134" s="1027">
        <v>350</v>
      </c>
      <c r="AF134" s="1027">
        <v>15</v>
      </c>
      <c r="AG134" s="1021">
        <f t="shared" si="16"/>
        <v>365</v>
      </c>
    </row>
    <row r="135" spans="1:44" ht="25.35" customHeight="1">
      <c r="A135" s="905" t="str">
        <f t="shared" si="7"/>
        <v>Tallahassee State College</v>
      </c>
      <c r="B135" s="575">
        <v>100</v>
      </c>
      <c r="C135" s="1019"/>
      <c r="D135" s="803">
        <f t="shared" si="8"/>
        <v>100</v>
      </c>
      <c r="E135" s="902">
        <v>6799.7492845606776</v>
      </c>
      <c r="F135" s="1020">
        <v>263.0170713739268</v>
      </c>
      <c r="G135" s="1021">
        <f t="shared" si="9"/>
        <v>7062.7663559346047</v>
      </c>
      <c r="H135" s="959">
        <v>1597.7773759583395</v>
      </c>
      <c r="I135" s="960">
        <v>53.400838998987417</v>
      </c>
      <c r="J135" s="1021">
        <f t="shared" si="17"/>
        <v>1651.1782149573269</v>
      </c>
      <c r="K135" s="585">
        <v>109.94944852941177</v>
      </c>
      <c r="L135" s="576">
        <v>15.050551470588236</v>
      </c>
      <c r="M135" s="1022">
        <f t="shared" si="10"/>
        <v>125</v>
      </c>
      <c r="N135" s="585">
        <v>0</v>
      </c>
      <c r="O135" s="576">
        <v>0</v>
      </c>
      <c r="P135" s="1022">
        <f t="shared" si="11"/>
        <v>0</v>
      </c>
      <c r="Q135" s="585">
        <v>309.07657512116316</v>
      </c>
      <c r="R135" s="1023">
        <v>2.9234248788368338</v>
      </c>
      <c r="S135" s="1021">
        <f t="shared" si="12"/>
        <v>312</v>
      </c>
      <c r="T135" s="1022">
        <f t="shared" si="13"/>
        <v>9250.944570891932</v>
      </c>
      <c r="V135" s="1016">
        <f t="shared" si="18"/>
        <v>0</v>
      </c>
      <c r="W135" s="1023">
        <v>0</v>
      </c>
      <c r="X135" s="1024">
        <v>0</v>
      </c>
      <c r="Y135" s="75"/>
      <c r="Z135" s="1025">
        <f t="shared" si="19"/>
        <v>33.472766884531595</v>
      </c>
      <c r="AA135" s="1026">
        <v>12.527233115468409</v>
      </c>
      <c r="AB135" s="1017">
        <f t="shared" si="14"/>
        <v>46</v>
      </c>
      <c r="AD135" s="905" t="str">
        <f t="shared" si="15"/>
        <v>Tallahassee State College</v>
      </c>
      <c r="AE135" s="1027">
        <v>46</v>
      </c>
      <c r="AF135" s="1027">
        <v>0</v>
      </c>
      <c r="AG135" s="1021">
        <f t="shared" si="16"/>
        <v>46</v>
      </c>
    </row>
    <row r="136" spans="1:44" ht="25.35" customHeight="1" thickBot="1">
      <c r="A136" s="1028" t="str">
        <f t="shared" si="7"/>
        <v>Valencia College</v>
      </c>
      <c r="B136" s="535">
        <v>1251</v>
      </c>
      <c r="C136" s="563"/>
      <c r="D136" s="804">
        <f t="shared" si="8"/>
        <v>1251</v>
      </c>
      <c r="E136" s="903">
        <v>18028.801067099237</v>
      </c>
      <c r="F136" s="564">
        <v>1645.1959329056467</v>
      </c>
      <c r="G136" s="536">
        <f t="shared" si="9"/>
        <v>19673.997000004885</v>
      </c>
      <c r="H136" s="961">
        <v>7431.4523146123565</v>
      </c>
      <c r="I136" s="962">
        <v>562.41912913100521</v>
      </c>
      <c r="J136" s="1029">
        <f t="shared" si="17"/>
        <v>7993.8714437433619</v>
      </c>
      <c r="K136" s="586">
        <v>799.54126473740621</v>
      </c>
      <c r="L136" s="587">
        <v>204.45873526259379</v>
      </c>
      <c r="M136" s="1030">
        <f t="shared" si="10"/>
        <v>1004</v>
      </c>
      <c r="N136" s="586">
        <v>54</v>
      </c>
      <c r="O136" s="587">
        <v>0</v>
      </c>
      <c r="P136" s="1030">
        <f t="shared" si="11"/>
        <v>54</v>
      </c>
      <c r="Q136" s="586">
        <v>208.44579780755177</v>
      </c>
      <c r="R136" s="1031">
        <v>37.554202192448237</v>
      </c>
      <c r="S136" s="536">
        <f t="shared" si="12"/>
        <v>246</v>
      </c>
      <c r="T136" s="1030">
        <f t="shared" si="13"/>
        <v>30222.868443748248</v>
      </c>
      <c r="V136" s="1016">
        <f t="shared" si="18"/>
        <v>0</v>
      </c>
      <c r="W136" s="437">
        <v>0</v>
      </c>
      <c r="X136" s="438">
        <v>0</v>
      </c>
      <c r="Y136" s="75"/>
      <c r="Z136" s="1032">
        <f t="shared" si="19"/>
        <v>0</v>
      </c>
      <c r="AA136" s="1033">
        <v>0</v>
      </c>
      <c r="AB136" s="1017">
        <f t="shared" si="14"/>
        <v>0</v>
      </c>
      <c r="AD136" s="1028" t="str">
        <f t="shared" si="15"/>
        <v>Valencia College</v>
      </c>
      <c r="AE136" s="1034">
        <v>0</v>
      </c>
      <c r="AF136" s="1034">
        <v>0</v>
      </c>
      <c r="AG136" s="536">
        <f t="shared" si="16"/>
        <v>0</v>
      </c>
    </row>
    <row r="137" spans="1:44" ht="25.35" customHeight="1" thickBot="1">
      <c r="A137" s="976" t="s">
        <v>52</v>
      </c>
      <c r="B137" s="356">
        <f>SUM(B109:B136)</f>
        <v>17575</v>
      </c>
      <c r="C137" s="64"/>
      <c r="D137" s="370">
        <f t="shared" ref="D137:T137" si="20">SUM(D109:D136)</f>
        <v>17575</v>
      </c>
      <c r="E137" s="805">
        <f t="shared" si="20"/>
        <v>152230.24032664322</v>
      </c>
      <c r="F137" s="357">
        <f t="shared" si="20"/>
        <v>8199.9367338584852</v>
      </c>
      <c r="G137" s="370">
        <f t="shared" si="20"/>
        <v>160430.17706050174</v>
      </c>
      <c r="H137" s="380">
        <f t="shared" si="20"/>
        <v>51131.750029480463</v>
      </c>
      <c r="I137" s="357">
        <f t="shared" si="20"/>
        <v>2402.2905203214218</v>
      </c>
      <c r="J137" s="370">
        <f t="shared" si="20"/>
        <v>53534.040549801903</v>
      </c>
      <c r="K137" s="380">
        <f t="shared" si="20"/>
        <v>6220.2669151661903</v>
      </c>
      <c r="L137" s="382">
        <f t="shared" si="20"/>
        <v>844.73308483381027</v>
      </c>
      <c r="M137" s="371">
        <f t="shared" si="20"/>
        <v>7065</v>
      </c>
      <c r="N137" s="380">
        <f t="shared" si="20"/>
        <v>180.05197322854011</v>
      </c>
      <c r="O137" s="382">
        <f t="shared" si="20"/>
        <v>0.94802677145989178</v>
      </c>
      <c r="P137" s="371">
        <f t="shared" si="20"/>
        <v>181</v>
      </c>
      <c r="Q137" s="379">
        <f t="shared" si="20"/>
        <v>7579.9669255839635</v>
      </c>
      <c r="R137" s="381">
        <f t="shared" si="20"/>
        <v>328.97798660384655</v>
      </c>
      <c r="S137" s="372">
        <f t="shared" si="20"/>
        <v>7908.9449121878106</v>
      </c>
      <c r="T137" s="1035">
        <f t="shared" si="20"/>
        <v>246694.16252249148</v>
      </c>
      <c r="U137" s="65"/>
      <c r="V137" s="373">
        <f t="shared" ref="V137:AB137" si="21">SUM(V109:V136)</f>
        <v>6.65625</v>
      </c>
      <c r="W137" s="380">
        <f t="shared" si="21"/>
        <v>12.34375</v>
      </c>
      <c r="X137" s="378">
        <f t="shared" si="21"/>
        <v>19</v>
      </c>
      <c r="Y137" s="66"/>
      <c r="Z137" s="373">
        <f t="shared" si="21"/>
        <v>1281.321488984639</v>
      </c>
      <c r="AA137" s="379">
        <f t="shared" si="21"/>
        <v>2231.6785110153605</v>
      </c>
      <c r="AB137" s="375">
        <f t="shared" si="21"/>
        <v>3513</v>
      </c>
      <c r="AC137" s="65"/>
      <c r="AD137" s="976" t="s">
        <v>52</v>
      </c>
      <c r="AE137" s="378">
        <f>SUM(AE109:AE136)</f>
        <v>3392</v>
      </c>
      <c r="AF137" s="378">
        <f>SUM(AF109:AF136)</f>
        <v>121</v>
      </c>
      <c r="AG137" s="370">
        <f>SUM(AG109:AG136)</f>
        <v>3513</v>
      </c>
      <c r="AH137" s="65"/>
      <c r="AI137" s="65"/>
      <c r="AJ137" s="65"/>
      <c r="AK137" s="65"/>
      <c r="AL137" s="65"/>
      <c r="AM137" s="65"/>
      <c r="AN137" s="65"/>
      <c r="AO137" s="65"/>
      <c r="AP137" s="65"/>
      <c r="AQ137" s="65"/>
      <c r="AR137" s="65"/>
    </row>
    <row r="138" spans="1:44" ht="14.1" customHeight="1">
      <c r="A138" s="351"/>
      <c r="B138" s="352"/>
      <c r="C138" s="352"/>
      <c r="D138" s="352"/>
      <c r="E138" s="352"/>
      <c r="F138" s="352"/>
      <c r="G138" s="352"/>
      <c r="H138" s="352"/>
      <c r="I138" s="352"/>
      <c r="J138" s="352"/>
      <c r="K138" s="352"/>
      <c r="L138" s="352"/>
      <c r="M138" s="352"/>
      <c r="N138" s="352"/>
      <c r="O138" s="352"/>
      <c r="P138" s="352"/>
      <c r="Q138" s="352"/>
      <c r="R138" s="352"/>
      <c r="S138" s="352"/>
      <c r="T138" s="352"/>
      <c r="U138" s="65"/>
      <c r="V138" s="353"/>
      <c r="W138" s="353"/>
      <c r="X138" s="353"/>
      <c r="Y138" s="353"/>
      <c r="Z138" s="353"/>
      <c r="AA138" s="353"/>
      <c r="AB138" s="353"/>
      <c r="AC138" s="65"/>
      <c r="AD138" s="351"/>
      <c r="AE138" s="67"/>
      <c r="AF138" s="67"/>
      <c r="AG138" s="67"/>
      <c r="AH138" s="65"/>
      <c r="AI138" s="65"/>
      <c r="AJ138" s="65"/>
      <c r="AK138" s="65"/>
      <c r="AL138" s="65"/>
      <c r="AM138" s="65"/>
      <c r="AN138" s="65"/>
      <c r="AO138" s="65"/>
      <c r="AP138" s="65"/>
      <c r="AQ138" s="65"/>
      <c r="AR138" s="65"/>
    </row>
    <row r="139" spans="1:44">
      <c r="A139" s="16" t="s">
        <v>122</v>
      </c>
      <c r="V139" s="51"/>
      <c r="W139" s="51"/>
      <c r="X139" s="51"/>
      <c r="Y139" s="51"/>
      <c r="Z139" s="51"/>
      <c r="AA139" s="51"/>
      <c r="AB139" s="51"/>
    </row>
    <row r="140" spans="1:44">
      <c r="A140" s="16" t="s">
        <v>123</v>
      </c>
      <c r="V140" s="51"/>
      <c r="W140" s="51"/>
      <c r="X140" s="51"/>
      <c r="Y140" s="51"/>
      <c r="Z140" s="57"/>
      <c r="AA140" s="51"/>
      <c r="AB140" s="51"/>
    </row>
    <row r="141" spans="1:44">
      <c r="A141" s="691" t="s">
        <v>124</v>
      </c>
      <c r="B141" s="691"/>
      <c r="C141" s="691"/>
      <c r="D141" s="691"/>
      <c r="E141" s="26"/>
    </row>
    <row r="142" spans="1:44">
      <c r="A142" s="691" t="s">
        <v>125</v>
      </c>
      <c r="B142" s="691"/>
      <c r="C142" s="691"/>
      <c r="D142" s="691"/>
    </row>
    <row r="143" spans="1:44">
      <c r="A143" s="16" t="s">
        <v>126</v>
      </c>
    </row>
    <row r="145" spans="1:4" ht="54.6" customHeight="1" thickBot="1">
      <c r="A145" s="1036" t="s">
        <v>127</v>
      </c>
      <c r="B145" s="1003"/>
      <c r="C145" s="954"/>
      <c r="D145" s="954"/>
    </row>
    <row r="146" spans="1:4" ht="21.75" thickBot="1">
      <c r="A146" s="59"/>
      <c r="B146" s="60" t="s">
        <v>128</v>
      </c>
    </row>
    <row r="147" spans="1:4" ht="21.75" thickBot="1">
      <c r="A147" s="59">
        <v>1</v>
      </c>
      <c r="B147" s="50">
        <v>2</v>
      </c>
    </row>
    <row r="148" spans="1:4" ht="57" customHeight="1" thickBot="1">
      <c r="A148" s="36" t="s">
        <v>129</v>
      </c>
      <c r="B148" s="950" t="str">
        <f>B5</f>
        <v xml:space="preserve">2024-25 BASE BUDGET </v>
      </c>
    </row>
    <row r="149" spans="1:4" ht="63.75" thickBot="1">
      <c r="A149" s="279" t="s">
        <v>19</v>
      </c>
      <c r="B149" s="22" t="s">
        <v>129</v>
      </c>
    </row>
    <row r="150" spans="1:4">
      <c r="A150" s="383" t="str">
        <f t="shared" ref="A150:A177" si="22">A7</f>
        <v>Eastern Florida State College</v>
      </c>
      <c r="B150" s="951">
        <v>1223211</v>
      </c>
    </row>
    <row r="151" spans="1:4">
      <c r="A151" s="363" t="str">
        <f t="shared" si="22"/>
        <v>Broward College</v>
      </c>
      <c r="B151" s="952">
        <v>2901756</v>
      </c>
    </row>
    <row r="152" spans="1:4">
      <c r="A152" s="363" t="str">
        <f t="shared" si="22"/>
        <v>College of Central Florida</v>
      </c>
      <c r="B152" s="952">
        <v>580642</v>
      </c>
    </row>
    <row r="153" spans="1:4">
      <c r="A153" s="363" t="str">
        <f t="shared" si="22"/>
        <v>Chipola College</v>
      </c>
      <c r="B153" s="952">
        <v>199039</v>
      </c>
    </row>
    <row r="154" spans="1:4">
      <c r="A154" s="363" t="str">
        <f t="shared" si="22"/>
        <v>Daytona State College</v>
      </c>
      <c r="B154" s="952">
        <v>806367</v>
      </c>
    </row>
    <row r="155" spans="1:4">
      <c r="A155" s="363" t="str">
        <f t="shared" si="22"/>
        <v>Florida SouthWestern State College</v>
      </c>
      <c r="B155" s="952">
        <v>831927</v>
      </c>
    </row>
    <row r="156" spans="1:4">
      <c r="A156" s="363" t="str">
        <f t="shared" si="22"/>
        <v>Florida State College at Jacksonville</v>
      </c>
      <c r="B156" s="952">
        <v>1522554</v>
      </c>
    </row>
    <row r="157" spans="1:4">
      <c r="A157" s="363" t="str">
        <f t="shared" si="22"/>
        <v>College of the Florida Keys</v>
      </c>
      <c r="B157" s="952">
        <v>55645</v>
      </c>
    </row>
    <row r="158" spans="1:4">
      <c r="A158" s="363" t="str">
        <f t="shared" si="22"/>
        <v>Gulf Coast State College</v>
      </c>
      <c r="B158" s="952">
        <v>281214</v>
      </c>
    </row>
    <row r="159" spans="1:4">
      <c r="A159" s="363" t="str">
        <f t="shared" si="22"/>
        <v>Hillsborough Community College</v>
      </c>
      <c r="B159" s="952">
        <v>1535676</v>
      </c>
    </row>
    <row r="160" spans="1:4">
      <c r="A160" s="363" t="str">
        <f t="shared" si="22"/>
        <v>Indian River State College</v>
      </c>
      <c r="B160" s="952">
        <v>861594</v>
      </c>
    </row>
    <row r="161" spans="1:2">
      <c r="A161" s="363" t="str">
        <f t="shared" si="22"/>
        <v>Florida Gateway College</v>
      </c>
      <c r="B161" s="952">
        <v>234886</v>
      </c>
    </row>
    <row r="162" spans="1:2">
      <c r="A162" s="363" t="str">
        <f t="shared" si="22"/>
        <v>Lake-Sumter State College</v>
      </c>
      <c r="B162" s="952">
        <v>334183</v>
      </c>
    </row>
    <row r="163" spans="1:2">
      <c r="A163" s="363" t="str">
        <f t="shared" si="22"/>
        <v>State College of Florida, Manatee-Sarasota</v>
      </c>
      <c r="B163" s="952">
        <v>538310</v>
      </c>
    </row>
    <row r="164" spans="1:2">
      <c r="A164" s="363" t="str">
        <f t="shared" si="22"/>
        <v>Miami Dade College</v>
      </c>
      <c r="B164" s="952">
        <v>4079933</v>
      </c>
    </row>
    <row r="165" spans="1:2">
      <c r="A165" s="363" t="str">
        <f t="shared" si="22"/>
        <v>North Florida College</v>
      </c>
      <c r="B165" s="952">
        <v>134140</v>
      </c>
    </row>
    <row r="166" spans="1:2">
      <c r="A166" s="363" t="str">
        <f t="shared" si="22"/>
        <v>Northwest Florida State College</v>
      </c>
      <c r="B166" s="952">
        <v>337943</v>
      </c>
    </row>
    <row r="167" spans="1:2">
      <c r="A167" s="363" t="str">
        <f t="shared" si="22"/>
        <v>Palm Beach State College</v>
      </c>
      <c r="B167" s="952">
        <v>1362933</v>
      </c>
    </row>
    <row r="168" spans="1:2">
      <c r="A168" s="363" t="str">
        <f t="shared" si="22"/>
        <v>Pasco-Hernando State College</v>
      </c>
      <c r="B168" s="952">
        <v>656969</v>
      </c>
    </row>
    <row r="169" spans="1:2">
      <c r="A169" s="363" t="str">
        <f t="shared" si="22"/>
        <v>Pensacola State College</v>
      </c>
      <c r="B169" s="952">
        <v>468310</v>
      </c>
    </row>
    <row r="170" spans="1:2">
      <c r="A170" s="363" t="str">
        <f t="shared" si="22"/>
        <v>Polk State College</v>
      </c>
      <c r="B170" s="952">
        <v>612408</v>
      </c>
    </row>
    <row r="171" spans="1:2">
      <c r="A171" s="363" t="str">
        <f t="shared" si="22"/>
        <v>St. Johns River State College</v>
      </c>
      <c r="B171" s="952">
        <v>432461</v>
      </c>
    </row>
    <row r="172" spans="1:2">
      <c r="A172" s="363" t="str">
        <f t="shared" si="22"/>
        <v>St. Petersburg College</v>
      </c>
      <c r="B172" s="952">
        <v>1662776</v>
      </c>
    </row>
    <row r="173" spans="1:2">
      <c r="A173" s="363" t="str">
        <f t="shared" si="22"/>
        <v>Santa Fe College</v>
      </c>
      <c r="B173" s="952">
        <v>1069199</v>
      </c>
    </row>
    <row r="174" spans="1:2">
      <c r="A174" s="363" t="str">
        <f t="shared" si="22"/>
        <v>Seminole State College of Florida</v>
      </c>
      <c r="B174" s="952">
        <v>1560101</v>
      </c>
    </row>
    <row r="175" spans="1:2">
      <c r="A175" s="363" t="str">
        <f t="shared" si="22"/>
        <v>South Florida State College</v>
      </c>
      <c r="B175" s="952">
        <v>188239</v>
      </c>
    </row>
    <row r="176" spans="1:2">
      <c r="A176" s="363" t="str">
        <f t="shared" si="22"/>
        <v>Tallahassee State College</v>
      </c>
      <c r="B176" s="952">
        <v>1011402</v>
      </c>
    </row>
    <row r="177" spans="1:2" ht="21.75" thickBot="1">
      <c r="A177" s="364" t="str">
        <f t="shared" si="22"/>
        <v>Valencia College</v>
      </c>
      <c r="B177" s="953">
        <v>4516182</v>
      </c>
    </row>
    <row r="178" spans="1:2" ht="24" thickBot="1">
      <c r="A178" s="365" t="s">
        <v>52</v>
      </c>
      <c r="B178" s="401">
        <f>SUM(B150:B177)</f>
        <v>30000000</v>
      </c>
    </row>
    <row r="180" spans="1:2" ht="36.75" thickBot="1">
      <c r="A180" s="1036" t="s">
        <v>127</v>
      </c>
      <c r="B180" s="1003"/>
    </row>
    <row r="181" spans="1:2" ht="21.75" thickBot="1">
      <c r="A181" s="59"/>
      <c r="B181" s="60" t="s">
        <v>128</v>
      </c>
    </row>
    <row r="182" spans="1:2" ht="21.75" thickBot="1">
      <c r="A182" s="59">
        <v>1</v>
      </c>
      <c r="B182" s="50">
        <v>2</v>
      </c>
    </row>
    <row r="183" spans="1:2" ht="54" thickBot="1">
      <c r="A183" s="955" t="s">
        <v>130</v>
      </c>
      <c r="B183" s="950" t="str">
        <f>B5</f>
        <v xml:space="preserve">2024-25 BASE BUDGET </v>
      </c>
    </row>
    <row r="184" spans="1:2" ht="42.75" thickBot="1">
      <c r="A184" s="279" t="s">
        <v>19</v>
      </c>
      <c r="B184" s="22" t="s">
        <v>130</v>
      </c>
    </row>
    <row r="185" spans="1:2">
      <c r="A185" s="383" t="str">
        <f t="shared" ref="A185:A212" si="23">A7</f>
        <v>Eastern Florida State College</v>
      </c>
      <c r="B185" s="956">
        <v>1305041</v>
      </c>
    </row>
    <row r="186" spans="1:2">
      <c r="A186" s="363" t="str">
        <f t="shared" si="23"/>
        <v>Broward College</v>
      </c>
      <c r="B186" s="952">
        <v>1431485</v>
      </c>
    </row>
    <row r="187" spans="1:2">
      <c r="A187" s="363" t="str">
        <f t="shared" si="23"/>
        <v>College of Central Florida</v>
      </c>
      <c r="B187" s="952">
        <v>1049273</v>
      </c>
    </row>
    <row r="188" spans="1:2">
      <c r="A188" s="363" t="str">
        <f t="shared" si="23"/>
        <v>Chipola College</v>
      </c>
      <c r="B188" s="952">
        <v>432695</v>
      </c>
    </row>
    <row r="189" spans="1:2">
      <c r="A189" s="363" t="str">
        <f t="shared" si="23"/>
        <v>Daytona State College</v>
      </c>
      <c r="B189" s="952">
        <v>2291042</v>
      </c>
    </row>
    <row r="190" spans="1:2">
      <c r="A190" s="363" t="str">
        <f t="shared" si="23"/>
        <v>Florida SouthWestern State College</v>
      </c>
      <c r="B190" s="952">
        <v>1383615</v>
      </c>
    </row>
    <row r="191" spans="1:2">
      <c r="A191" s="363" t="str">
        <f t="shared" si="23"/>
        <v>Florida State College at Jacksonville</v>
      </c>
      <c r="B191" s="952">
        <v>2284275</v>
      </c>
    </row>
    <row r="192" spans="1:2">
      <c r="A192" s="363" t="str">
        <f t="shared" si="23"/>
        <v>College of the Florida Keys</v>
      </c>
      <c r="B192" s="952">
        <v>338573</v>
      </c>
    </row>
    <row r="193" spans="1:2">
      <c r="A193" s="363" t="str">
        <f t="shared" si="23"/>
        <v>Gulf Coast State College</v>
      </c>
      <c r="B193" s="952">
        <v>1680100</v>
      </c>
    </row>
    <row r="194" spans="1:2">
      <c r="A194" s="363" t="str">
        <f t="shared" si="23"/>
        <v>Hillsborough Community College</v>
      </c>
      <c r="B194" s="952">
        <v>653062</v>
      </c>
    </row>
    <row r="195" spans="1:2">
      <c r="A195" s="363" t="str">
        <f t="shared" si="23"/>
        <v>Indian River State College</v>
      </c>
      <c r="B195" s="952">
        <v>1644383</v>
      </c>
    </row>
    <row r="196" spans="1:2">
      <c r="A196" s="363" t="str">
        <f t="shared" si="23"/>
        <v>Florida Gateway College</v>
      </c>
      <c r="B196" s="952">
        <v>1502315</v>
      </c>
    </row>
    <row r="197" spans="1:2">
      <c r="A197" s="363" t="str">
        <f t="shared" si="23"/>
        <v>Lake-Sumter State College</v>
      </c>
      <c r="B197" s="952">
        <v>1203371</v>
      </c>
    </row>
    <row r="198" spans="1:2">
      <c r="A198" s="363" t="str">
        <f t="shared" si="23"/>
        <v>State College of Florida, Manatee-Sarasota</v>
      </c>
      <c r="B198" s="952">
        <v>1708676</v>
      </c>
    </row>
    <row r="199" spans="1:2">
      <c r="A199" s="363" t="str">
        <f t="shared" si="23"/>
        <v>Miami Dade College</v>
      </c>
      <c r="B199" s="952">
        <v>2347456</v>
      </c>
    </row>
    <row r="200" spans="1:2">
      <c r="A200" s="363" t="str">
        <f t="shared" si="23"/>
        <v>North Florida College</v>
      </c>
      <c r="B200" s="952">
        <v>909979</v>
      </c>
    </row>
    <row r="201" spans="1:2">
      <c r="A201" s="363" t="str">
        <f t="shared" si="23"/>
        <v>Northwest Florida State College</v>
      </c>
      <c r="B201" s="952">
        <v>846604</v>
      </c>
    </row>
    <row r="202" spans="1:2">
      <c r="A202" s="363" t="str">
        <f t="shared" si="23"/>
        <v>Palm Beach State College</v>
      </c>
      <c r="B202" s="952">
        <v>1637660</v>
      </c>
    </row>
    <row r="203" spans="1:2">
      <c r="A203" s="363" t="str">
        <f t="shared" si="23"/>
        <v>Pasco-Hernando State College</v>
      </c>
      <c r="B203" s="952">
        <v>2453045</v>
      </c>
    </row>
    <row r="204" spans="1:2">
      <c r="A204" s="363" t="str">
        <f t="shared" si="23"/>
        <v>Pensacola State College</v>
      </c>
      <c r="B204" s="952">
        <v>1084766</v>
      </c>
    </row>
    <row r="205" spans="1:2">
      <c r="A205" s="363" t="str">
        <f t="shared" si="23"/>
        <v>Polk State College</v>
      </c>
      <c r="B205" s="952">
        <v>1287984</v>
      </c>
    </row>
    <row r="206" spans="1:2">
      <c r="A206" s="363" t="str">
        <f t="shared" si="23"/>
        <v>St. Johns River State College</v>
      </c>
      <c r="B206" s="952">
        <v>1161973</v>
      </c>
    </row>
    <row r="207" spans="1:2">
      <c r="A207" s="363" t="str">
        <f t="shared" si="23"/>
        <v>St. Petersburg College</v>
      </c>
      <c r="B207" s="952">
        <v>2139506</v>
      </c>
    </row>
    <row r="208" spans="1:2">
      <c r="A208" s="363" t="str">
        <f t="shared" si="23"/>
        <v>Santa Fe College</v>
      </c>
      <c r="B208" s="952">
        <v>1764750</v>
      </c>
    </row>
    <row r="209" spans="1:2">
      <c r="A209" s="363" t="str">
        <f t="shared" si="23"/>
        <v>Seminole State College of Florida</v>
      </c>
      <c r="B209" s="952">
        <v>1473391</v>
      </c>
    </row>
    <row r="210" spans="1:2">
      <c r="A210" s="363" t="str">
        <f t="shared" si="23"/>
        <v>South Florida State College</v>
      </c>
      <c r="B210" s="952">
        <v>1194691</v>
      </c>
    </row>
    <row r="211" spans="1:2">
      <c r="A211" s="363" t="str">
        <f t="shared" si="23"/>
        <v>Tallahassee State College</v>
      </c>
      <c r="B211" s="952">
        <v>678930</v>
      </c>
    </row>
    <row r="212" spans="1:2" ht="21.75" thickBot="1">
      <c r="A212" s="364" t="str">
        <f t="shared" si="23"/>
        <v>Valencia College</v>
      </c>
      <c r="B212" s="953">
        <v>2111359</v>
      </c>
    </row>
    <row r="213" spans="1:2" ht="24" thickBot="1">
      <c r="A213" s="365" t="s">
        <v>52</v>
      </c>
      <c r="B213" s="401">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D120" sqref="D120"/>
    </sheetView>
  </sheetViews>
  <sheetFormatPr defaultColWidth="9.7109375" defaultRowHeight="21"/>
  <cols>
    <col min="1" max="1" width="5.140625" style="16" customWidth="1"/>
    <col min="2" max="2" width="1.7109375" style="16" customWidth="1"/>
    <col min="3" max="3" width="104.85546875" style="16" customWidth="1"/>
    <col min="4" max="4" width="59.85546875" style="16" customWidth="1"/>
    <col min="5" max="5" width="34.28515625" style="16" customWidth="1"/>
    <col min="6" max="6" width="22.42578125" style="16" customWidth="1"/>
    <col min="7" max="7" width="18.7109375" style="16" customWidth="1"/>
    <col min="8" max="8" width="1.7109375" style="16" customWidth="1"/>
    <col min="9" max="9" width="63.42578125" style="16" customWidth="1"/>
    <col min="10" max="11" width="18.140625" style="16" customWidth="1"/>
    <col min="12" max="12" width="22.7109375" style="16" customWidth="1"/>
    <col min="13" max="13" width="3.28515625" style="16" customWidth="1"/>
    <col min="14" max="14" width="32" style="16" customWidth="1"/>
    <col min="15" max="15" width="47" style="16" customWidth="1"/>
    <col min="16" max="16" width="31.42578125" style="16" customWidth="1"/>
    <col min="17" max="17" width="2.85546875" style="16" customWidth="1"/>
    <col min="18" max="18" width="48.140625" style="16" customWidth="1"/>
    <col min="19" max="19" width="28.7109375" style="16" customWidth="1"/>
    <col min="20" max="20" width="5.140625" style="16" customWidth="1"/>
    <col min="21" max="21" width="70" style="16" customWidth="1"/>
    <col min="22" max="22" width="26.140625" style="16" customWidth="1"/>
    <col min="23" max="23" width="22.28515625" style="16" customWidth="1"/>
    <col min="24" max="24" width="24.42578125" style="16" customWidth="1"/>
    <col min="25" max="25" width="21.140625" style="16" customWidth="1"/>
    <col min="26" max="26" width="17.42578125" style="16" customWidth="1"/>
    <col min="27" max="16384" width="9.7109375" style="16"/>
  </cols>
  <sheetData>
    <row r="1" spans="1:9">
      <c r="A1" s="763" t="s">
        <v>10</v>
      </c>
      <c r="B1" s="763"/>
      <c r="C1" s="763"/>
      <c r="D1" s="763"/>
      <c r="E1" s="763"/>
      <c r="F1" s="763"/>
      <c r="G1" s="763"/>
      <c r="H1" s="26"/>
      <c r="I1" s="26"/>
    </row>
    <row r="2" spans="1:9" ht="20.100000000000001" customHeight="1">
      <c r="A2" s="763" t="s">
        <v>131</v>
      </c>
      <c r="B2" s="763"/>
      <c r="C2" s="763"/>
      <c r="D2" s="763"/>
      <c r="E2" s="763"/>
      <c r="F2" s="763"/>
      <c r="G2" s="763"/>
    </row>
    <row r="3" spans="1:9" ht="20.100000000000001" customHeight="1">
      <c r="A3" s="763"/>
      <c r="B3" s="763"/>
      <c r="C3" s="763"/>
      <c r="D3" s="763"/>
      <c r="E3" s="763"/>
      <c r="F3" s="763"/>
      <c r="G3" s="763"/>
      <c r="H3" s="83"/>
    </row>
    <row r="4" spans="1:9" ht="28.35" customHeight="1">
      <c r="A4" s="967" t="s">
        <v>132</v>
      </c>
      <c r="B4" s="967"/>
      <c r="C4" s="967"/>
      <c r="D4" s="967"/>
      <c r="E4" s="967"/>
      <c r="F4" s="967"/>
      <c r="G4" s="967"/>
      <c r="H4" s="81"/>
      <c r="I4" s="81"/>
    </row>
    <row r="5" spans="1:9" ht="20.100000000000001" customHeight="1">
      <c r="D5" s="84"/>
      <c r="E5" s="84"/>
      <c r="F5" s="84"/>
      <c r="G5" s="85"/>
      <c r="H5" s="83"/>
    </row>
    <row r="6" spans="1:9" ht="20.100000000000001" customHeight="1">
      <c r="G6" s="83"/>
    </row>
    <row r="7" spans="1:9" ht="23.1" customHeight="1" thickBot="1">
      <c r="A7" s="86" t="s">
        <v>133</v>
      </c>
      <c r="C7" s="82" t="s">
        <v>134</v>
      </c>
      <c r="D7" s="694" t="s">
        <v>36</v>
      </c>
      <c r="E7" s="798"/>
      <c r="F7" s="798"/>
      <c r="G7" s="83"/>
      <c r="H7" s="83"/>
    </row>
    <row r="8" spans="1:9" ht="20.100000000000001" customHeight="1">
      <c r="A8" s="83"/>
      <c r="B8" s="83"/>
      <c r="C8" s="83"/>
      <c r="D8" s="83"/>
      <c r="E8" s="83"/>
      <c r="F8" s="83"/>
      <c r="G8" s="83"/>
      <c r="H8" s="83"/>
    </row>
    <row r="9" spans="1:9" ht="20.100000000000001" customHeight="1">
      <c r="A9" s="83"/>
      <c r="B9" s="83"/>
      <c r="C9" s="83"/>
      <c r="D9" s="83"/>
      <c r="E9" s="83"/>
      <c r="F9" s="83"/>
      <c r="G9" s="83"/>
      <c r="H9" s="83"/>
    </row>
    <row r="10" spans="1:9" ht="89.1" customHeight="1">
      <c r="A10" s="407" t="s">
        <v>135</v>
      </c>
      <c r="B10" s="86"/>
      <c r="C10" s="764" t="s">
        <v>136</v>
      </c>
      <c r="D10" s="764"/>
      <c r="E10" s="764"/>
      <c r="F10" s="764"/>
      <c r="G10" s="764"/>
      <c r="H10" s="88"/>
      <c r="I10" s="503"/>
    </row>
    <row r="11" spans="1:9" ht="20.45" customHeight="1">
      <c r="A11" s="86"/>
      <c r="B11" s="86"/>
      <c r="C11" s="404"/>
      <c r="D11" s="404"/>
      <c r="E11" s="404"/>
      <c r="F11" s="83"/>
      <c r="G11" s="83"/>
      <c r="H11" s="88"/>
    </row>
    <row r="12" spans="1:9" ht="20.100000000000001" customHeight="1">
      <c r="C12" s="21" t="s">
        <v>137</v>
      </c>
      <c r="D12" s="21"/>
      <c r="E12" s="21"/>
      <c r="F12" s="89"/>
      <c r="G12" s="89"/>
      <c r="H12" s="89"/>
    </row>
    <row r="13" spans="1:9" ht="20.100000000000001" customHeight="1">
      <c r="C13" s="87"/>
      <c r="H13" s="89"/>
    </row>
    <row r="14" spans="1:9" ht="20.100000000000001" customHeight="1">
      <c r="C14" s="87"/>
    </row>
    <row r="15" spans="1:9" ht="20.100000000000001" customHeight="1">
      <c r="A15" s="86" t="s">
        <v>138</v>
      </c>
      <c r="B15" s="86"/>
      <c r="C15" s="696" t="s">
        <v>139</v>
      </c>
      <c r="D15" s="696"/>
      <c r="E15" s="696"/>
    </row>
    <row r="16" spans="1:9" ht="20.100000000000001" customHeight="1">
      <c r="A16" s="696"/>
      <c r="B16" s="696"/>
      <c r="D16" s="83"/>
      <c r="E16" s="83"/>
      <c r="H16" s="83"/>
    </row>
    <row r="17" spans="1:8" ht="27" customHeight="1">
      <c r="C17" s="703">
        <f>IF(+'EXHIBIT A'!E44&gt;=0.0499,+'EXHIBIT A'!E44,"PERCENTAGE DOES NOT MEET STATUTORY GUIDELINES")</f>
        <v>0.26910241590695649</v>
      </c>
      <c r="D17" s="703"/>
      <c r="E17" s="703"/>
      <c r="F17" s="703"/>
      <c r="G17" s="703"/>
      <c r="H17" s="83"/>
    </row>
    <row r="18" spans="1:8" ht="20.100000000000001" customHeight="1">
      <c r="A18" s="696"/>
      <c r="B18" s="696"/>
      <c r="C18" s="765" t="s">
        <v>140</v>
      </c>
      <c r="D18" s="765"/>
      <c r="E18" s="765"/>
      <c r="F18" s="765"/>
      <c r="G18" s="765"/>
      <c r="H18" s="83"/>
    </row>
    <row r="19" spans="1:8" ht="20.100000000000001" customHeight="1">
      <c r="A19" s="696"/>
      <c r="B19" s="696"/>
      <c r="C19" s="26"/>
      <c r="D19" s="26"/>
      <c r="E19" s="26"/>
      <c r="F19" s="83"/>
      <c r="G19" s="83"/>
      <c r="H19" s="83"/>
    </row>
    <row r="20" spans="1:8" ht="20.100000000000001" customHeight="1"/>
    <row r="21" spans="1:8" ht="20.100000000000001" customHeight="1">
      <c r="A21" s="86" t="s">
        <v>141</v>
      </c>
      <c r="B21" s="86"/>
      <c r="C21" s="696" t="s">
        <v>142</v>
      </c>
      <c r="D21" s="696"/>
      <c r="E21" s="696"/>
      <c r="F21" s="27"/>
      <c r="G21" s="27"/>
      <c r="H21" s="83"/>
    </row>
    <row r="22" spans="1:8" ht="20.100000000000001" customHeight="1">
      <c r="C22" s="27"/>
      <c r="D22" s="27"/>
      <c r="E22" s="27"/>
      <c r="F22" s="27"/>
      <c r="G22" s="27"/>
      <c r="H22" s="83"/>
    </row>
    <row r="23" spans="1:8" ht="20.100000000000001" customHeight="1">
      <c r="C23" s="83" t="s">
        <v>143</v>
      </c>
      <c r="H23" s="83"/>
    </row>
    <row r="24" spans="1:8" ht="20.100000000000001" customHeight="1">
      <c r="A24" s="90"/>
      <c r="B24" s="90"/>
      <c r="C24" s="83" t="s">
        <v>144</v>
      </c>
      <c r="D24" s="83"/>
      <c r="E24" s="83"/>
      <c r="F24" s="83"/>
      <c r="G24" s="83"/>
      <c r="H24" s="83"/>
    </row>
    <row r="25" spans="1:8" ht="20.100000000000001" customHeight="1">
      <c r="A25" s="86"/>
      <c r="B25" s="86"/>
      <c r="C25" s="83" t="s">
        <v>145</v>
      </c>
      <c r="D25" s="83"/>
      <c r="E25" s="91"/>
      <c r="F25" s="83"/>
      <c r="G25" s="83"/>
      <c r="H25" s="83"/>
    </row>
    <row r="26" spans="1:8" ht="20.100000000000001" customHeight="1">
      <c r="A26" s="86"/>
      <c r="B26" s="86"/>
      <c r="C26" s="83" t="s">
        <v>146</v>
      </c>
      <c r="D26" s="83"/>
      <c r="E26" s="91"/>
      <c r="F26" s="83"/>
      <c r="G26" s="83"/>
      <c r="H26" s="83"/>
    </row>
    <row r="27" spans="1:8" ht="20.100000000000001" customHeight="1">
      <c r="A27" s="86"/>
      <c r="B27" s="86"/>
      <c r="C27" s="83" t="s">
        <v>147</v>
      </c>
      <c r="D27" s="83"/>
      <c r="E27" s="83"/>
      <c r="F27" s="83"/>
      <c r="G27" s="83"/>
      <c r="H27" s="83"/>
    </row>
    <row r="28" spans="1:8" ht="20.100000000000001" customHeight="1">
      <c r="A28" s="92"/>
      <c r="B28" s="92"/>
      <c r="C28" s="83" t="s">
        <v>148</v>
      </c>
      <c r="H28" s="83"/>
    </row>
    <row r="29" spans="1:8" ht="20.100000000000001" customHeight="1">
      <c r="A29" s="92"/>
      <c r="B29" s="92"/>
      <c r="C29" s="16" t="s">
        <v>149</v>
      </c>
      <c r="D29" s="83"/>
      <c r="E29" s="83"/>
      <c r="F29" s="83"/>
      <c r="G29" s="83"/>
      <c r="H29" s="83"/>
    </row>
    <row r="30" spans="1:8" ht="20.100000000000001" customHeight="1">
      <c r="A30" s="92"/>
      <c r="B30" s="92"/>
      <c r="D30" s="83"/>
      <c r="E30" s="83"/>
      <c r="F30" s="83"/>
      <c r="G30" s="83"/>
      <c r="H30" s="83"/>
    </row>
    <row r="31" spans="1:8" ht="20.100000000000001" customHeight="1">
      <c r="A31" s="92"/>
      <c r="B31" s="92"/>
      <c r="D31" s="83"/>
      <c r="E31" s="83"/>
      <c r="F31" s="83"/>
      <c r="G31" s="83"/>
      <c r="H31" s="83"/>
    </row>
    <row r="32" spans="1:8" ht="20.100000000000001" customHeight="1">
      <c r="A32" s="92" t="s">
        <v>150</v>
      </c>
      <c r="B32" s="92"/>
      <c r="C32" s="27" t="s">
        <v>151</v>
      </c>
      <c r="D32" s="83"/>
      <c r="E32" s="83"/>
      <c r="F32" s="83"/>
      <c r="G32" s="83"/>
      <c r="H32" s="83"/>
    </row>
    <row r="33" spans="1:8" ht="20.100000000000001" customHeight="1">
      <c r="A33" s="93"/>
      <c r="B33" s="93"/>
      <c r="C33" s="87"/>
      <c r="D33" s="83"/>
      <c r="E33" s="83"/>
      <c r="F33" s="83"/>
      <c r="G33" s="83"/>
      <c r="H33" s="83"/>
    </row>
    <row r="34" spans="1:8" ht="20.100000000000001" customHeight="1">
      <c r="A34" s="93"/>
      <c r="B34" s="93"/>
      <c r="C34" s="1037" t="str">
        <f>IF(+'EXHIBIT C'!H47+'EXHIBIT C(2)'!E31='EXHIBIT D'!G45,"Equal","Not Equal")</f>
        <v>Equal</v>
      </c>
      <c r="D34" s="83"/>
      <c r="E34" s="83"/>
      <c r="F34" s="83"/>
      <c r="G34" s="83"/>
      <c r="H34" s="83"/>
    </row>
    <row r="35" spans="1:8" ht="20.100000000000001" customHeight="1">
      <c r="A35" s="93"/>
      <c r="B35" s="93"/>
      <c r="C35" s="94"/>
      <c r="D35" s="83"/>
      <c r="E35" s="83"/>
      <c r="F35" s="83"/>
      <c r="G35" s="83"/>
      <c r="H35" s="83"/>
    </row>
    <row r="36" spans="1:8" ht="20.100000000000001" customHeight="1">
      <c r="E36" s="83"/>
      <c r="F36" s="83"/>
      <c r="G36" s="83"/>
      <c r="H36" s="83"/>
    </row>
    <row r="37" spans="1:8" ht="20.100000000000001" customHeight="1">
      <c r="A37" s="86" t="s">
        <v>152</v>
      </c>
      <c r="B37" s="86"/>
      <c r="C37" s="27" t="s">
        <v>153</v>
      </c>
      <c r="D37" s="83"/>
      <c r="E37" s="83"/>
      <c r="F37" s="95"/>
      <c r="G37" s="83"/>
      <c r="H37" s="83"/>
    </row>
    <row r="38" spans="1:8" ht="20.100000000000001" customHeight="1">
      <c r="C38" s="27" t="s">
        <v>154</v>
      </c>
      <c r="D38" s="83"/>
      <c r="E38" s="83"/>
      <c r="F38" s="96"/>
      <c r="G38" s="83"/>
      <c r="H38" s="83"/>
    </row>
    <row r="39" spans="1:8" ht="20.100000000000001" customHeight="1" thickBot="1">
      <c r="G39" s="83"/>
      <c r="H39" s="83"/>
    </row>
    <row r="40" spans="1:8" ht="20.100000000000001" customHeight="1">
      <c r="C40" s="97"/>
      <c r="D40" s="98" t="s">
        <v>75</v>
      </c>
      <c r="E40" s="98" t="str">
        <f>D40</f>
        <v>2024-25</v>
      </c>
      <c r="F40" s="99"/>
      <c r="G40" s="100"/>
      <c r="H40" s="83"/>
    </row>
    <row r="41" spans="1:8" ht="20.100000000000001" customHeight="1">
      <c r="C41" s="101"/>
      <c r="D41" s="102" t="s">
        <v>155</v>
      </c>
      <c r="E41" s="103" t="s">
        <v>156</v>
      </c>
      <c r="F41" s="103"/>
      <c r="G41" s="104" t="s">
        <v>157</v>
      </c>
      <c r="H41" s="83"/>
    </row>
    <row r="42" spans="1:8" ht="20.100000000000001" customHeight="1">
      <c r="C42" s="105"/>
      <c r="D42" s="102" t="s">
        <v>158</v>
      </c>
      <c r="E42" s="103" t="s">
        <v>159</v>
      </c>
      <c r="F42" s="103" t="s">
        <v>160</v>
      </c>
      <c r="G42" s="104" t="s">
        <v>161</v>
      </c>
      <c r="H42" s="83"/>
    </row>
    <row r="43" spans="1:8" ht="20.100000000000001" customHeight="1" thickBot="1">
      <c r="C43" s="101" t="s">
        <v>162</v>
      </c>
      <c r="D43" s="102" t="s">
        <v>163</v>
      </c>
      <c r="E43" s="103" t="s">
        <v>164</v>
      </c>
      <c r="F43" s="103" t="s">
        <v>157</v>
      </c>
      <c r="G43" s="106" t="s">
        <v>165</v>
      </c>
      <c r="H43" s="83"/>
    </row>
    <row r="44" spans="1:8" ht="20.100000000000001" customHeight="1">
      <c r="C44" s="107" t="s">
        <v>166</v>
      </c>
      <c r="D44" s="108">
        <f>VLOOKUP($D$7,VLOOKUP!$A$109:$S$137,2)*30+D59</f>
        <v>13980</v>
      </c>
      <c r="E44" s="109">
        <f>+'EXHIBIT C'!F10</f>
        <v>14584</v>
      </c>
      <c r="F44" s="110">
        <f t="shared" ref="F44:F50" si="0">IF(D44=0,"0",(E44/D44-1))</f>
        <v>4.3204577968526392E-2</v>
      </c>
      <c r="G44" s="111" t="str">
        <f t="shared" ref="G44:G50" si="1">IF(OR(F44&gt;3%, F44&lt;-3%),"YES","NO")</f>
        <v>YES</v>
      </c>
      <c r="H44" s="83"/>
    </row>
    <row r="45" spans="1:8" ht="20.100000000000001" customHeight="1">
      <c r="C45" s="112" t="s">
        <v>167</v>
      </c>
      <c r="D45" s="1038">
        <f>VLOOKUP($D$7,VLOOKUP!$A$109:$S$137,5)*30+D60</f>
        <v>124422.93241294943</v>
      </c>
      <c r="E45" s="113">
        <f>+'EXHIBIT C'!F11</f>
        <v>129534.808</v>
      </c>
      <c r="F45" s="588">
        <f t="shared" si="0"/>
        <v>4.1084673764838486E-2</v>
      </c>
      <c r="G45" s="589" t="str">
        <f t="shared" si="1"/>
        <v>YES</v>
      </c>
      <c r="H45" s="83"/>
    </row>
    <row r="46" spans="1:8" ht="20.100000000000001" customHeight="1">
      <c r="C46" s="590" t="s">
        <v>168</v>
      </c>
      <c r="D46" s="591">
        <f>VLOOKUP($D$7,VLOOKUP!$A$109:$S$137,8)*30</f>
        <v>18676.668854611093</v>
      </c>
      <c r="E46" s="1039">
        <f>+'EXHIBIT C'!F12</f>
        <v>19660.55</v>
      </c>
      <c r="F46" s="588">
        <f t="shared" si="0"/>
        <v>5.2679691065250944E-2</v>
      </c>
      <c r="G46" s="589" t="str">
        <f t="shared" si="1"/>
        <v>YES</v>
      </c>
      <c r="H46" s="83"/>
    </row>
    <row r="47" spans="1:8" ht="20.100000000000001" customHeight="1">
      <c r="C47" s="590" t="s">
        <v>169</v>
      </c>
      <c r="D47" s="591">
        <f>VLOOKUP($D$7,VLOOKUP!$A$109:$S$137,17)*30</f>
        <v>0</v>
      </c>
      <c r="E47" s="1039">
        <f>+'EXHIBIT C'!F13</f>
        <v>0</v>
      </c>
      <c r="F47" s="588" t="str">
        <f t="shared" si="0"/>
        <v>0</v>
      </c>
      <c r="G47" s="589" t="str">
        <f t="shared" si="1"/>
        <v>NO</v>
      </c>
      <c r="H47" s="83"/>
    </row>
    <row r="48" spans="1:8" ht="20.100000000000001" customHeight="1">
      <c r="C48" s="590" t="s">
        <v>170</v>
      </c>
      <c r="D48" s="591">
        <f>VLOOKUP($D$7,VLOOKUP!$A$109:$S$137,11)*30</f>
        <v>3541.3679544015204</v>
      </c>
      <c r="E48" s="1039">
        <f>+'EXHIBIT C'!F14</f>
        <v>4173.68</v>
      </c>
      <c r="F48" s="588">
        <f t="shared" si="0"/>
        <v>0.17855022515030883</v>
      </c>
      <c r="G48" s="589" t="str">
        <f t="shared" si="1"/>
        <v>YES</v>
      </c>
      <c r="H48" s="83"/>
    </row>
    <row r="49" spans="3:8" ht="20.100000000000001" customHeight="1" thickBot="1">
      <c r="C49" s="592" t="s">
        <v>171</v>
      </c>
      <c r="D49" s="593">
        <f>VLOOKUP($D$7,VLOOKUP!$A$109:$S$137,14)*30</f>
        <v>0</v>
      </c>
      <c r="E49" s="594">
        <f>+'EXHIBIT C'!F15</f>
        <v>321.755</v>
      </c>
      <c r="F49" s="595" t="str">
        <f t="shared" si="0"/>
        <v>0</v>
      </c>
      <c r="G49" s="596" t="str">
        <f t="shared" si="1"/>
        <v>NO</v>
      </c>
      <c r="H49" s="83"/>
    </row>
    <row r="50" spans="3:8" ht="20.100000000000001" customHeight="1" thickBot="1">
      <c r="C50" s="114" t="s">
        <v>52</v>
      </c>
      <c r="D50" s="115">
        <f>SUM(D44:D49)</f>
        <v>160620.96922196206</v>
      </c>
      <c r="E50" s="116">
        <f>+'EXHIBIT C'!F17</f>
        <v>168274.79300000001</v>
      </c>
      <c r="F50" s="117">
        <f t="shared" si="0"/>
        <v>4.7651460547851077E-2</v>
      </c>
      <c r="G50" s="118" t="str">
        <f t="shared" si="1"/>
        <v>YES</v>
      </c>
      <c r="H50" s="83"/>
    </row>
    <row r="51" spans="3:8" ht="46.5" customHeight="1" thickBot="1">
      <c r="C51" s="766" t="s">
        <v>172</v>
      </c>
      <c r="D51" s="767"/>
      <c r="E51" s="767"/>
      <c r="F51" s="767"/>
      <c r="G51" s="768"/>
      <c r="H51" s="83"/>
    </row>
    <row r="52" spans="3:8" ht="24.6" customHeight="1" thickBot="1">
      <c r="C52" s="700" t="s">
        <v>173</v>
      </c>
      <c r="D52" s="701"/>
      <c r="E52" s="701"/>
      <c r="F52" s="701"/>
      <c r="G52" s="702"/>
      <c r="H52" s="119"/>
    </row>
    <row r="53" spans="3:8" ht="205.5" customHeight="1" thickBot="1">
      <c r="C53" s="932" t="s">
        <v>179</v>
      </c>
      <c r="D53" s="933"/>
      <c r="E53" s="933"/>
      <c r="F53" s="933"/>
      <c r="G53" s="934"/>
      <c r="H53" s="119"/>
    </row>
    <row r="54" spans="3:8" ht="20.100000000000001" customHeight="1" thickBot="1">
      <c r="C54" s="93"/>
      <c r="D54" s="95"/>
      <c r="E54" s="83"/>
      <c r="F54" s="83"/>
      <c r="G54" s="120"/>
    </row>
    <row r="55" spans="3:8" ht="20.100000000000001" customHeight="1">
      <c r="C55" s="97"/>
      <c r="D55" s="98" t="str">
        <f>D40</f>
        <v>2024-25</v>
      </c>
      <c r="E55" s="98" t="str">
        <f>E40</f>
        <v>2024-25</v>
      </c>
      <c r="F55" s="99"/>
      <c r="G55" s="100"/>
      <c r="H55" s="119"/>
    </row>
    <row r="56" spans="3:8" ht="20.100000000000001" customHeight="1">
      <c r="C56" s="101"/>
      <c r="D56" s="102" t="s">
        <v>174</v>
      </c>
      <c r="E56" s="103" t="s">
        <v>175</v>
      </c>
      <c r="F56" s="103"/>
      <c r="G56" s="106" t="s">
        <v>157</v>
      </c>
      <c r="H56" s="119"/>
    </row>
    <row r="57" spans="3:8" ht="20.100000000000001" customHeight="1">
      <c r="C57" s="105"/>
      <c r="D57" s="102" t="s">
        <v>158</v>
      </c>
      <c r="E57" s="103" t="s">
        <v>159</v>
      </c>
      <c r="F57" s="103" t="s">
        <v>160</v>
      </c>
      <c r="G57" s="106" t="s">
        <v>161</v>
      </c>
      <c r="H57" s="119"/>
    </row>
    <row r="58" spans="3:8" ht="20.100000000000001" customHeight="1" thickBot="1">
      <c r="C58" s="1040" t="s">
        <v>176</v>
      </c>
      <c r="D58" s="1041" t="s">
        <v>163</v>
      </c>
      <c r="E58" s="1042" t="s">
        <v>164</v>
      </c>
      <c r="F58" s="1042" t="s">
        <v>157</v>
      </c>
      <c r="G58" s="1043" t="s">
        <v>177</v>
      </c>
      <c r="H58" s="119"/>
    </row>
    <row r="59" spans="3:8" ht="20.100000000000001" customHeight="1">
      <c r="C59" s="107" t="s">
        <v>166</v>
      </c>
      <c r="D59" s="1044">
        <f>VLOOKUP($D$7,VLOOKUP!$A$109:$S$137,3)*30</f>
        <v>0</v>
      </c>
      <c r="E59" s="121">
        <f>+'EXHIBIT C'!D19</f>
        <v>367.64</v>
      </c>
      <c r="F59" s="1045" t="str">
        <f t="shared" ref="F59:F65" si="2">IF(D59=0,"0",(E59/D59-1))</f>
        <v>0</v>
      </c>
      <c r="G59" s="1046" t="str">
        <f>IF(OR(F59&gt;5%, F59&lt;-5%),"YES","NO")</f>
        <v>NO</v>
      </c>
    </row>
    <row r="60" spans="3:8" ht="20.100000000000001" customHeight="1">
      <c r="C60" s="112" t="s">
        <v>167</v>
      </c>
      <c r="D60" s="1044">
        <f>VLOOKUP($D$7,VLOOKUP!$A$109:$S$137,6)*30</f>
        <v>6381.438682336493</v>
      </c>
      <c r="E60" s="122">
        <f>+'EXHIBIT C'!D20</f>
        <v>6078.835</v>
      </c>
      <c r="F60" s="1045">
        <f t="shared" si="2"/>
        <v>-4.7419351246621666E-2</v>
      </c>
      <c r="G60" s="1046" t="str">
        <f t="shared" ref="G60:G65" si="3">IF(OR(F60&gt;5%, F60&lt;-5%),"YES","NO")</f>
        <v>NO</v>
      </c>
      <c r="H60" s="83"/>
    </row>
    <row r="61" spans="3:8" ht="20.100000000000001" customHeight="1">
      <c r="C61" s="590" t="s">
        <v>168</v>
      </c>
      <c r="D61" s="1047">
        <f>VLOOKUP($D$7,VLOOKUP!$A$109:$S$137,9)*30</f>
        <v>911.13554315720387</v>
      </c>
      <c r="E61" s="1048">
        <f>+'EXHIBIT C'!D21</f>
        <v>744.50300000000004</v>
      </c>
      <c r="F61" s="1045">
        <f t="shared" si="2"/>
        <v>-0.18288447246805917</v>
      </c>
      <c r="G61" s="1046" t="str">
        <f t="shared" si="3"/>
        <v>YES</v>
      </c>
      <c r="H61" s="83"/>
    </row>
    <row r="62" spans="3:8" ht="20.100000000000001" customHeight="1">
      <c r="C62" s="590" t="s">
        <v>169</v>
      </c>
      <c r="D62" s="1047">
        <f>VLOOKUP($D$7,VLOOKUP!$A$109:$S$137,18)*30</f>
        <v>0</v>
      </c>
      <c r="E62" s="1048">
        <f>+'EXHIBIT C'!D22</f>
        <v>0</v>
      </c>
      <c r="F62" s="1045" t="str">
        <f t="shared" si="2"/>
        <v>0</v>
      </c>
      <c r="G62" s="1046" t="str">
        <f t="shared" si="3"/>
        <v>NO</v>
      </c>
      <c r="H62" s="83"/>
    </row>
    <row r="63" spans="3:8" ht="20.100000000000001" customHeight="1">
      <c r="C63" s="590" t="s">
        <v>170</v>
      </c>
      <c r="D63" s="1047">
        <f>VLOOKUP($D$7,VLOOKUP!$A$109:$S$137,12)*30</f>
        <v>478.63204559848009</v>
      </c>
      <c r="E63" s="1048">
        <f>+'EXHIBIT C'!D23</f>
        <v>435.435</v>
      </c>
      <c r="F63" s="1045">
        <f t="shared" si="2"/>
        <v>-9.025105192124494E-2</v>
      </c>
      <c r="G63" s="1046" t="str">
        <f t="shared" si="3"/>
        <v>YES</v>
      </c>
      <c r="H63" s="83"/>
    </row>
    <row r="64" spans="3:8" ht="20.100000000000001" customHeight="1" thickBot="1">
      <c r="C64" s="592" t="s">
        <v>171</v>
      </c>
      <c r="D64" s="1049">
        <f>VLOOKUP($D$7,VLOOKUP!$A$109:$S$137,15)*30</f>
        <v>0</v>
      </c>
      <c r="E64" s="1050">
        <f>+'EXHIBIT C'!D24</f>
        <v>0</v>
      </c>
      <c r="F64" s="597" t="str">
        <f t="shared" si="2"/>
        <v>0</v>
      </c>
      <c r="G64" s="598" t="str">
        <f t="shared" si="3"/>
        <v>NO</v>
      </c>
      <c r="H64" s="83"/>
    </row>
    <row r="65" spans="1:8" ht="20.100000000000001" customHeight="1" thickBot="1">
      <c r="C65" s="114" t="s">
        <v>52</v>
      </c>
      <c r="D65" s="123">
        <f>SUM(D59:D64)</f>
        <v>7771.2062710921764</v>
      </c>
      <c r="E65" s="124">
        <f>SUM(E59:E64)</f>
        <v>7626.4130000000005</v>
      </c>
      <c r="F65" s="125">
        <f t="shared" si="2"/>
        <v>-1.8632020054696885E-2</v>
      </c>
      <c r="G65" s="126" t="str">
        <f t="shared" si="3"/>
        <v>NO</v>
      </c>
      <c r="H65" s="83"/>
    </row>
    <row r="66" spans="1:8" ht="42" customHeight="1" thickBot="1">
      <c r="C66" s="766" t="s">
        <v>178</v>
      </c>
      <c r="D66" s="767"/>
      <c r="E66" s="767"/>
      <c r="F66" s="767"/>
      <c r="G66" s="768"/>
      <c r="H66" s="83"/>
    </row>
    <row r="67" spans="1:8" ht="24.6" customHeight="1" thickBot="1">
      <c r="A67" s="93"/>
      <c r="B67" s="93"/>
      <c r="C67" s="697" t="s">
        <v>173</v>
      </c>
      <c r="D67" s="698"/>
      <c r="E67" s="698"/>
      <c r="F67" s="698"/>
      <c r="G67" s="699"/>
      <c r="H67" s="83"/>
    </row>
    <row r="68" spans="1:8" ht="227.25" customHeight="1" thickBot="1">
      <c r="A68" s="93"/>
      <c r="B68" s="93"/>
      <c r="C68" s="935" t="s">
        <v>179</v>
      </c>
      <c r="D68" s="936"/>
      <c r="E68" s="936"/>
      <c r="F68" s="936"/>
      <c r="G68" s="937"/>
      <c r="H68" s="83"/>
    </row>
    <row r="69" spans="1:8" ht="20.100000000000001" customHeight="1">
      <c r="C69" s="16" t="s">
        <v>9</v>
      </c>
      <c r="H69" s="83"/>
    </row>
    <row r="70" spans="1:8" ht="20.100000000000001" customHeight="1">
      <c r="H70" s="83"/>
    </row>
    <row r="71" spans="1:8" ht="20.100000000000001" customHeight="1">
      <c r="A71" s="92" t="s">
        <v>180</v>
      </c>
      <c r="B71" s="92"/>
      <c r="C71" s="27" t="s">
        <v>181</v>
      </c>
      <c r="D71" s="83"/>
      <c r="E71" s="83"/>
      <c r="F71" s="83"/>
      <c r="G71" s="83"/>
      <c r="H71" s="83"/>
    </row>
    <row r="72" spans="1:8" ht="20.100000000000001" customHeight="1">
      <c r="A72" s="93"/>
      <c r="B72" s="93"/>
      <c r="C72" s="83"/>
      <c r="D72" s="83"/>
      <c r="E72" s="83"/>
      <c r="F72" s="83"/>
      <c r="G72" s="83"/>
      <c r="H72" s="83"/>
    </row>
    <row r="73" spans="1:8" ht="20.100000000000001" customHeight="1">
      <c r="A73" s="93"/>
      <c r="B73" s="93"/>
      <c r="C73" s="127" t="s">
        <v>182</v>
      </c>
      <c r="D73" s="83"/>
      <c r="E73" s="83"/>
      <c r="F73" s="83"/>
      <c r="G73" s="83"/>
      <c r="H73" s="83"/>
    </row>
    <row r="74" spans="1:8" ht="20.100000000000001" customHeight="1">
      <c r="A74" s="93"/>
      <c r="B74" s="93"/>
      <c r="C74" s="1051" t="str">
        <f>IF(+'EXHIBIT A'!E19='EXHIBIT C'!B70,"Equal","Not Equal")</f>
        <v>Equal</v>
      </c>
      <c r="D74" s="83" t="s">
        <v>183</v>
      </c>
      <c r="E74" s="83"/>
      <c r="F74" s="83"/>
      <c r="G74" s="83"/>
      <c r="H74" s="83"/>
    </row>
    <row r="75" spans="1:8" ht="20.100000000000001" customHeight="1">
      <c r="A75" s="93"/>
      <c r="B75" s="93"/>
      <c r="C75" s="1052" t="str">
        <f>IF('EXHIBIT C'!B70=SUM('EXHIBIT D'!G133+'EXHIBIT D'!G134),"Equal","Not Equal")</f>
        <v>Equal</v>
      </c>
      <c r="D75" s="83" t="s">
        <v>184</v>
      </c>
      <c r="E75" s="83"/>
      <c r="F75" s="83"/>
      <c r="G75" s="83"/>
    </row>
    <row r="76" spans="1:8" ht="20.100000000000001" customHeight="1">
      <c r="A76" s="93"/>
      <c r="B76" s="93"/>
      <c r="C76" s="128" t="s">
        <v>185</v>
      </c>
      <c r="D76" s="83"/>
      <c r="E76" s="83"/>
      <c r="F76" s="83"/>
      <c r="G76" s="83"/>
    </row>
    <row r="77" spans="1:8" ht="20.100000000000001" customHeight="1">
      <c r="C77" s="1051" t="str">
        <f>IF((+'EXHIBIT A'!E26)='EXHIBIT C'!B61,"Equal","Not Equal")</f>
        <v>Equal</v>
      </c>
      <c r="D77" s="83" t="s">
        <v>186</v>
      </c>
      <c r="E77" s="83"/>
      <c r="F77" s="83"/>
      <c r="G77" s="83"/>
      <c r="H77" s="83"/>
    </row>
    <row r="78" spans="1:8" ht="20.100000000000001" customHeight="1">
      <c r="A78" s="93"/>
      <c r="B78" s="93"/>
      <c r="C78" s="1052" t="str">
        <f>IF('EXHIBIT C'!B61=SUM('EXHIBIT D'!G223+'EXHIBIT D'!G224),"Equal","Not Equal")</f>
        <v>Equal</v>
      </c>
      <c r="D78" s="83" t="s">
        <v>187</v>
      </c>
      <c r="E78" s="83"/>
      <c r="F78" s="83"/>
      <c r="G78" s="83"/>
      <c r="H78" s="83"/>
    </row>
    <row r="79" spans="1:8" ht="20.100000000000001" customHeight="1">
      <c r="A79" s="92"/>
      <c r="B79" s="92"/>
      <c r="C79" s="129"/>
      <c r="D79" s="83"/>
      <c r="E79" s="83"/>
      <c r="F79" s="83"/>
      <c r="G79" s="83"/>
      <c r="H79" s="83"/>
    </row>
    <row r="80" spans="1:8" ht="20.100000000000001" customHeight="1">
      <c r="A80" s="92"/>
      <c r="B80" s="92"/>
      <c r="C80" s="129"/>
      <c r="D80" s="83"/>
      <c r="E80" s="83"/>
      <c r="F80" s="83"/>
      <c r="G80" s="83"/>
      <c r="H80" s="83"/>
    </row>
    <row r="81" spans="1:8" ht="21.6" customHeight="1">
      <c r="A81" s="130" t="s">
        <v>188</v>
      </c>
      <c r="B81" s="92"/>
      <c r="C81" s="769" t="s">
        <v>189</v>
      </c>
      <c r="D81" s="769"/>
      <c r="E81" s="769"/>
      <c r="F81" s="769"/>
      <c r="G81" s="769"/>
      <c r="H81" s="695"/>
    </row>
    <row r="82" spans="1:8" ht="20.100000000000001" customHeight="1" thickBot="1">
      <c r="A82" s="93"/>
      <c r="B82" s="93"/>
      <c r="C82" s="83"/>
      <c r="D82" s="83"/>
      <c r="E82" s="131"/>
      <c r="F82" s="83"/>
      <c r="G82" s="83"/>
      <c r="H82" s="83"/>
    </row>
    <row r="83" spans="1:8" ht="38.1" customHeight="1">
      <c r="A83" s="93"/>
      <c r="B83" s="93"/>
      <c r="C83" s="132" t="s">
        <v>190</v>
      </c>
      <c r="D83" s="133" t="s">
        <v>191</v>
      </c>
      <c r="E83" s="132" t="s">
        <v>192</v>
      </c>
      <c r="F83" s="132" t="s">
        <v>157</v>
      </c>
      <c r="G83" s="83"/>
      <c r="H83" s="83"/>
    </row>
    <row r="84" spans="1:8" ht="20.100000000000001" customHeight="1">
      <c r="A84" s="93"/>
      <c r="B84" s="93"/>
      <c r="C84" s="1053" t="s">
        <v>193</v>
      </c>
      <c r="D84" s="599">
        <f>VLOOKUP($D$7,VLOOKUP!$A$7:$E$35,2)</f>
        <v>31285444.06757804</v>
      </c>
      <c r="E84" s="1054">
        <f>+'EXHIBIT D'!G76</f>
        <v>31285444.06757804</v>
      </c>
      <c r="F84" s="1054">
        <f>D84-E84</f>
        <v>0</v>
      </c>
      <c r="G84" s="83"/>
      <c r="H84" s="83"/>
    </row>
    <row r="85" spans="1:8" ht="20.100000000000001" customHeight="1">
      <c r="A85" s="93"/>
      <c r="B85" s="93"/>
      <c r="C85" s="1055" t="s">
        <v>129</v>
      </c>
      <c r="D85" s="599">
        <f>VLOOKUP($D$7,VLOOKUP!$A$150:$B$178,2)</f>
        <v>538310</v>
      </c>
      <c r="E85" s="1054">
        <f>'EXHIBIT D'!G78</f>
        <v>538310</v>
      </c>
      <c r="F85" s="1054">
        <f>D85-E85</f>
        <v>0</v>
      </c>
      <c r="G85" s="83"/>
      <c r="H85" s="83"/>
    </row>
    <row r="86" spans="1:8" ht="20.100000000000001" customHeight="1">
      <c r="A86" s="93"/>
      <c r="B86" s="93"/>
      <c r="C86" s="1055" t="s">
        <v>194</v>
      </c>
      <c r="D86" s="599">
        <f>VLOOKUP($D$7,VLOOKUP!$A$7:$E$35,3)</f>
        <v>5148765.9324219599</v>
      </c>
      <c r="E86" s="1054">
        <f>'EXHIBIT D'!G82</f>
        <v>5148765.9324219599</v>
      </c>
      <c r="F86" s="1054">
        <f>D86-E86</f>
        <v>0</v>
      </c>
      <c r="G86" s="83"/>
      <c r="H86" s="83"/>
    </row>
    <row r="87" spans="1:8" ht="20.100000000000001" customHeight="1" thickBot="1">
      <c r="A87" s="92"/>
      <c r="B87" s="92"/>
      <c r="C87" s="1056" t="s">
        <v>130</v>
      </c>
      <c r="D87" s="599">
        <f>VLOOKUP($D$7,VLOOKUP!$A$185:$B$213,2)</f>
        <v>1708676</v>
      </c>
      <c r="E87" s="1057">
        <f>'EXHIBIT D'!G77</f>
        <v>1708676</v>
      </c>
      <c r="F87" s="1054">
        <f>D87-E87</f>
        <v>0</v>
      </c>
      <c r="G87" s="83"/>
      <c r="H87" s="83"/>
    </row>
    <row r="88" spans="1:8" ht="20.100000000000001" customHeight="1" thickBot="1">
      <c r="A88" s="92"/>
      <c r="B88" s="92"/>
      <c r="C88" s="134" t="s">
        <v>195</v>
      </c>
      <c r="D88" s="135">
        <f>SUM(D84:D87)</f>
        <v>38681196</v>
      </c>
      <c r="E88" s="135">
        <f>SUM(E84:E87)</f>
        <v>38681196</v>
      </c>
      <c r="F88" s="135">
        <f>SUM(F84:F87)</f>
        <v>0</v>
      </c>
      <c r="G88" s="83"/>
      <c r="H88" s="83"/>
    </row>
    <row r="89" spans="1:8">
      <c r="A89" s="92"/>
      <c r="B89" s="92"/>
      <c r="C89" s="136"/>
      <c r="D89" s="136"/>
      <c r="E89" s="136"/>
      <c r="F89" s="83"/>
      <c r="G89" s="83"/>
      <c r="H89" s="83"/>
    </row>
    <row r="90" spans="1:8" ht="20.100000000000001" customHeight="1">
      <c r="A90" s="92"/>
      <c r="B90" s="92"/>
      <c r="C90" s="136"/>
      <c r="D90" s="136"/>
      <c r="E90" s="136"/>
      <c r="F90" s="83"/>
      <c r="G90" s="83"/>
      <c r="H90" s="83"/>
    </row>
    <row r="91" spans="1:8" ht="20.100000000000001" customHeight="1">
      <c r="A91" s="92" t="s">
        <v>196</v>
      </c>
      <c r="B91" s="92"/>
      <c r="C91" s="92" t="s">
        <v>197</v>
      </c>
      <c r="D91" s="83"/>
      <c r="E91" s="83"/>
      <c r="F91" s="83"/>
      <c r="G91" s="83"/>
      <c r="H91" s="83"/>
    </row>
    <row r="92" spans="1:8" ht="20.100000000000001" customHeight="1">
      <c r="A92" s="93"/>
      <c r="B92" s="93"/>
      <c r="C92" s="92"/>
      <c r="D92" s="83"/>
      <c r="E92" s="83"/>
      <c r="F92" s="83"/>
      <c r="G92" s="83"/>
      <c r="H92" s="83"/>
    </row>
    <row r="93" spans="1:8" ht="20.100000000000001" customHeight="1">
      <c r="A93" s="93"/>
      <c r="B93" s="93"/>
      <c r="C93" s="1051" t="str">
        <f>IF(+'EXHIBIT E'!B21=+'EXHIBIT D'!G195,"Equal","Not Equal")</f>
        <v>Equal</v>
      </c>
      <c r="D93" s="83" t="s">
        <v>198</v>
      </c>
      <c r="E93" s="83"/>
      <c r="F93" s="83"/>
      <c r="G93" s="88"/>
      <c r="H93" s="83"/>
    </row>
    <row r="94" spans="1:8" ht="20.100000000000001" customHeight="1">
      <c r="A94" s="93"/>
      <c r="B94" s="93"/>
      <c r="C94" s="1051" t="str">
        <f>IF(+'EXHIBIT E'!C21=+'EXHIBIT D'!G229,"Equal","Not Equal")</f>
        <v>Equal</v>
      </c>
      <c r="D94" s="83" t="s">
        <v>199</v>
      </c>
      <c r="E94" s="137"/>
      <c r="F94" s="83"/>
      <c r="G94" s="88"/>
      <c r="H94" s="83"/>
    </row>
    <row r="95" spans="1:8" ht="20.100000000000001" customHeight="1">
      <c r="C95" s="1051" t="str">
        <f>IF(+'EXHIBIT E'!D21=+'EXHIBIT D'!G247,"Equal","Not Equal")</f>
        <v>Equal</v>
      </c>
      <c r="D95" s="83" t="s">
        <v>200</v>
      </c>
      <c r="E95" s="137"/>
      <c r="F95" s="83"/>
      <c r="G95" s="83"/>
      <c r="H95" s="83"/>
    </row>
    <row r="96" spans="1:8" ht="20.100000000000001" customHeight="1">
      <c r="A96" s="92"/>
      <c r="B96" s="92"/>
      <c r="C96" s="1051" t="str">
        <f>IF(+'EXHIBIT E'!E21=+'EXHIBIT D'!G249,"Equal","Not Equal")</f>
        <v>Equal</v>
      </c>
      <c r="D96" s="138" t="s">
        <v>52</v>
      </c>
      <c r="E96" s="137"/>
      <c r="F96" s="83"/>
      <c r="G96" s="88"/>
      <c r="H96" s="83"/>
    </row>
    <row r="97" spans="1:8" ht="20.100000000000001" customHeight="1">
      <c r="A97" s="93"/>
      <c r="B97" s="93"/>
      <c r="E97" s="83"/>
      <c r="F97" s="83"/>
      <c r="G97" s="119"/>
      <c r="H97" s="83"/>
    </row>
    <row r="98" spans="1:8" ht="20.100000000000001" customHeight="1">
      <c r="A98" s="93"/>
      <c r="B98" s="93"/>
      <c r="E98" s="83"/>
      <c r="F98" s="83"/>
      <c r="G98" s="83"/>
      <c r="H98" s="83"/>
    </row>
    <row r="99" spans="1:8" ht="42" customHeight="1">
      <c r="A99" s="139" t="s">
        <v>201</v>
      </c>
      <c r="B99" s="140"/>
      <c r="C99" s="770" t="s">
        <v>202</v>
      </c>
      <c r="D99" s="770"/>
      <c r="E99" s="770"/>
      <c r="F99" s="770"/>
      <c r="G99" s="704"/>
      <c r="H99" s="704"/>
    </row>
    <row r="100" spans="1:8" ht="20.100000000000001" customHeight="1">
      <c r="A100" s="139"/>
      <c r="B100" s="140"/>
      <c r="C100" s="704"/>
      <c r="D100" s="704"/>
      <c r="E100" s="704"/>
      <c r="F100" s="704"/>
      <c r="G100" s="83"/>
      <c r="H100" s="83"/>
    </row>
    <row r="101" spans="1:8" ht="20.100000000000001" customHeight="1">
      <c r="C101" s="1058">
        <f>+'EXHIBIT A'!E40</f>
        <v>16514079</v>
      </c>
      <c r="D101" s="691" t="s">
        <v>203</v>
      </c>
      <c r="E101" s="691"/>
      <c r="F101" s="691"/>
      <c r="G101" s="83"/>
      <c r="H101" s="83"/>
    </row>
    <row r="102" spans="1:8" ht="20.100000000000001" customHeight="1">
      <c r="A102" s="90"/>
      <c r="B102" s="90"/>
      <c r="C102" s="1058">
        <f>'EXHIBIT D'!G267-'EXHIBIT D'!G253-'EXHIBIT D'!G265</f>
        <v>16514079</v>
      </c>
      <c r="D102" s="693" t="s">
        <v>204</v>
      </c>
      <c r="E102" s="693"/>
      <c r="F102" s="693"/>
      <c r="G102" s="83"/>
      <c r="H102" s="83"/>
    </row>
    <row r="103" spans="1:8" ht="66.599999999999994" customHeight="1">
      <c r="A103" s="141"/>
      <c r="B103" s="141"/>
      <c r="C103" s="1059">
        <f>C101-C102</f>
        <v>0</v>
      </c>
      <c r="D103" s="771" t="s">
        <v>205</v>
      </c>
      <c r="E103" s="771"/>
      <c r="F103" s="771"/>
      <c r="G103" s="771"/>
      <c r="H103" s="83"/>
    </row>
    <row r="104" spans="1:8" ht="20.100000000000001" customHeight="1">
      <c r="C104" s="142"/>
      <c r="E104" s="83"/>
      <c r="F104" s="83"/>
      <c r="G104" s="83"/>
      <c r="H104" s="83"/>
    </row>
    <row r="105" spans="1:8" ht="20.100000000000001" customHeight="1">
      <c r="C105" s="142"/>
      <c r="D105" s="83"/>
      <c r="E105" s="83"/>
      <c r="F105" s="83"/>
      <c r="G105" s="83"/>
      <c r="H105" s="83"/>
    </row>
    <row r="106" spans="1:8" ht="63" customHeight="1">
      <c r="A106" s="143" t="s">
        <v>206</v>
      </c>
      <c r="B106" s="90"/>
      <c r="C106" s="764" t="s">
        <v>207</v>
      </c>
      <c r="D106" s="764"/>
      <c r="E106" s="764"/>
      <c r="F106" s="764"/>
      <c r="G106" s="764"/>
      <c r="H106" s="692"/>
    </row>
    <row r="107" spans="1:8" ht="20.100000000000001" customHeight="1">
      <c r="A107" s="141"/>
      <c r="B107" s="141"/>
    </row>
    <row r="108" spans="1:8" ht="24.75" customHeight="1">
      <c r="A108" s="141"/>
      <c r="B108" s="141"/>
      <c r="C108" s="144">
        <f>'EXHIBIT A'!E14</f>
        <v>24739932</v>
      </c>
      <c r="D108" s="16" t="s">
        <v>208</v>
      </c>
    </row>
    <row r="109" spans="1:8" ht="26.25" customHeight="1">
      <c r="A109" s="141"/>
      <c r="B109" s="141"/>
      <c r="C109" s="600">
        <f>'EXHIBIT A'!E36</f>
        <v>25079932</v>
      </c>
      <c r="D109" s="16" t="s">
        <v>209</v>
      </c>
    </row>
    <row r="110" spans="1:8" ht="26.1" customHeight="1">
      <c r="A110" s="141"/>
      <c r="B110" s="141"/>
      <c r="C110" s="1060">
        <f>C108-C109</f>
        <v>-340000</v>
      </c>
      <c r="D110" s="84" t="s">
        <v>210</v>
      </c>
      <c r="E110" s="84"/>
      <c r="F110" s="84"/>
      <c r="G110" s="84"/>
    </row>
    <row r="111" spans="1:8" ht="20.100000000000001" customHeight="1">
      <c r="A111" s="141"/>
      <c r="B111" s="141"/>
      <c r="C111" s="144"/>
    </row>
    <row r="112" spans="1:8" ht="26.1" customHeight="1">
      <c r="A112" s="141"/>
      <c r="B112" s="141"/>
      <c r="C112" s="1059">
        <f>'EXHIBIT D'!G187</f>
        <v>340000</v>
      </c>
      <c r="D112" s="138" t="s">
        <v>211</v>
      </c>
      <c r="E112" s="87"/>
      <c r="F112" s="87"/>
    </row>
    <row r="113" spans="1:8" ht="20.100000000000001" customHeight="1"/>
    <row r="114" spans="1:8" ht="38.450000000000003" customHeight="1">
      <c r="C114" s="969">
        <f>C110+C112</f>
        <v>0</v>
      </c>
      <c r="D114" s="771" t="s">
        <v>212</v>
      </c>
      <c r="E114" s="771"/>
      <c r="F114" s="771"/>
      <c r="G114" s="771"/>
    </row>
    <row r="115" spans="1:8" ht="20.100000000000001" customHeight="1">
      <c r="C115" s="144"/>
      <c r="D115" s="15"/>
    </row>
    <row r="116" spans="1:8" ht="20.100000000000001" customHeight="1">
      <c r="A116" s="26"/>
      <c r="B116" s="26"/>
      <c r="C116" s="26"/>
    </row>
    <row r="117" spans="1:8" ht="39" customHeight="1">
      <c r="A117" s="145" t="s">
        <v>213</v>
      </c>
      <c r="B117" s="26"/>
      <c r="C117" s="764" t="s">
        <v>214</v>
      </c>
      <c r="D117" s="764"/>
      <c r="E117" s="764"/>
      <c r="F117" s="764"/>
      <c r="G117" s="764"/>
      <c r="H117" s="692"/>
    </row>
    <row r="118" spans="1:8" ht="20.100000000000001" customHeight="1"/>
    <row r="119" spans="1:8" ht="20.100000000000001" customHeight="1">
      <c r="C119" s="146">
        <f>IF('EXHIBIT G'!D118=0,"No Credit Hours or Not Applicable",('EXHIBIT G'!D118/'EXHIBIT C'!F10))</f>
        <v>91.789975315414154</v>
      </c>
      <c r="D119" s="16" t="s">
        <v>110</v>
      </c>
    </row>
    <row r="120" spans="1:8" ht="20.100000000000001" customHeight="1">
      <c r="C120" s="147"/>
    </row>
    <row r="121" spans="1:8" ht="20.100000000000001" customHeight="1">
      <c r="C121" s="148">
        <f>IF('EXHIBIT G'!D119=0,"No Credit Hours or Not Applicable",('EXHIBIT G'!D119/'EXHIBIT C'!D19))</f>
        <v>275</v>
      </c>
      <c r="D121" s="16" t="s">
        <v>215</v>
      </c>
      <c r="F121" s="26"/>
      <c r="G121" s="26"/>
      <c r="H121" s="26"/>
    </row>
    <row r="122" spans="1:8" ht="20.100000000000001" customHeight="1">
      <c r="C122" s="149"/>
      <c r="F122" s="26"/>
      <c r="G122" s="26"/>
      <c r="H122" s="26"/>
    </row>
    <row r="123" spans="1:8" ht="20.100000000000001" customHeight="1">
      <c r="C123" s="706"/>
      <c r="D123" s="707"/>
      <c r="E123" s="707"/>
    </row>
    <row r="124" spans="1:8" ht="20.100000000000001" customHeight="1">
      <c r="A124" s="26" t="s">
        <v>216</v>
      </c>
      <c r="B124" s="26"/>
      <c r="C124" s="26" t="s">
        <v>217</v>
      </c>
    </row>
    <row r="125" spans="1:8" ht="20.100000000000001" customHeight="1"/>
    <row r="126" spans="1:8" ht="42.6" customHeight="1">
      <c r="C126" s="968" t="str">
        <f>IF(+'EXHIBIT G'!D118='EXHIBIT C'!H10,"Equal","Not Equal")</f>
        <v>Equal</v>
      </c>
      <c r="D126" s="772" t="s">
        <v>218</v>
      </c>
      <c r="E126" s="772"/>
      <c r="F126" s="772"/>
      <c r="G126" s="772"/>
    </row>
    <row r="127" spans="1:8" ht="20.100000000000001" customHeight="1">
      <c r="C127" s="147"/>
      <c r="D127" s="85"/>
      <c r="E127" s="85"/>
      <c r="F127" s="85"/>
      <c r="G127" s="85"/>
    </row>
    <row r="128" spans="1:8" ht="20.100000000000001" customHeight="1"/>
    <row r="129" spans="1:8" ht="58.35" customHeight="1">
      <c r="C129" s="968" t="str">
        <f>IF(+'EXHIBIT G'!D119='EXHIBIT C'!F19,"Equal","Not Equal")</f>
        <v>Equal</v>
      </c>
      <c r="D129" s="772" t="s">
        <v>219</v>
      </c>
      <c r="E129" s="772"/>
      <c r="F129" s="772"/>
      <c r="G129" s="772"/>
    </row>
    <row r="130" spans="1:8" ht="20.100000000000001" customHeight="1">
      <c r="C130" s="147"/>
      <c r="D130" s="85"/>
      <c r="E130" s="85"/>
      <c r="F130" s="85"/>
      <c r="G130" s="85"/>
    </row>
    <row r="131" spans="1:8" ht="20.100000000000001" customHeight="1">
      <c r="C131" s="147"/>
      <c r="D131" s="705"/>
      <c r="E131" s="705"/>
      <c r="F131" s="705"/>
      <c r="G131" s="705"/>
    </row>
    <row r="132" spans="1:8" ht="20.100000000000001" customHeight="1">
      <c r="C132" s="15"/>
      <c r="D132" s="705"/>
      <c r="E132" s="705"/>
      <c r="F132" s="705"/>
      <c r="G132" s="705"/>
    </row>
    <row r="133" spans="1:8" ht="62.1" customHeight="1">
      <c r="A133" s="145" t="s">
        <v>220</v>
      </c>
      <c r="B133" s="26"/>
      <c r="C133" s="764" t="s">
        <v>221</v>
      </c>
      <c r="D133" s="764"/>
      <c r="E133" s="764"/>
      <c r="F133" s="764"/>
      <c r="G133" s="764"/>
      <c r="H133" s="692"/>
    </row>
    <row r="134" spans="1:8" ht="20.100000000000001" customHeight="1"/>
    <row r="135" spans="1:8" ht="20.100000000000001" customHeight="1">
      <c r="C135" s="968" t="str">
        <f>IF(+'EXHIBIT G'!F113='EXHIBIT G'!F129,"Equal","Not Equal")</f>
        <v>Not Equal</v>
      </c>
      <c r="D135" s="691" t="s">
        <v>222</v>
      </c>
      <c r="E135" s="691"/>
      <c r="F135" s="691"/>
    </row>
    <row r="136" spans="1:8" ht="20.100000000000001" customHeight="1" thickBot="1">
      <c r="C136" s="15"/>
    </row>
    <row r="137" spans="1:8" ht="24.6" customHeight="1" thickBot="1">
      <c r="C137" s="700" t="s">
        <v>223</v>
      </c>
      <c r="D137" s="701"/>
      <c r="E137" s="701"/>
      <c r="F137" s="701"/>
      <c r="G137" s="702"/>
      <c r="H137" s="26"/>
    </row>
    <row r="138" spans="1:8" ht="199.5" customHeight="1" thickBot="1">
      <c r="C138" s="938" t="s">
        <v>792</v>
      </c>
      <c r="D138" s="939"/>
      <c r="E138" s="939"/>
      <c r="F138" s="939"/>
      <c r="G138" s="940"/>
      <c r="H138" s="15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3K7XYwarfUvC/umnL0oVfPBqewPdFHkuDpAHBnWk/4789a+Dx/tNdhPoqJUixMRRc2p9YQ59+7vHxuVbbgbxfQ==" saltValue="poLS+EfXl7i/ZQZFLkZq5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55" zoomScaleNormal="55" zoomScaleSheetLayoutView="90" zoomScalePageLayoutView="70" workbookViewId="0"/>
  </sheetViews>
  <sheetFormatPr defaultColWidth="9.140625" defaultRowHeight="21"/>
  <cols>
    <col min="1" max="1" width="9.140625" style="16"/>
    <col min="2" max="2" width="21.28515625" style="16" customWidth="1"/>
    <col min="3" max="3" width="75.140625" style="16" customWidth="1"/>
    <col min="4" max="4" width="40.28515625" style="16" customWidth="1"/>
    <col min="5" max="5" width="24" style="16" customWidth="1"/>
    <col min="6" max="6" width="3" style="16" customWidth="1"/>
    <col min="7" max="9" width="9.140625" style="16"/>
    <col min="10" max="10" width="16.7109375" style="16" customWidth="1"/>
    <col min="11" max="16384" width="9.140625" style="16"/>
  </cols>
  <sheetData>
    <row r="1" spans="2:7" ht="26.25">
      <c r="B1" s="773" t="s">
        <v>224</v>
      </c>
      <c r="C1" s="773"/>
      <c r="D1" s="773"/>
      <c r="E1" s="773"/>
      <c r="F1" s="273"/>
      <c r="G1" s="273"/>
    </row>
    <row r="2" spans="2:7" ht="26.25">
      <c r="B2" s="773" t="s">
        <v>10</v>
      </c>
      <c r="C2" s="773"/>
      <c r="D2" s="773"/>
      <c r="E2" s="773"/>
      <c r="F2" s="461"/>
      <c r="G2" s="461"/>
    </row>
    <row r="3" spans="2:7" ht="26.25">
      <c r="B3" s="773" t="s">
        <v>225</v>
      </c>
      <c r="C3" s="773"/>
      <c r="D3" s="773"/>
      <c r="E3" s="773"/>
      <c r="F3" s="461"/>
      <c r="G3" s="461"/>
    </row>
    <row r="4" spans="2:7" ht="26.25">
      <c r="B4" s="773" t="s">
        <v>226</v>
      </c>
      <c r="C4" s="773"/>
      <c r="D4" s="773"/>
      <c r="E4" s="773"/>
      <c r="F4" s="461"/>
      <c r="G4" s="461"/>
    </row>
    <row r="5" spans="2:7" ht="26.25">
      <c r="B5" s="773" t="s">
        <v>227</v>
      </c>
      <c r="C5" s="773"/>
      <c r="D5" s="773"/>
      <c r="E5" s="773"/>
      <c r="F5" s="461"/>
      <c r="G5" s="461"/>
    </row>
    <row r="6" spans="2:7" ht="25.35" customHeight="1">
      <c r="B6" s="461"/>
      <c r="C6" s="461"/>
      <c r="D6" s="461"/>
      <c r="E6" s="461"/>
      <c r="F6" s="461"/>
      <c r="G6" s="461"/>
    </row>
    <row r="7" spans="2:7" ht="25.35" customHeight="1">
      <c r="B7" s="273"/>
      <c r="C7" s="461"/>
      <c r="D7" s="273"/>
      <c r="E7" s="273"/>
      <c r="F7" s="273"/>
      <c r="G7" s="273"/>
    </row>
    <row r="8" spans="2:7" ht="25.35" customHeight="1">
      <c r="B8" s="316" t="s">
        <v>228</v>
      </c>
      <c r="C8" s="708" t="str">
        <f>'CHECK SHEET'!D7</f>
        <v>State College of Florida, Manatee-Sarasota</v>
      </c>
      <c r="D8" s="708"/>
      <c r="E8" s="708"/>
      <c r="F8" s="272"/>
      <c r="G8" s="272"/>
    </row>
    <row r="9" spans="2:7" ht="25.35" customHeight="1"/>
    <row r="10" spans="2:7" ht="41.45" customHeight="1">
      <c r="E10" s="548" t="s">
        <v>229</v>
      </c>
    </row>
    <row r="11" spans="2:7" ht="25.35" customHeight="1">
      <c r="B11" s="26" t="s">
        <v>230</v>
      </c>
      <c r="D11" s="26"/>
      <c r="E11" s="151"/>
    </row>
    <row r="12" spans="2:7" ht="25.35" customHeight="1">
      <c r="B12" s="26"/>
      <c r="C12" s="26"/>
      <c r="D12" s="26"/>
    </row>
    <row r="13" spans="2:7" ht="25.35" customHeight="1">
      <c r="B13" s="16" t="s">
        <v>231</v>
      </c>
      <c r="C13" s="26"/>
      <c r="D13" s="26"/>
      <c r="E13" s="972">
        <v>-25555585</v>
      </c>
    </row>
    <row r="14" spans="2:7" ht="25.35" customHeight="1">
      <c r="B14" s="16" t="s">
        <v>232</v>
      </c>
      <c r="D14" s="26"/>
      <c r="E14" s="973">
        <v>24739932</v>
      </c>
    </row>
    <row r="15" spans="2:7" ht="25.35" customHeight="1">
      <c r="B15" s="26"/>
      <c r="D15" s="26"/>
      <c r="E15" s="152"/>
    </row>
    <row r="16" spans="2:7" ht="25.35" customHeight="1">
      <c r="B16" s="16" t="s">
        <v>233</v>
      </c>
      <c r="C16" s="26"/>
      <c r="D16" s="26"/>
      <c r="E16" s="549">
        <f>+E14+E13</f>
        <v>-815653</v>
      </c>
    </row>
    <row r="17" spans="2:7" ht="25.35" customHeight="1">
      <c r="B17" s="26"/>
      <c r="C17" s="26"/>
      <c r="D17" s="26"/>
      <c r="E17" s="153"/>
    </row>
    <row r="18" spans="2:7" ht="25.35" customHeight="1">
      <c r="B18" s="16" t="s">
        <v>234</v>
      </c>
      <c r="C18" s="26"/>
      <c r="D18" s="26"/>
      <c r="E18" s="163">
        <f>+'EXHIBIT D'!G143-SUM(+'EXHIBIT D'!G133+'EXHIBIT D'!G134)</f>
        <v>61907749</v>
      </c>
      <c r="G18" s="129"/>
    </row>
    <row r="19" spans="2:7" ht="25.35" customHeight="1">
      <c r="B19" s="16" t="s">
        <v>235</v>
      </c>
      <c r="D19" s="26"/>
      <c r="E19" s="549">
        <f>+'EXHIBIT D'!G133+'EXHIBIT D'!G134</f>
        <v>275168</v>
      </c>
    </row>
    <row r="20" spans="2:7" ht="25.35" customHeight="1">
      <c r="B20" s="26"/>
      <c r="D20" s="26"/>
      <c r="E20" s="158"/>
    </row>
    <row r="21" spans="2:7" ht="25.35" customHeight="1">
      <c r="B21" s="16" t="s">
        <v>236</v>
      </c>
      <c r="C21" s="26"/>
      <c r="D21" s="26"/>
      <c r="E21" s="550">
        <f>+E19+E18</f>
        <v>62182917</v>
      </c>
    </row>
    <row r="22" spans="2:7" ht="25.35" customHeight="1">
      <c r="B22" s="26"/>
      <c r="C22" s="26"/>
      <c r="D22" s="26"/>
      <c r="E22" s="158"/>
    </row>
    <row r="23" spans="2:7" ht="25.35" customHeight="1">
      <c r="B23" s="26" t="s">
        <v>237</v>
      </c>
      <c r="C23" s="26"/>
      <c r="D23" s="26"/>
      <c r="E23" s="550">
        <f>+E21+E16</f>
        <v>61367264</v>
      </c>
    </row>
    <row r="24" spans="2:7" ht="25.35" customHeight="1">
      <c r="B24" s="26"/>
      <c r="C24" s="26"/>
      <c r="D24" s="26"/>
      <c r="E24" s="158"/>
    </row>
    <row r="25" spans="2:7" ht="25.35" customHeight="1">
      <c r="B25" s="16" t="s">
        <v>238</v>
      </c>
      <c r="C25" s="26"/>
      <c r="D25" s="26"/>
      <c r="E25" s="164">
        <f>'EXHIBIT D'!G249-SUM(+'EXHIBIT D'!G223+'EXHIBIT D'!G224)</f>
        <v>69828444</v>
      </c>
    </row>
    <row r="26" spans="2:7" ht="25.35" customHeight="1">
      <c r="B26" s="16" t="s">
        <v>239</v>
      </c>
      <c r="D26" s="26"/>
      <c r="E26" s="549">
        <f>'EXHIBIT D'!G223+'EXHIBIT D'!G224</f>
        <v>0</v>
      </c>
    </row>
    <row r="27" spans="2:7" ht="25.35" customHeight="1">
      <c r="B27" s="26"/>
      <c r="D27" s="26"/>
      <c r="E27" s="158"/>
    </row>
    <row r="28" spans="2:7" ht="25.35" customHeight="1">
      <c r="B28" s="26" t="s">
        <v>240</v>
      </c>
      <c r="C28" s="26"/>
      <c r="D28" s="26"/>
      <c r="E28" s="551">
        <f>+E26+E25</f>
        <v>69828444</v>
      </c>
    </row>
    <row r="29" spans="2:7" ht="25.35" customHeight="1">
      <c r="B29" s="26"/>
      <c r="C29" s="26"/>
      <c r="D29" s="26"/>
      <c r="E29" s="154"/>
    </row>
    <row r="30" spans="2:7" ht="25.35" customHeight="1">
      <c r="B30" s="26" t="s">
        <v>241</v>
      </c>
      <c r="C30" s="26"/>
      <c r="D30" s="26"/>
      <c r="E30" s="154"/>
    </row>
    <row r="31" spans="2:7" ht="25.35" customHeight="1">
      <c r="B31" s="26"/>
      <c r="C31" s="26"/>
      <c r="D31" s="26"/>
      <c r="E31" s="154"/>
    </row>
    <row r="32" spans="2:7" ht="25.35" customHeight="1">
      <c r="B32" s="16" t="s">
        <v>242</v>
      </c>
      <c r="C32" s="26"/>
      <c r="D32" s="155">
        <f>+E23-E28</f>
        <v>-8461180</v>
      </c>
      <c r="E32" s="154"/>
    </row>
    <row r="33" spans="2:10" ht="25.35" customHeight="1">
      <c r="B33" s="16" t="s">
        <v>243</v>
      </c>
      <c r="C33" s="26"/>
      <c r="D33" s="552">
        <f>+'EXHIBIT D'!G187</f>
        <v>340000</v>
      </c>
      <c r="E33" s="154"/>
    </row>
    <row r="34" spans="2:10" ht="25.35" customHeight="1">
      <c r="B34" s="26"/>
      <c r="D34" s="26"/>
      <c r="E34" s="154"/>
      <c r="J34" s="156"/>
    </row>
    <row r="35" spans="2:10" ht="25.35" customHeight="1">
      <c r="B35" s="16" t="s">
        <v>244</v>
      </c>
      <c r="C35" s="26"/>
      <c r="D35" s="26"/>
      <c r="E35" s="157">
        <f>+D32+D33</f>
        <v>-8121180</v>
      </c>
    </row>
    <row r="36" spans="2:10" ht="25.35" customHeight="1">
      <c r="B36" s="16" t="s">
        <v>245</v>
      </c>
      <c r="C36" s="26"/>
      <c r="D36" s="26"/>
      <c r="E36" s="550">
        <f>-'EXHIBIT D'!G265</f>
        <v>25079932</v>
      </c>
      <c r="J36" s="46"/>
    </row>
    <row r="37" spans="2:10" ht="25.35" customHeight="1">
      <c r="D37" s="26"/>
      <c r="E37" s="157"/>
    </row>
    <row r="38" spans="2:10" ht="25.35" customHeight="1">
      <c r="B38" s="26" t="s">
        <v>246</v>
      </c>
      <c r="D38" s="26"/>
      <c r="E38" s="549">
        <f>+E35-E36</f>
        <v>-33201112</v>
      </c>
    </row>
    <row r="39" spans="2:10" ht="25.35" customHeight="1">
      <c r="B39" s="26"/>
      <c r="C39" s="26"/>
      <c r="D39" s="26"/>
      <c r="E39" s="158"/>
    </row>
    <row r="40" spans="2:10" ht="25.35" customHeight="1">
      <c r="B40" s="16" t="s">
        <v>247</v>
      </c>
      <c r="C40" s="26"/>
      <c r="D40" s="26"/>
      <c r="E40" s="551">
        <f>'EXHIBIT D'!G254+'EXHIBIT D'!G255+'EXHIBIT D'!G256+'EXHIBIT D'!G257+'EXHIBIT D'!G258+'EXHIBIT D'!G259+'EXHIBIT D'!G260+'EXHIBIT D'!G261</f>
        <v>16514079</v>
      </c>
    </row>
    <row r="41" spans="2:10" ht="25.35" customHeight="1">
      <c r="B41" s="16" t="s">
        <v>248</v>
      </c>
      <c r="D41" s="26"/>
      <c r="E41" s="159"/>
    </row>
    <row r="42" spans="2:10" ht="25.35" customHeight="1">
      <c r="D42" s="26"/>
      <c r="E42" s="160"/>
    </row>
    <row r="43" spans="2:10" ht="25.35" customHeight="1">
      <c r="B43" s="26" t="s">
        <v>249</v>
      </c>
      <c r="D43" s="26"/>
      <c r="E43" s="160"/>
    </row>
    <row r="44" spans="2:10" ht="25.35" customHeight="1">
      <c r="B44" s="26" t="s">
        <v>250</v>
      </c>
      <c r="C44" s="26"/>
      <c r="D44" s="26"/>
      <c r="E44" s="553">
        <f>+E40/E23</f>
        <v>0.26910241590695649</v>
      </c>
    </row>
    <row r="45" spans="2:10" ht="25.35" customHeight="1">
      <c r="B45" s="26"/>
      <c r="C45" s="26"/>
      <c r="D45" s="26"/>
      <c r="E45" s="160"/>
    </row>
    <row r="46" spans="2:10" ht="25.35" customHeight="1">
      <c r="B46" s="26" t="s">
        <v>251</v>
      </c>
      <c r="C46" s="26"/>
      <c r="D46" s="26"/>
      <c r="E46" s="160"/>
    </row>
    <row r="47" spans="2:10" ht="25.35" customHeight="1">
      <c r="B47" s="26"/>
      <c r="C47" s="26"/>
      <c r="D47" s="26"/>
      <c r="E47" s="160"/>
    </row>
    <row r="48" spans="2:10" ht="25.35" customHeight="1">
      <c r="B48" s="26"/>
      <c r="C48" s="26"/>
      <c r="D48" s="26"/>
      <c r="E48" s="160"/>
    </row>
    <row r="49" spans="2:5" ht="25.35" customHeight="1">
      <c r="B49" s="26"/>
      <c r="C49" s="26"/>
      <c r="D49" s="26"/>
      <c r="E49" s="160"/>
    </row>
    <row r="50" spans="2:5" ht="25.35" customHeight="1">
      <c r="B50" s="554"/>
      <c r="C50" s="554"/>
      <c r="D50" s="26"/>
      <c r="E50" s="555"/>
    </row>
    <row r="51" spans="2:5" ht="25.35" customHeight="1">
      <c r="B51" s="26" t="s">
        <v>252</v>
      </c>
      <c r="E51" s="161" t="s">
        <v>253</v>
      </c>
    </row>
    <row r="52" spans="2:5" ht="15.75" customHeight="1">
      <c r="C52" s="26"/>
      <c r="E52" s="162"/>
    </row>
    <row r="53" spans="2:5" ht="15.75" customHeight="1">
      <c r="E53" s="16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jsjQigjT7LiZTIH9ZkLTm+bKFpi3hcyM7lfAi/07tz2vRJsAwkRGMn6GChK8v5xaziD73blDlJvlZY3tXD0sdw==" saltValue="NN1m+f6diIRz+tabAXhhP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68" customWidth="1"/>
    <col min="2" max="2" width="18" style="168" customWidth="1"/>
    <col min="3" max="4" width="16.42578125" style="168" customWidth="1"/>
    <col min="5" max="6" width="22.42578125" style="168" customWidth="1"/>
    <col min="7" max="7" width="21.28515625" style="168" customWidth="1"/>
    <col min="8" max="8" width="20.28515625" style="168" bestFit="1" customWidth="1"/>
    <col min="9" max="9" width="20.28515625" style="168" customWidth="1"/>
    <col min="10" max="10" width="2" style="168" customWidth="1"/>
    <col min="11" max="11" width="21" style="168" bestFit="1" customWidth="1"/>
    <col min="12" max="12" width="19.140625" style="168" customWidth="1"/>
    <col min="13" max="13" width="5.7109375" style="168" customWidth="1"/>
    <col min="14" max="16384" width="9.140625" style="168"/>
  </cols>
  <sheetData>
    <row r="1" spans="1:18" s="273" customFormat="1" ht="23.1" customHeight="1">
      <c r="I1" s="314" t="s">
        <v>254</v>
      </c>
      <c r="L1" s="314"/>
      <c r="M1" s="314"/>
      <c r="N1" s="314"/>
      <c r="O1" s="314"/>
      <c r="P1" s="314"/>
      <c r="Q1" s="314"/>
      <c r="R1" s="314"/>
    </row>
    <row r="2" spans="1:18" s="273" customFormat="1" ht="20.100000000000001" customHeight="1"/>
    <row r="3" spans="1:18" s="273" customFormat="1" ht="20.100000000000001" customHeight="1">
      <c r="A3" s="773" t="s">
        <v>10</v>
      </c>
      <c r="B3" s="773"/>
      <c r="C3" s="773"/>
      <c r="D3" s="773"/>
      <c r="E3" s="773"/>
      <c r="F3" s="773"/>
      <c r="G3" s="773"/>
      <c r="H3" s="773"/>
      <c r="I3" s="461"/>
      <c r="J3" s="272"/>
      <c r="K3" s="272"/>
    </row>
    <row r="4" spans="1:18" s="273" customFormat="1" ht="20.100000000000001" customHeight="1">
      <c r="A4" s="773" t="s">
        <v>225</v>
      </c>
      <c r="B4" s="773"/>
      <c r="C4" s="773"/>
      <c r="D4" s="773"/>
      <c r="E4" s="773"/>
      <c r="F4" s="773"/>
      <c r="G4" s="773"/>
      <c r="H4" s="773"/>
      <c r="I4" s="461"/>
    </row>
    <row r="5" spans="1:18" s="273" customFormat="1" ht="24" customHeight="1">
      <c r="A5" s="773" t="s">
        <v>255</v>
      </c>
      <c r="B5" s="773"/>
      <c r="C5" s="773"/>
      <c r="D5" s="773"/>
      <c r="E5" s="773"/>
      <c r="F5" s="773"/>
      <c r="G5" s="773"/>
      <c r="H5" s="773"/>
      <c r="I5" s="461"/>
    </row>
    <row r="6" spans="1:18" s="273" customFormat="1" ht="24" customHeight="1">
      <c r="A6" s="773" t="s">
        <v>256</v>
      </c>
      <c r="B6" s="773"/>
      <c r="C6" s="773"/>
      <c r="D6" s="773"/>
      <c r="E6" s="773"/>
      <c r="F6" s="773"/>
      <c r="G6" s="773"/>
      <c r="H6" s="773"/>
      <c r="I6" s="461"/>
    </row>
    <row r="7" spans="1:18" s="273" customFormat="1" ht="20.100000000000001" customHeight="1">
      <c r="A7" s="773"/>
      <c r="B7" s="773"/>
      <c r="C7" s="773"/>
      <c r="D7" s="773"/>
      <c r="E7" s="773"/>
      <c r="F7" s="773"/>
      <c r="G7" s="773"/>
      <c r="H7" s="773"/>
      <c r="I7" s="461"/>
    </row>
    <row r="8" spans="1:18" s="273" customFormat="1" ht="25.35" customHeight="1" thickBot="1">
      <c r="A8" s="773"/>
      <c r="B8" s="775"/>
      <c r="C8" s="773" t="s">
        <v>228</v>
      </c>
      <c r="D8" s="1061" t="str">
        <f>'CHECK SHEET'!D7</f>
        <v>State College of Florida, Manatee-Sarasota</v>
      </c>
      <c r="E8" s="1061"/>
      <c r="F8" s="1061"/>
      <c r="G8" s="1061"/>
      <c r="H8" s="1061"/>
    </row>
    <row r="9" spans="1:18" s="16" customFormat="1" ht="20.100000000000001" customHeight="1"/>
    <row r="10" spans="1:18" s="16" customFormat="1" ht="20.100000000000001" customHeight="1">
      <c r="B10" s="26"/>
      <c r="C10" s="26"/>
      <c r="D10" s="26"/>
      <c r="E10" s="774"/>
      <c r="F10" s="29"/>
      <c r="G10" s="29"/>
    </row>
    <row r="11" spans="1:18" s="16" customFormat="1" ht="20.100000000000001" customHeight="1">
      <c r="B11" s="709" t="s">
        <v>257</v>
      </c>
      <c r="C11" s="709"/>
      <c r="D11" s="26"/>
      <c r="E11" s="26"/>
    </row>
    <row r="12" spans="1:18" s="16" customFormat="1" ht="20.100000000000001" customHeight="1" thickBot="1">
      <c r="B12" s="1062" t="s">
        <v>258</v>
      </c>
      <c r="C12" s="1062"/>
      <c r="D12" s="1062"/>
      <c r="E12" s="1062"/>
      <c r="J12" s="26"/>
    </row>
    <row r="13" spans="1:18" s="16" customFormat="1" ht="105.75" customHeight="1" thickBot="1">
      <c r="A13" s="317" t="s">
        <v>259</v>
      </c>
      <c r="B13" s="294" t="s">
        <v>260</v>
      </c>
      <c r="C13" s="712" t="s">
        <v>261</v>
      </c>
      <c r="D13" s="294" t="s">
        <v>262</v>
      </c>
      <c r="E13" s="294" t="s">
        <v>263</v>
      </c>
      <c r="F13" s="711" t="s">
        <v>264</v>
      </c>
      <c r="G13" s="294" t="s">
        <v>52</v>
      </c>
      <c r="H13" s="712" t="s">
        <v>265</v>
      </c>
      <c r="J13" s="26"/>
    </row>
    <row r="14" spans="1:18" s="16" customFormat="1" ht="20.100000000000001" customHeight="1">
      <c r="A14" s="26" t="s">
        <v>266</v>
      </c>
      <c r="B14" s="1063">
        <v>91.79</v>
      </c>
      <c r="C14" s="1063">
        <v>4.37</v>
      </c>
      <c r="D14" s="1063">
        <v>6.55</v>
      </c>
      <c r="E14" s="1063">
        <v>6.56</v>
      </c>
      <c r="F14" s="1063">
        <v>2.81</v>
      </c>
      <c r="G14" s="1064">
        <f>SUM(B14:F14)</f>
        <v>112.08000000000001</v>
      </c>
      <c r="H14" s="342">
        <f>G14*30</f>
        <v>3362.4000000000005</v>
      </c>
    </row>
    <row r="15" spans="1:18" s="16" customFormat="1" ht="20.100000000000001" customHeight="1">
      <c r="A15" s="26" t="s">
        <v>267</v>
      </c>
      <c r="B15" s="819">
        <v>78.84</v>
      </c>
      <c r="C15" s="819">
        <v>3.94</v>
      </c>
      <c r="D15" s="819">
        <v>7.88</v>
      </c>
      <c r="E15" s="819">
        <v>7.88</v>
      </c>
      <c r="F15" s="819">
        <v>3.94</v>
      </c>
      <c r="G15" s="1064">
        <f>SUM(B15:F15)</f>
        <v>102.47999999999999</v>
      </c>
      <c r="H15" s="318">
        <f>G15*30</f>
        <v>3074.3999999999996</v>
      </c>
    </row>
    <row r="16" spans="1:18" s="16" customFormat="1" ht="20.100000000000001" customHeight="1" thickBot="1">
      <c r="A16" s="26" t="s">
        <v>169</v>
      </c>
      <c r="B16" s="820">
        <v>0</v>
      </c>
      <c r="C16" s="820">
        <v>0</v>
      </c>
      <c r="D16" s="1065"/>
      <c r="E16" s="820">
        <v>0</v>
      </c>
      <c r="F16" s="820">
        <v>0</v>
      </c>
      <c r="G16" s="1066">
        <f>SUM(B16:F16)</f>
        <v>0</v>
      </c>
      <c r="H16" s="1067">
        <f>G16*30</f>
        <v>0</v>
      </c>
    </row>
    <row r="17" spans="1:11" s="16" customFormat="1" ht="20.100000000000001" customHeight="1" thickBot="1">
      <c r="A17" s="282"/>
      <c r="B17" s="335"/>
      <c r="C17" s="505"/>
      <c r="D17" s="505"/>
      <c r="E17" s="505"/>
      <c r="F17" s="505"/>
      <c r="G17" s="341"/>
      <c r="H17" s="319"/>
    </row>
    <row r="18" spans="1:11" s="16" customFormat="1" ht="65.099999999999994" customHeight="1" thickBot="1">
      <c r="A18" s="1068" t="s">
        <v>259</v>
      </c>
      <c r="B18" s="294" t="s">
        <v>268</v>
      </c>
      <c r="C18" s="344"/>
      <c r="D18" s="344"/>
      <c r="E18" s="344"/>
      <c r="F18" s="344"/>
      <c r="G18" s="340" t="s">
        <v>52</v>
      </c>
      <c r="H18" s="712" t="s">
        <v>269</v>
      </c>
    </row>
    <row r="19" spans="1:11" s="16" customFormat="1" ht="20.100000000000001" customHeight="1">
      <c r="A19" s="26" t="s">
        <v>270</v>
      </c>
      <c r="B19" s="1069">
        <v>0</v>
      </c>
      <c r="C19" s="343"/>
      <c r="D19" s="343"/>
      <c r="E19" s="343"/>
      <c r="F19" s="343"/>
      <c r="G19" s="1064">
        <f>B19</f>
        <v>0</v>
      </c>
      <c r="H19" s="573">
        <f>G19*3</f>
        <v>0</v>
      </c>
    </row>
    <row r="20" spans="1:11" s="16" customFormat="1" ht="20.100000000000001" customHeight="1" thickBot="1">
      <c r="A20" s="26" t="s">
        <v>271</v>
      </c>
      <c r="B20" s="1070">
        <v>0</v>
      </c>
      <c r="C20" s="1071"/>
      <c r="D20" s="1071"/>
      <c r="E20" s="1071"/>
      <c r="F20" s="1071"/>
      <c r="G20" s="320">
        <f>B20</f>
        <v>0</v>
      </c>
      <c r="H20" s="537">
        <f>G20*3</f>
        <v>0</v>
      </c>
    </row>
    <row r="21" spans="1:11" s="16" customFormat="1" ht="20.100000000000001" customHeight="1" thickBot="1">
      <c r="A21" s="321"/>
      <c r="B21" s="335"/>
      <c r="C21" s="282"/>
      <c r="D21" s="282"/>
      <c r="E21" s="282"/>
      <c r="F21" s="282"/>
      <c r="G21" s="341"/>
      <c r="H21" s="319"/>
    </row>
    <row r="22" spans="1:11" s="16" customFormat="1" ht="20.100000000000001" customHeight="1">
      <c r="A22" s="26" t="s">
        <v>272</v>
      </c>
      <c r="B22" s="409">
        <v>0</v>
      </c>
      <c r="C22" s="506"/>
      <c r="D22" s="506"/>
      <c r="E22" s="506"/>
      <c r="F22" s="506"/>
      <c r="G22" s="322">
        <f>B22</f>
        <v>0</v>
      </c>
      <c r="H22" s="339">
        <f>G22*2</f>
        <v>0</v>
      </c>
    </row>
    <row r="23" spans="1:11" s="16" customFormat="1" ht="20.100000000000001" customHeight="1" thickBot="1">
      <c r="A23" s="26" t="s">
        <v>273</v>
      </c>
      <c r="B23" s="1072">
        <v>0</v>
      </c>
      <c r="C23" s="1071"/>
      <c r="D23" s="1071"/>
      <c r="E23" s="1071"/>
      <c r="F23" s="1071"/>
      <c r="G23" s="1073">
        <f>B23</f>
        <v>0</v>
      </c>
      <c r="H23" s="1067">
        <f>G23*2</f>
        <v>0</v>
      </c>
      <c r="J23" s="323"/>
      <c r="K23" s="323"/>
    </row>
    <row r="24" spans="1:11" s="16" customFormat="1" ht="25.35" customHeight="1">
      <c r="B24" s="323"/>
      <c r="C24" s="26"/>
      <c r="D24" s="26"/>
      <c r="E24" s="26"/>
      <c r="F24" s="26"/>
      <c r="G24" s="323"/>
      <c r="H24" s="323"/>
      <c r="I24" s="323"/>
      <c r="J24" s="323"/>
      <c r="K24" s="323"/>
    </row>
    <row r="25" spans="1:11" s="16" customFormat="1" ht="13.5" customHeight="1">
      <c r="A25" s="26"/>
      <c r="B25" s="323"/>
      <c r="C25" s="323"/>
      <c r="D25" s="323"/>
      <c r="E25" s="323"/>
      <c r="F25" s="323"/>
      <c r="G25" s="323"/>
      <c r="H25" s="323"/>
      <c r="I25" s="323"/>
      <c r="J25" s="323"/>
      <c r="K25" s="323"/>
    </row>
    <row r="26" spans="1:11" s="16" customFormat="1" ht="20.100000000000001" customHeight="1">
      <c r="B26" s="26" t="s">
        <v>274</v>
      </c>
      <c r="C26" s="26"/>
      <c r="D26" s="26"/>
      <c r="E26" s="26"/>
      <c r="F26" s="323"/>
      <c r="G26" s="323"/>
      <c r="H26" s="323"/>
      <c r="I26" s="323"/>
      <c r="J26" s="323"/>
      <c r="K26" s="323"/>
    </row>
    <row r="27" spans="1:11" s="16" customFormat="1" ht="20.100000000000001" customHeight="1" thickBot="1">
      <c r="A27" s="26"/>
      <c r="B27" s="26" t="s">
        <v>258</v>
      </c>
      <c r="C27" s="26"/>
      <c r="D27" s="26"/>
      <c r="E27" s="26"/>
      <c r="F27" s="323"/>
      <c r="G27" s="323"/>
      <c r="H27" s="323"/>
      <c r="I27" s="323"/>
    </row>
    <row r="28" spans="1:11" s="16" customFormat="1" ht="108" customHeight="1" thickBot="1">
      <c r="A28" s="317" t="s">
        <v>259</v>
      </c>
      <c r="B28" s="275" t="s">
        <v>260</v>
      </c>
      <c r="C28" s="294" t="s">
        <v>275</v>
      </c>
      <c r="D28" s="294" t="s">
        <v>261</v>
      </c>
      <c r="E28" s="294" t="s">
        <v>262</v>
      </c>
      <c r="F28" s="294" t="s">
        <v>263</v>
      </c>
      <c r="G28" s="711" t="s">
        <v>264</v>
      </c>
      <c r="H28" s="294" t="s">
        <v>52</v>
      </c>
      <c r="I28" s="712" t="s">
        <v>265</v>
      </c>
      <c r="J28" s="26"/>
      <c r="K28" s="26"/>
    </row>
    <row r="29" spans="1:11" s="16" customFormat="1" ht="20.100000000000001" customHeight="1">
      <c r="A29" s="26" t="str">
        <f t="shared" ref="A29:B31" si="0">A14</f>
        <v>UPPER LEVEL - BACCALAUREATE</v>
      </c>
      <c r="B29" s="324">
        <f t="shared" si="0"/>
        <v>91.79</v>
      </c>
      <c r="C29" s="1063">
        <v>275</v>
      </c>
      <c r="D29" s="1063">
        <v>18.12</v>
      </c>
      <c r="E29" s="507">
        <f>D14</f>
        <v>6.55</v>
      </c>
      <c r="F29" s="1063">
        <v>34.06</v>
      </c>
      <c r="G29" s="1063">
        <v>16.559999999999999</v>
      </c>
      <c r="H29" s="325">
        <f>SUM(B29:G29)</f>
        <v>442.08000000000004</v>
      </c>
      <c r="I29" s="336">
        <f>H29*30</f>
        <v>13262.400000000001</v>
      </c>
    </row>
    <row r="30" spans="1:11" s="16" customFormat="1" ht="20.100000000000001" customHeight="1">
      <c r="A30" s="26" t="str">
        <f t="shared" si="0"/>
        <v>LOWER LEVEL - CREDIT (A &amp; P, PSV, DEVELOPMENTAL EDUCATION AND EPI)</v>
      </c>
      <c r="B30" s="1074">
        <f t="shared" si="0"/>
        <v>78.84</v>
      </c>
      <c r="C30" s="821">
        <v>236.69</v>
      </c>
      <c r="D30" s="821">
        <v>15.78</v>
      </c>
      <c r="E30" s="1075">
        <f>D15</f>
        <v>7.88</v>
      </c>
      <c r="F30" s="821">
        <v>31.55</v>
      </c>
      <c r="G30" s="821">
        <v>15.78</v>
      </c>
      <c r="H30" s="1064">
        <f>SUM(B30:G30)</f>
        <v>386.51999999999992</v>
      </c>
      <c r="I30" s="318">
        <f>H30*30</f>
        <v>11595.599999999999</v>
      </c>
    </row>
    <row r="31" spans="1:11" s="16" customFormat="1" ht="20.100000000000001" customHeight="1">
      <c r="A31" s="26" t="str">
        <f t="shared" si="0"/>
        <v>CAREER CERTIFICATE AND APPLIED TECHNOLOGY DIPLOMA</v>
      </c>
      <c r="B31" s="985">
        <f t="shared" si="0"/>
        <v>0</v>
      </c>
      <c r="C31" s="819">
        <v>0</v>
      </c>
      <c r="D31" s="819">
        <v>0</v>
      </c>
      <c r="E31" s="986"/>
      <c r="F31" s="819">
        <v>0</v>
      </c>
      <c r="G31" s="819">
        <v>0</v>
      </c>
      <c r="H31" s="987">
        <f>SUM(B31:G31)</f>
        <v>0</v>
      </c>
      <c r="I31" s="987">
        <f>H31*30</f>
        <v>0</v>
      </c>
    </row>
    <row r="32" spans="1:11" s="16" customFormat="1" ht="20.100000000000001" customHeight="1" thickBot="1">
      <c r="A32" s="26" t="s">
        <v>276</v>
      </c>
      <c r="B32" s="1076">
        <v>0</v>
      </c>
      <c r="C32" s="999">
        <v>0</v>
      </c>
      <c r="D32" s="999">
        <v>0</v>
      </c>
      <c r="E32" s="1000"/>
      <c r="F32" s="999">
        <v>0</v>
      </c>
      <c r="G32" s="999">
        <v>0</v>
      </c>
      <c r="H32" s="987">
        <f>SUM(B32:G32)</f>
        <v>0</v>
      </c>
      <c r="I32" s="987">
        <f>H32*30</f>
        <v>0</v>
      </c>
    </row>
    <row r="33" spans="1:11" s="16" customFormat="1" ht="20.100000000000001" customHeight="1" thickBot="1">
      <c r="A33" s="321"/>
      <c r="B33" s="282"/>
      <c r="C33" s="282"/>
      <c r="D33" s="282"/>
      <c r="E33" s="282"/>
      <c r="F33" s="282"/>
      <c r="G33" s="282"/>
      <c r="H33" s="282"/>
      <c r="I33" s="326"/>
    </row>
    <row r="34" spans="1:11" s="16" customFormat="1" ht="65.099999999999994" customHeight="1" thickBot="1">
      <c r="A34" s="1068" t="s">
        <v>259</v>
      </c>
      <c r="B34" s="294" t="s">
        <v>268</v>
      </c>
      <c r="C34" s="282"/>
      <c r="D34" s="282"/>
      <c r="E34" s="282"/>
      <c r="F34" s="282"/>
      <c r="G34" s="282"/>
      <c r="H34" s="294" t="s">
        <v>52</v>
      </c>
      <c r="I34" s="712" t="s">
        <v>269</v>
      </c>
    </row>
    <row r="35" spans="1:11" s="16" customFormat="1" ht="20.100000000000001" customHeight="1">
      <c r="A35" s="26" t="str">
        <f>A19</f>
        <v>VOCATIONAL PREPARATORY (PER TERM)</v>
      </c>
      <c r="B35" s="327">
        <f>B19</f>
        <v>0</v>
      </c>
      <c r="C35" s="343"/>
      <c r="D35" s="343"/>
      <c r="E35" s="343"/>
      <c r="F35" s="343"/>
      <c r="G35" s="343"/>
      <c r="H35" s="1077">
        <f>B35</f>
        <v>0</v>
      </c>
      <c r="I35" s="337">
        <f>H35*3</f>
        <v>0</v>
      </c>
      <c r="J35" s="323"/>
      <c r="K35" s="323"/>
    </row>
    <row r="36" spans="1:11" s="16" customFormat="1" ht="20.100000000000001" customHeight="1" thickBot="1">
      <c r="A36" s="26" t="str">
        <f>A20</f>
        <v>ADULT GENERAL EDUCATION AND SECONDARY (PER TERM)</v>
      </c>
      <c r="B36" s="1078">
        <f>B20</f>
        <v>0</v>
      </c>
      <c r="C36" s="1071"/>
      <c r="D36" s="1071"/>
      <c r="E36" s="1071"/>
      <c r="F36" s="1071"/>
      <c r="G36" s="1071"/>
      <c r="H36" s="1079">
        <f>B36</f>
        <v>0</v>
      </c>
      <c r="I36" s="1080">
        <f>H36*3</f>
        <v>0</v>
      </c>
    </row>
    <row r="37" spans="1:11" s="16" customFormat="1" ht="20.100000000000001" customHeight="1" thickBot="1">
      <c r="A37" s="321"/>
      <c r="B37" s="410"/>
      <c r="C37" s="282"/>
      <c r="D37" s="282"/>
      <c r="E37" s="282"/>
      <c r="F37" s="282"/>
      <c r="G37" s="282"/>
      <c r="H37" s="410"/>
      <c r="I37" s="411"/>
    </row>
    <row r="38" spans="1:11" s="16" customFormat="1" ht="20.100000000000001" customHeight="1">
      <c r="A38" s="26" t="str">
        <f>A22</f>
        <v>VOCATIONAL PREPARATORY (PER HALF YEAR)</v>
      </c>
      <c r="B38" s="327">
        <f>B22</f>
        <v>0</v>
      </c>
      <c r="C38" s="506"/>
      <c r="D38" s="506"/>
      <c r="E38" s="506"/>
      <c r="F38" s="506"/>
      <c r="G38" s="506"/>
      <c r="H38" s="325">
        <f>B38</f>
        <v>0</v>
      </c>
      <c r="I38" s="336">
        <f>H38*2</f>
        <v>0</v>
      </c>
    </row>
    <row r="39" spans="1:11" s="16" customFormat="1" ht="20.100000000000001" customHeight="1" thickBot="1">
      <c r="A39" s="26" t="str">
        <f>A23</f>
        <v>ADULT GENERAL EDUCATION AND SECONDARY (PER HALF YEAR)</v>
      </c>
      <c r="B39" s="1078">
        <f>B23</f>
        <v>0</v>
      </c>
      <c r="C39" s="1071"/>
      <c r="D39" s="1071"/>
      <c r="E39" s="1071"/>
      <c r="F39" s="1071"/>
      <c r="G39" s="1071"/>
      <c r="H39" s="1081">
        <f>B39</f>
        <v>0</v>
      </c>
      <c r="I39" s="338">
        <f>H39*2</f>
        <v>0</v>
      </c>
    </row>
    <row r="40" spans="1:11" s="16" customFormat="1" ht="20.100000000000001" customHeight="1">
      <c r="A40" s="26"/>
      <c r="B40" s="328"/>
    </row>
    <row r="41" spans="1:11" ht="26.25" customHeight="1">
      <c r="A41" s="169" t="s">
        <v>277</v>
      </c>
      <c r="B41" s="776"/>
      <c r="C41" s="776"/>
      <c r="D41" s="776"/>
      <c r="E41" s="776"/>
      <c r="F41" s="776"/>
      <c r="G41" s="776"/>
      <c r="H41" s="776"/>
      <c r="I41" s="776"/>
      <c r="J41" s="165"/>
    </row>
    <row r="42" spans="1:11" ht="20.25" customHeight="1">
      <c r="A42" s="16" t="s">
        <v>278</v>
      </c>
      <c r="B42" s="167"/>
      <c r="C42" s="167"/>
      <c r="D42" s="167"/>
      <c r="E42" s="167"/>
      <c r="F42" s="167"/>
      <c r="G42" s="167"/>
      <c r="H42" s="167"/>
      <c r="I42" s="167"/>
    </row>
    <row r="43" spans="1:11" ht="20.25" customHeight="1">
      <c r="A43" s="16" t="s">
        <v>279</v>
      </c>
      <c r="B43" s="167"/>
      <c r="C43" s="167"/>
      <c r="D43" s="167"/>
      <c r="E43" s="167"/>
      <c r="F43" s="167"/>
      <c r="G43" s="167"/>
      <c r="H43" s="167"/>
      <c r="I43" s="167"/>
    </row>
    <row r="44" spans="1:11" ht="20.25" customHeight="1">
      <c r="A44" s="16" t="s">
        <v>280</v>
      </c>
      <c r="B44" s="167"/>
      <c r="C44" s="167"/>
      <c r="D44" s="167"/>
      <c r="E44" s="167"/>
      <c r="F44" s="167"/>
      <c r="G44" s="167"/>
      <c r="H44" s="167"/>
      <c r="I44" s="167"/>
    </row>
    <row r="45" spans="1:11" ht="20.25" customHeight="1">
      <c r="A45" s="16" t="s">
        <v>281</v>
      </c>
      <c r="B45" s="167"/>
      <c r="C45" s="167"/>
      <c r="D45" s="167"/>
      <c r="E45" s="167"/>
      <c r="F45" s="167"/>
      <c r="G45" s="167"/>
      <c r="H45" s="167"/>
      <c r="I45" s="167"/>
    </row>
    <row r="46" spans="1:11" ht="20.25" customHeight="1">
      <c r="A46" s="167"/>
      <c r="B46" s="167"/>
      <c r="C46" s="167"/>
      <c r="D46" s="167"/>
      <c r="E46" s="167"/>
      <c r="F46" s="167"/>
      <c r="G46" s="167"/>
      <c r="H46" s="167"/>
      <c r="I46" s="167"/>
    </row>
    <row r="47" spans="1:11" ht="20.25" customHeight="1">
      <c r="A47" s="167"/>
      <c r="B47" s="167"/>
      <c r="C47" s="167"/>
      <c r="D47" s="167"/>
      <c r="E47" s="167"/>
      <c r="F47" s="167"/>
      <c r="G47" s="167"/>
      <c r="H47" s="167"/>
      <c r="I47" s="167"/>
    </row>
    <row r="48" spans="1:11" ht="20.25" customHeight="1">
      <c r="A48" s="167"/>
      <c r="B48" s="167"/>
      <c r="C48" s="167"/>
      <c r="D48" s="167"/>
      <c r="E48" s="167"/>
      <c r="F48" s="167"/>
      <c r="G48" s="167"/>
      <c r="H48" s="167"/>
      <c r="I48" s="167"/>
    </row>
    <row r="49" spans="1:9" ht="20.25" customHeight="1">
      <c r="A49" s="167"/>
      <c r="B49" s="167"/>
      <c r="C49" s="167"/>
      <c r="D49" s="167"/>
      <c r="E49" s="167"/>
      <c r="F49" s="167"/>
      <c r="G49" s="167"/>
      <c r="H49" s="167"/>
      <c r="I49" s="167"/>
    </row>
    <row r="50" spans="1:9" ht="20.25" customHeight="1">
      <c r="A50" s="167"/>
      <c r="B50" s="167"/>
      <c r="C50" s="167"/>
      <c r="D50" s="167"/>
      <c r="E50" s="167"/>
      <c r="F50" s="167"/>
      <c r="G50" s="167"/>
      <c r="H50" s="167"/>
      <c r="I50" s="167"/>
    </row>
    <row r="51" spans="1:9" ht="20.25" customHeight="1">
      <c r="A51" s="167"/>
      <c r="B51" s="167"/>
      <c r="C51" s="167"/>
      <c r="D51" s="167"/>
      <c r="E51" s="167"/>
      <c r="F51" s="167"/>
      <c r="G51" s="167"/>
      <c r="H51" s="167"/>
      <c r="I51" s="167"/>
    </row>
    <row r="52" spans="1:9" ht="20.25" customHeight="1">
      <c r="A52" s="167"/>
      <c r="B52" s="167"/>
      <c r="C52" s="167"/>
      <c r="D52" s="167"/>
      <c r="E52" s="167"/>
      <c r="F52" s="167"/>
      <c r="G52" s="167"/>
      <c r="H52" s="167"/>
      <c r="I52" s="167"/>
    </row>
    <row r="53" spans="1:9" ht="20.25" customHeight="1">
      <c r="A53" s="167"/>
      <c r="B53" s="167"/>
      <c r="C53" s="167"/>
      <c r="D53" s="167"/>
      <c r="E53" s="167"/>
      <c r="F53" s="167"/>
      <c r="G53" s="167"/>
      <c r="H53" s="167"/>
      <c r="I53" s="167"/>
    </row>
    <row r="54" spans="1:9" ht="20.25" customHeight="1">
      <c r="A54" s="167"/>
      <c r="B54" s="167"/>
      <c r="C54" s="167"/>
      <c r="D54" s="167"/>
      <c r="E54" s="167"/>
      <c r="F54" s="167"/>
      <c r="G54" s="167"/>
      <c r="H54" s="167"/>
      <c r="I54" s="167"/>
    </row>
    <row r="55" spans="1:9" ht="20.25" customHeight="1">
      <c r="B55" s="167"/>
      <c r="C55" s="167"/>
      <c r="D55" s="167"/>
      <c r="E55" s="167"/>
      <c r="F55" s="167"/>
      <c r="G55" s="167"/>
      <c r="H55" s="167"/>
      <c r="I55" s="16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2jXNzODUO7PR1BLi0Xw9bRvmTk5brUoScHQglLOt2GzVYnCyv2WCyR0+xX2wqj6Yo8dy+e6Ct/SANqb69gE3Tw==" saltValue="ZskzTProvLfx2c6d+l4RMw=="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6" customWidth="1"/>
    <col min="2" max="2" width="81.140625" style="16" customWidth="1"/>
    <col min="3" max="3" width="18.7109375" style="16" customWidth="1"/>
    <col min="4" max="4" width="23.28515625" style="16" customWidth="1"/>
    <col min="5" max="5" width="29" style="16" customWidth="1"/>
    <col min="6" max="6" width="19.7109375" style="16" customWidth="1"/>
    <col min="7" max="8" width="20.42578125" style="16" customWidth="1"/>
    <col min="9" max="9" width="5.140625" style="16" customWidth="1"/>
    <col min="10" max="16384" width="9.140625" style="16"/>
  </cols>
  <sheetData>
    <row r="1" spans="1:9" ht="23.1" customHeight="1">
      <c r="H1" s="166" t="s">
        <v>282</v>
      </c>
    </row>
    <row r="2" spans="1:9" ht="20.100000000000001" customHeight="1">
      <c r="A2" s="778" t="s">
        <v>10</v>
      </c>
      <c r="B2" s="778"/>
      <c r="C2" s="778"/>
      <c r="D2" s="778"/>
      <c r="E2" s="778"/>
      <c r="F2" s="778"/>
      <c r="G2" s="778"/>
      <c r="H2" s="710"/>
      <c r="I2" s="26"/>
    </row>
    <row r="3" spans="1:9" ht="20.100000000000001" customHeight="1">
      <c r="A3" s="778" t="s">
        <v>283</v>
      </c>
      <c r="B3" s="778"/>
      <c r="C3" s="778"/>
      <c r="D3" s="778"/>
      <c r="E3" s="778"/>
      <c r="F3" s="778"/>
      <c r="G3" s="778"/>
      <c r="H3" s="710"/>
    </row>
    <row r="4" spans="1:9" ht="20.100000000000001" customHeight="1">
      <c r="A4" s="310"/>
      <c r="B4" s="310"/>
      <c r="C4" s="310"/>
      <c r="D4" s="310"/>
      <c r="E4" s="310"/>
      <c r="F4" s="310"/>
      <c r="G4" s="310"/>
      <c r="H4" s="274"/>
    </row>
    <row r="5" spans="1:9" ht="27.6" customHeight="1" thickBot="1">
      <c r="A5" s="778" t="s">
        <v>284</v>
      </c>
      <c r="B5" s="1082" t="str">
        <f>'CHECK SHEET'!D7</f>
        <v>State College of Florida, Manatee-Sarasota</v>
      </c>
      <c r="C5" s="1082"/>
      <c r="D5" s="1082"/>
      <c r="E5" s="1082"/>
      <c r="F5" s="1082"/>
      <c r="G5" s="310"/>
      <c r="H5" s="777"/>
    </row>
    <row r="6" spans="1:9" ht="20.100000000000001" customHeight="1">
      <c r="A6" s="310"/>
      <c r="B6" s="310"/>
      <c r="C6" s="310"/>
      <c r="D6" s="310"/>
      <c r="E6" s="310"/>
      <c r="F6" s="310"/>
      <c r="G6" s="310"/>
      <c r="H6" s="777"/>
    </row>
    <row r="7" spans="1:9" ht="20.100000000000001" customHeight="1">
      <c r="A7" s="709" t="s">
        <v>285</v>
      </c>
      <c r="B7" s="709"/>
      <c r="C7" s="709"/>
      <c r="D7" s="709"/>
      <c r="E7" s="709"/>
      <c r="F7" s="709"/>
      <c r="G7" s="709"/>
      <c r="H7" s="709"/>
    </row>
    <row r="8" spans="1:9" ht="20.100000000000001" customHeight="1" thickBot="1">
      <c r="C8" s="26"/>
    </row>
    <row r="9" spans="1:9" ht="85.5" customHeight="1" thickBot="1">
      <c r="A9" s="275" t="s">
        <v>286</v>
      </c>
      <c r="B9" s="275" t="s">
        <v>287</v>
      </c>
      <c r="C9" s="283" t="s">
        <v>288</v>
      </c>
      <c r="D9" s="283" t="s">
        <v>289</v>
      </c>
      <c r="E9" s="283" t="s">
        <v>290</v>
      </c>
      <c r="F9" s="283" t="s">
        <v>291</v>
      </c>
      <c r="G9" s="283" t="s">
        <v>292</v>
      </c>
      <c r="H9" s="284" t="s">
        <v>293</v>
      </c>
      <c r="I9" s="18"/>
    </row>
    <row r="10" spans="1:9" ht="20.100000000000001" customHeight="1">
      <c r="A10" s="508" t="s">
        <v>260</v>
      </c>
      <c r="B10" s="508" t="s">
        <v>294</v>
      </c>
      <c r="C10" s="509">
        <v>40101</v>
      </c>
      <c r="D10" s="601">
        <v>14584</v>
      </c>
      <c r="E10" s="510">
        <v>0</v>
      </c>
      <c r="F10" s="511">
        <f t="shared" ref="F10:F15" si="0">+D10-E10</f>
        <v>14584</v>
      </c>
      <c r="G10" s="511">
        <f>'EXHIBIT B'!B14</f>
        <v>91.79</v>
      </c>
      <c r="H10" s="512">
        <f t="shared" ref="H10:H15" si="1">ROUND(+F10*G10,0)</f>
        <v>1338665</v>
      </c>
    </row>
    <row r="11" spans="1:9" ht="20.100000000000001" customHeight="1">
      <c r="A11" s="602" t="s">
        <v>260</v>
      </c>
      <c r="B11" s="602" t="s">
        <v>167</v>
      </c>
      <c r="C11" s="603" t="s">
        <v>295</v>
      </c>
      <c r="D11" s="601">
        <v>129534.808</v>
      </c>
      <c r="E11" s="601">
        <v>0</v>
      </c>
      <c r="F11" s="604">
        <f t="shared" si="0"/>
        <v>129534.808</v>
      </c>
      <c r="G11" s="604">
        <f>+'EXHIBIT B'!B15</f>
        <v>78.84</v>
      </c>
      <c r="H11" s="605">
        <f t="shared" si="1"/>
        <v>10212524</v>
      </c>
    </row>
    <row r="12" spans="1:9" ht="20.100000000000001" customHeight="1">
      <c r="A12" s="602" t="s">
        <v>260</v>
      </c>
      <c r="B12" s="602" t="s">
        <v>168</v>
      </c>
      <c r="C12" s="603" t="s">
        <v>296</v>
      </c>
      <c r="D12" s="601">
        <v>19660.55</v>
      </c>
      <c r="E12" s="601">
        <v>0</v>
      </c>
      <c r="F12" s="604">
        <f t="shared" si="0"/>
        <v>19660.55</v>
      </c>
      <c r="G12" s="604">
        <f>+'EXHIBIT B'!B15</f>
        <v>78.84</v>
      </c>
      <c r="H12" s="605">
        <f t="shared" si="1"/>
        <v>1550038</v>
      </c>
    </row>
    <row r="13" spans="1:9" ht="20.100000000000001" customHeight="1">
      <c r="A13" s="602" t="s">
        <v>260</v>
      </c>
      <c r="B13" s="602" t="s">
        <v>169</v>
      </c>
      <c r="C13" s="603" t="s">
        <v>297</v>
      </c>
      <c r="D13" s="606">
        <v>0</v>
      </c>
      <c r="E13" s="606">
        <v>0</v>
      </c>
      <c r="F13" s="604">
        <f t="shared" si="0"/>
        <v>0</v>
      </c>
      <c r="G13" s="604">
        <f>+'EXHIBIT B'!B16</f>
        <v>0</v>
      </c>
      <c r="H13" s="605">
        <f t="shared" si="1"/>
        <v>0</v>
      </c>
    </row>
    <row r="14" spans="1:9" ht="20.100000000000001" customHeight="1">
      <c r="A14" s="602" t="s">
        <v>260</v>
      </c>
      <c r="B14" s="602" t="s">
        <v>170</v>
      </c>
      <c r="C14" s="603" t="s">
        <v>298</v>
      </c>
      <c r="D14" s="601">
        <v>4173.68</v>
      </c>
      <c r="E14" s="601">
        <v>0</v>
      </c>
      <c r="F14" s="604">
        <f t="shared" si="0"/>
        <v>4173.68</v>
      </c>
      <c r="G14" s="604">
        <f>+'EXHIBIT B'!B15</f>
        <v>78.84</v>
      </c>
      <c r="H14" s="605">
        <f t="shared" si="1"/>
        <v>329053</v>
      </c>
    </row>
    <row r="15" spans="1:9" ht="20.100000000000001" customHeight="1" thickBot="1">
      <c r="A15" s="607" t="s">
        <v>260</v>
      </c>
      <c r="B15" s="607" t="s">
        <v>171</v>
      </c>
      <c r="C15" s="608">
        <v>40160</v>
      </c>
      <c r="D15" s="609">
        <v>321.755</v>
      </c>
      <c r="E15" s="609">
        <v>0</v>
      </c>
      <c r="F15" s="610">
        <f t="shared" si="0"/>
        <v>321.755</v>
      </c>
      <c r="G15" s="610">
        <f>+'EXHIBIT B'!B15</f>
        <v>78.84</v>
      </c>
      <c r="H15" s="611">
        <f t="shared" si="1"/>
        <v>25367</v>
      </c>
    </row>
    <row r="16" spans="1:9" ht="24.95" customHeight="1" thickBot="1">
      <c r="A16" s="285"/>
      <c r="B16" s="285"/>
      <c r="C16" s="285"/>
      <c r="D16" s="286"/>
      <c r="E16" s="286"/>
      <c r="F16" s="287"/>
      <c r="G16" s="287"/>
      <c r="H16" s="288"/>
    </row>
    <row r="17" spans="1:9" ht="24.95" customHeight="1" thickBot="1">
      <c r="A17" s="289"/>
      <c r="B17" s="290" t="s">
        <v>299</v>
      </c>
      <c r="C17" s="290"/>
      <c r="D17" s="291">
        <f>SUM(D10:D15)</f>
        <v>168274.79300000001</v>
      </c>
      <c r="E17" s="291">
        <f>SUM(E10:E15)</f>
        <v>0</v>
      </c>
      <c r="F17" s="292">
        <f>SUM(F10:F15)</f>
        <v>168274.79300000001</v>
      </c>
      <c r="G17" s="292"/>
      <c r="H17" s="293">
        <f>SUM(H10:H15)</f>
        <v>13455647</v>
      </c>
    </row>
    <row r="18" spans="1:9" ht="88.35" customHeight="1" thickBot="1">
      <c r="A18" s="294" t="s">
        <v>300</v>
      </c>
      <c r="B18" s="275" t="s">
        <v>287</v>
      </c>
      <c r="C18" s="283" t="s">
        <v>288</v>
      </c>
      <c r="D18" s="294" t="s">
        <v>301</v>
      </c>
      <c r="E18" s="283" t="s">
        <v>292</v>
      </c>
      <c r="F18" s="284" t="s">
        <v>293</v>
      </c>
    </row>
    <row r="19" spans="1:9" ht="24.95" customHeight="1">
      <c r="A19" s="1018" t="s">
        <v>275</v>
      </c>
      <c r="B19" s="1018" t="s">
        <v>294</v>
      </c>
      <c r="C19" s="1083">
        <v>40301</v>
      </c>
      <c r="D19" s="822">
        <v>367.64</v>
      </c>
      <c r="E19" s="1084">
        <f>'EXHIBIT B'!C29</f>
        <v>275</v>
      </c>
      <c r="F19" s="1085">
        <f t="shared" ref="F19:F25" si="2">ROUND(+D19*E19,0)</f>
        <v>101101</v>
      </c>
      <c r="G19" s="295"/>
      <c r="H19" s="295"/>
    </row>
    <row r="20" spans="1:9" ht="20.100000000000001" customHeight="1">
      <c r="A20" s="905" t="s">
        <v>275</v>
      </c>
      <c r="B20" s="905" t="s">
        <v>167</v>
      </c>
      <c r="C20" s="990" t="s">
        <v>302</v>
      </c>
      <c r="D20" s="991">
        <v>6078.835</v>
      </c>
      <c r="E20" s="992">
        <f>+'EXHIBIT B'!C30</f>
        <v>236.69</v>
      </c>
      <c r="F20" s="993">
        <f t="shared" si="2"/>
        <v>1438799</v>
      </c>
      <c r="G20" s="46"/>
      <c r="H20" s="46"/>
    </row>
    <row r="21" spans="1:9" ht="20.100000000000001" customHeight="1">
      <c r="A21" s="905" t="s">
        <v>275</v>
      </c>
      <c r="B21" s="905" t="s">
        <v>168</v>
      </c>
      <c r="C21" s="990" t="s">
        <v>303</v>
      </c>
      <c r="D21" s="991">
        <v>744.50300000000004</v>
      </c>
      <c r="E21" s="992">
        <f>+'EXHIBIT B'!C30</f>
        <v>236.69</v>
      </c>
      <c r="F21" s="993">
        <f t="shared" si="2"/>
        <v>176216</v>
      </c>
      <c r="G21" s="46"/>
      <c r="H21" s="46"/>
    </row>
    <row r="22" spans="1:9" ht="20.100000000000001" customHeight="1">
      <c r="A22" s="905" t="s">
        <v>275</v>
      </c>
      <c r="B22" s="905" t="s">
        <v>169</v>
      </c>
      <c r="C22" s="990" t="s">
        <v>304</v>
      </c>
      <c r="D22" s="991">
        <v>0</v>
      </c>
      <c r="E22" s="992">
        <f>+'EXHIBIT B'!C31</f>
        <v>0</v>
      </c>
      <c r="F22" s="993">
        <f t="shared" si="2"/>
        <v>0</v>
      </c>
      <c r="G22" s="46"/>
      <c r="H22" s="46"/>
    </row>
    <row r="23" spans="1:9" ht="20.100000000000001" customHeight="1">
      <c r="A23" s="905" t="s">
        <v>275</v>
      </c>
      <c r="B23" s="905" t="s">
        <v>170</v>
      </c>
      <c r="C23" s="990" t="s">
        <v>305</v>
      </c>
      <c r="D23" s="991">
        <v>435.435</v>
      </c>
      <c r="E23" s="992">
        <f>+'EXHIBIT B'!C30</f>
        <v>236.69</v>
      </c>
      <c r="F23" s="993">
        <f t="shared" si="2"/>
        <v>103063</v>
      </c>
      <c r="G23" s="46"/>
      <c r="H23" s="46"/>
    </row>
    <row r="24" spans="1:9" ht="20.100000000000001" customHeight="1">
      <c r="A24" s="905" t="s">
        <v>275</v>
      </c>
      <c r="B24" s="905" t="s">
        <v>171</v>
      </c>
      <c r="C24" s="990">
        <v>40360</v>
      </c>
      <c r="D24" s="991">
        <v>0</v>
      </c>
      <c r="E24" s="992">
        <f>+'EXHIBIT B'!C30</f>
        <v>236.69</v>
      </c>
      <c r="F24" s="993">
        <f t="shared" si="2"/>
        <v>0</v>
      </c>
      <c r="G24" s="46"/>
      <c r="H24" s="46"/>
    </row>
    <row r="25" spans="1:9" ht="20.100000000000001" customHeight="1" thickBot="1">
      <c r="A25" s="359" t="s">
        <v>275</v>
      </c>
      <c r="B25" s="359" t="s">
        <v>306</v>
      </c>
      <c r="C25" s="988" t="s">
        <v>307</v>
      </c>
      <c r="D25" s="989">
        <v>0</v>
      </c>
      <c r="E25" s="992">
        <f>+'EXHIBIT B'!H32</f>
        <v>0</v>
      </c>
      <c r="F25" s="993">
        <f t="shared" si="2"/>
        <v>0</v>
      </c>
      <c r="G25" s="46"/>
      <c r="H25" s="46"/>
    </row>
    <row r="26" spans="1:9" ht="20.100000000000001" customHeight="1" thickBot="1">
      <c r="A26" s="296"/>
      <c r="B26" s="296"/>
      <c r="C26" s="296"/>
      <c r="D26" s="296"/>
      <c r="E26" s="297"/>
      <c r="F26" s="298"/>
      <c r="G26" s="46"/>
      <c r="H26" s="46"/>
    </row>
    <row r="27" spans="1:9" ht="20.100000000000001" customHeight="1" thickBot="1">
      <c r="A27" s="1086"/>
      <c r="B27" s="1086" t="s">
        <v>299</v>
      </c>
      <c r="C27" s="1086"/>
      <c r="D27" s="1087">
        <f>SUM(D19:D25)</f>
        <v>7626.4130000000005</v>
      </c>
      <c r="E27" s="1088"/>
      <c r="F27" s="1089">
        <f>SUM(F19:F25)</f>
        <v>1819179</v>
      </c>
      <c r="G27" s="299"/>
      <c r="H27" s="299"/>
    </row>
    <row r="28" spans="1:9" ht="20.100000000000001" customHeight="1" thickBot="1">
      <c r="A28" s="1090" t="s">
        <v>308</v>
      </c>
      <c r="B28" s="1090"/>
      <c r="C28" s="1090"/>
      <c r="D28" s="1090"/>
      <c r="E28" s="1090"/>
      <c r="F28" s="1091"/>
      <c r="G28" s="513"/>
      <c r="H28" s="300">
        <f>H17+F27</f>
        <v>15274826</v>
      </c>
    </row>
    <row r="29" spans="1:9" ht="24.95" customHeight="1">
      <c r="I29" s="160"/>
    </row>
    <row r="30" spans="1:9" ht="24.95" customHeight="1">
      <c r="A30" s="709" t="s">
        <v>309</v>
      </c>
      <c r="B30" s="709"/>
      <c r="C30" s="709"/>
      <c r="D30" s="709"/>
      <c r="E30" s="709"/>
      <c r="F30" s="709"/>
      <c r="G30" s="709"/>
      <c r="H30" s="709"/>
      <c r="I30" s="160"/>
    </row>
    <row r="31" spans="1:9" ht="24.95" customHeight="1" thickBot="1">
      <c r="I31" s="160"/>
    </row>
    <row r="32" spans="1:9" ht="88.35" customHeight="1" thickBot="1">
      <c r="A32" s="294" t="s">
        <v>310</v>
      </c>
      <c r="B32" s="301" t="s">
        <v>287</v>
      </c>
      <c r="C32" s="294" t="s">
        <v>288</v>
      </c>
      <c r="D32" s="294" t="s">
        <v>311</v>
      </c>
      <c r="E32" s="294" t="s">
        <v>312</v>
      </c>
      <c r="F32" s="294" t="s">
        <v>291</v>
      </c>
      <c r="G32" s="294" t="s">
        <v>313</v>
      </c>
      <c r="H32" s="712" t="s">
        <v>293</v>
      </c>
      <c r="I32" s="160"/>
    </row>
    <row r="33" spans="1:8" ht="20.100000000000001" customHeight="1">
      <c r="A33" s="514" t="s">
        <v>314</v>
      </c>
      <c r="B33" s="514" t="s">
        <v>315</v>
      </c>
      <c r="C33" s="515" t="s">
        <v>316</v>
      </c>
      <c r="D33" s="516">
        <v>0</v>
      </c>
      <c r="E33" s="516">
        <v>0</v>
      </c>
      <c r="F33" s="517">
        <f>D33-E33</f>
        <v>0</v>
      </c>
      <c r="G33" s="517">
        <f>'EXHIBIT B'!B19</f>
        <v>0</v>
      </c>
      <c r="H33" s="518">
        <f>ROUND(+F33*G33,0)</f>
        <v>0</v>
      </c>
    </row>
    <row r="34" spans="1:8" ht="20.100000000000001" customHeight="1">
      <c r="A34" s="905" t="s">
        <v>314</v>
      </c>
      <c r="B34" s="905" t="s">
        <v>317</v>
      </c>
      <c r="C34" s="990" t="s">
        <v>318</v>
      </c>
      <c r="D34" s="991">
        <v>0</v>
      </c>
      <c r="E34" s="991">
        <v>0</v>
      </c>
      <c r="F34" s="992">
        <f>D34-E34</f>
        <v>0</v>
      </c>
      <c r="G34" s="992">
        <f>'EXHIBIT B'!B20</f>
        <v>0</v>
      </c>
      <c r="H34" s="993">
        <f>ROUND(+F34*G34,0)</f>
        <v>0</v>
      </c>
    </row>
    <row r="35" spans="1:8" ht="20.100000000000001" customHeight="1">
      <c r="A35" s="905" t="s">
        <v>319</v>
      </c>
      <c r="B35" s="905" t="s">
        <v>315</v>
      </c>
      <c r="C35" s="990">
        <v>40180</v>
      </c>
      <c r="D35" s="991">
        <v>0</v>
      </c>
      <c r="E35" s="991">
        <v>0</v>
      </c>
      <c r="F35" s="992">
        <f>D35-E35</f>
        <v>0</v>
      </c>
      <c r="G35" s="992">
        <f>'EXHIBIT B'!B22</f>
        <v>0</v>
      </c>
      <c r="H35" s="993">
        <f>ROUND(+F35*G35,0)</f>
        <v>0</v>
      </c>
    </row>
    <row r="36" spans="1:8" ht="20.100000000000001" customHeight="1" thickBot="1">
      <c r="A36" s="1092" t="s">
        <v>319</v>
      </c>
      <c r="B36" s="1092" t="s">
        <v>317</v>
      </c>
      <c r="C36" s="1093">
        <v>40190</v>
      </c>
      <c r="D36" s="1094">
        <v>0</v>
      </c>
      <c r="E36" s="1094">
        <v>0</v>
      </c>
      <c r="F36" s="1095">
        <f>D36-E36</f>
        <v>0</v>
      </c>
      <c r="G36" s="1095">
        <f>'EXHIBIT B'!B23</f>
        <v>0</v>
      </c>
      <c r="H36" s="1096">
        <f>ROUND(+F36*G36,0)</f>
        <v>0</v>
      </c>
    </row>
    <row r="37" spans="1:8" ht="20.100000000000001" customHeight="1" thickBot="1">
      <c r="A37" s="302"/>
      <c r="B37" s="279" t="s">
        <v>320</v>
      </c>
      <c r="C37" s="279"/>
      <c r="D37" s="303">
        <f>SUM(D33:D36)</f>
        <v>0</v>
      </c>
      <c r="E37" s="303">
        <f>SUM(E33:E36)</f>
        <v>0</v>
      </c>
      <c r="F37" s="304">
        <f>D37-E37</f>
        <v>0</v>
      </c>
      <c r="G37" s="304"/>
      <c r="H37" s="305">
        <f>SUM(H33:H36)</f>
        <v>0</v>
      </c>
    </row>
    <row r="38" spans="1:8" ht="24.95" customHeight="1" thickBot="1">
      <c r="A38" s="1097"/>
      <c r="B38" s="1071"/>
      <c r="C38" s="1071"/>
      <c r="D38" s="1071"/>
      <c r="E38" s="1071"/>
      <c r="F38" s="1071"/>
    </row>
    <row r="39" spans="1:8" ht="88.35" customHeight="1" thickBot="1">
      <c r="A39" s="1098" t="s">
        <v>321</v>
      </c>
      <c r="B39" s="1099" t="s">
        <v>287</v>
      </c>
      <c r="C39" s="294" t="s">
        <v>288</v>
      </c>
      <c r="D39" s="306" t="s">
        <v>311</v>
      </c>
      <c r="E39" s="306" t="s">
        <v>313</v>
      </c>
      <c r="F39" s="294" t="s">
        <v>293</v>
      </c>
      <c r="G39" s="18"/>
      <c r="H39" s="18"/>
    </row>
    <row r="40" spans="1:8" ht="20.100000000000001" customHeight="1">
      <c r="A40" s="514" t="s">
        <v>314</v>
      </c>
      <c r="B40" s="514" t="s">
        <v>315</v>
      </c>
      <c r="C40" s="515">
        <v>40380</v>
      </c>
      <c r="D40" s="516">
        <v>0</v>
      </c>
      <c r="E40" s="517">
        <f>'EXHIBIT B'!B35</f>
        <v>0</v>
      </c>
      <c r="F40" s="518">
        <f>D40*E40</f>
        <v>0</v>
      </c>
    </row>
    <row r="41" spans="1:8" ht="20.100000000000001" customHeight="1">
      <c r="A41" s="905" t="s">
        <v>314</v>
      </c>
      <c r="B41" s="905" t="s">
        <v>317</v>
      </c>
      <c r="C41" s="990">
        <v>40390</v>
      </c>
      <c r="D41" s="991">
        <v>0</v>
      </c>
      <c r="E41" s="992">
        <f>'EXHIBIT B'!B36</f>
        <v>0</v>
      </c>
      <c r="F41" s="993">
        <f>D41*E41</f>
        <v>0</v>
      </c>
    </row>
    <row r="42" spans="1:8" ht="20.100000000000001" customHeight="1">
      <c r="A42" s="905" t="s">
        <v>319</v>
      </c>
      <c r="B42" s="905" t="s">
        <v>315</v>
      </c>
      <c r="C42" s="990" t="s">
        <v>322</v>
      </c>
      <c r="D42" s="991">
        <v>0</v>
      </c>
      <c r="E42" s="992">
        <f>'EXHIBIT B'!B38</f>
        <v>0</v>
      </c>
      <c r="F42" s="993">
        <f>D42*E42</f>
        <v>0</v>
      </c>
    </row>
    <row r="43" spans="1:8" ht="20.100000000000001" customHeight="1" thickBot="1">
      <c r="A43" s="1092" t="s">
        <v>319</v>
      </c>
      <c r="B43" s="1092" t="s">
        <v>317</v>
      </c>
      <c r="C43" s="1093" t="s">
        <v>323</v>
      </c>
      <c r="D43" s="1094">
        <v>0</v>
      </c>
      <c r="E43" s="1095">
        <f>'EXHIBIT B'!B39</f>
        <v>0</v>
      </c>
      <c r="F43" s="1096">
        <f>D43*E43</f>
        <v>0</v>
      </c>
    </row>
    <row r="44" spans="1:8" ht="20.100000000000001" customHeight="1" thickBot="1">
      <c r="A44" s="1100"/>
      <c r="B44" s="1090" t="s">
        <v>299</v>
      </c>
      <c r="C44" s="1090"/>
      <c r="D44" s="1091">
        <f>SUM(D40:D43)</f>
        <v>0</v>
      </c>
      <c r="E44" s="1101"/>
      <c r="F44" s="1102">
        <f>SUM(F40:F43)</f>
        <v>0</v>
      </c>
    </row>
    <row r="45" spans="1:8" ht="20.100000000000001" customHeight="1" thickBot="1">
      <c r="A45" s="307" t="s">
        <v>324</v>
      </c>
      <c r="B45" s="1090"/>
      <c r="C45" s="1090"/>
      <c r="D45" s="1090"/>
      <c r="E45" s="1090"/>
      <c r="F45" s="1090"/>
      <c r="G45" s="279"/>
      <c r="H45" s="519">
        <f>H37+F44</f>
        <v>0</v>
      </c>
    </row>
    <row r="46" spans="1:8" ht="20.100000000000001" customHeight="1" thickBot="1">
      <c r="A46" s="296"/>
      <c r="B46" s="296"/>
      <c r="C46" s="296"/>
      <c r="D46" s="296"/>
      <c r="E46" s="296"/>
      <c r="F46" s="296"/>
      <c r="G46" s="296"/>
      <c r="H46" s="297"/>
    </row>
    <row r="47" spans="1:8" ht="20.100000000000001" customHeight="1" thickBot="1">
      <c r="A47" s="1090" t="s">
        <v>325</v>
      </c>
      <c r="B47" s="1090"/>
      <c r="C47" s="1090"/>
      <c r="D47" s="1090"/>
      <c r="E47" s="1090"/>
      <c r="F47" s="1090"/>
      <c r="G47" s="308"/>
      <c r="H47" s="300">
        <f>H28+H45</f>
        <v>15274826</v>
      </c>
    </row>
    <row r="48" spans="1:8" ht="24.75" customHeight="1">
      <c r="A48" s="713"/>
      <c r="B48" s="713"/>
      <c r="C48" s="713"/>
      <c r="D48" s="713"/>
      <c r="E48" s="713"/>
      <c r="F48" s="713"/>
      <c r="G48" s="309"/>
      <c r="H48" s="309"/>
    </row>
    <row r="49" spans="1:10" ht="24.95" customHeight="1">
      <c r="A49" s="26" t="s">
        <v>326</v>
      </c>
      <c r="H49" s="18"/>
    </row>
    <row r="50" spans="1:10" ht="24.95" customHeight="1">
      <c r="A50" s="26"/>
    </row>
    <row r="51" spans="1:10" ht="43.35" customHeight="1" thickBot="1">
      <c r="A51" s="1103" t="s">
        <v>327</v>
      </c>
      <c r="B51" s="1103"/>
      <c r="C51" s="949"/>
      <c r="D51" s="949"/>
      <c r="E51" s="949"/>
      <c r="F51" s="949"/>
    </row>
    <row r="52" spans="1:10" ht="44.45" customHeight="1" thickBot="1">
      <c r="A52" s="275" t="s">
        <v>328</v>
      </c>
      <c r="B52" s="275" t="s">
        <v>329</v>
      </c>
      <c r="C52" s="779" t="s">
        <v>330</v>
      </c>
      <c r="D52" s="780"/>
      <c r="E52" s="779" t="s">
        <v>331</v>
      </c>
      <c r="F52" s="780"/>
    </row>
    <row r="53" spans="1:10" ht="24.95" customHeight="1" thickBot="1">
      <c r="A53" s="276"/>
      <c r="B53" s="277"/>
      <c r="C53" s="520"/>
      <c r="D53" s="521"/>
      <c r="E53" s="520"/>
      <c r="F53" s="521"/>
    </row>
    <row r="54" spans="1:10" ht="24.95" customHeight="1" thickBot="1">
      <c r="A54" s="282" t="s">
        <v>185</v>
      </c>
      <c r="B54" s="278"/>
      <c r="C54" s="522"/>
      <c r="D54" s="523"/>
      <c r="E54" s="522"/>
      <c r="F54" s="523"/>
    </row>
    <row r="55" spans="1:10" ht="24.95" customHeight="1">
      <c r="A55" s="1104" t="s">
        <v>332</v>
      </c>
      <c r="B55" s="1105">
        <v>0</v>
      </c>
      <c r="C55" s="970"/>
      <c r="D55" s="971"/>
      <c r="E55" s="823"/>
      <c r="F55" s="824"/>
    </row>
    <row r="56" spans="1:10" ht="24.95" customHeight="1">
      <c r="A56" s="1106"/>
      <c r="B56" s="991">
        <v>0</v>
      </c>
      <c r="C56" s="825"/>
      <c r="D56" s="826"/>
      <c r="E56" s="825"/>
      <c r="F56" s="826"/>
      <c r="J56" s="87"/>
    </row>
    <row r="57" spans="1:10" ht="24.95" customHeight="1">
      <c r="A57" s="1106"/>
      <c r="B57" s="991">
        <v>0</v>
      </c>
      <c r="C57" s="825"/>
      <c r="D57" s="826"/>
      <c r="E57" s="825"/>
      <c r="F57" s="826"/>
    </row>
    <row r="58" spans="1:10" ht="24.95" customHeight="1">
      <c r="A58" s="1106"/>
      <c r="B58" s="991">
        <v>0</v>
      </c>
      <c r="C58" s="825"/>
      <c r="D58" s="826"/>
      <c r="E58" s="825"/>
      <c r="F58" s="826"/>
    </row>
    <row r="59" spans="1:10" ht="24.95" customHeight="1">
      <c r="A59" s="1106"/>
      <c r="B59" s="991">
        <v>0</v>
      </c>
      <c r="C59" s="825"/>
      <c r="D59" s="826"/>
      <c r="E59" s="825"/>
      <c r="F59" s="826"/>
    </row>
    <row r="60" spans="1:10" ht="24.95" customHeight="1" thickBot="1">
      <c r="A60" s="1107"/>
      <c r="B60" s="1108">
        <v>0</v>
      </c>
      <c r="C60" s="827"/>
      <c r="D60" s="828"/>
      <c r="E60" s="829"/>
      <c r="F60" s="830"/>
    </row>
    <row r="61" spans="1:10" ht="24.95" customHeight="1" thickBot="1">
      <c r="A61" s="279" t="s">
        <v>333</v>
      </c>
      <c r="B61" s="280">
        <f>SUM(B55:B60)</f>
        <v>0</v>
      </c>
      <c r="C61" s="831"/>
      <c r="D61" s="832"/>
      <c r="E61" s="831"/>
      <c r="F61" s="832"/>
    </row>
    <row r="62" spans="1:10" ht="24.95" customHeight="1" thickBot="1">
      <c r="A62" s="281"/>
      <c r="B62" s="281"/>
      <c r="C62" s="524"/>
      <c r="D62" s="525"/>
      <c r="E62" s="524"/>
      <c r="F62" s="525"/>
    </row>
    <row r="63" spans="1:10" ht="24.95" customHeight="1" thickBot="1">
      <c r="A63" s="282" t="s">
        <v>182</v>
      </c>
      <c r="B63" s="278"/>
      <c r="C63" s="522"/>
      <c r="D63" s="523"/>
      <c r="E63" s="522"/>
      <c r="F63" s="523"/>
    </row>
    <row r="64" spans="1:10" ht="24.95" customHeight="1">
      <c r="A64" s="1104" t="s">
        <v>334</v>
      </c>
      <c r="B64" s="1109">
        <v>25000</v>
      </c>
      <c r="C64" s="823" t="s">
        <v>335</v>
      </c>
      <c r="D64" s="824"/>
      <c r="E64" s="823" t="s">
        <v>336</v>
      </c>
      <c r="F64" s="824"/>
    </row>
    <row r="65" spans="1:6" ht="24.95" customHeight="1">
      <c r="A65" s="1106" t="s">
        <v>337</v>
      </c>
      <c r="B65" s="991">
        <v>10848</v>
      </c>
      <c r="C65" s="825" t="s">
        <v>335</v>
      </c>
      <c r="D65" s="826"/>
      <c r="E65" s="825" t="s">
        <v>336</v>
      </c>
      <c r="F65" s="826"/>
    </row>
    <row r="66" spans="1:6" ht="24.95" customHeight="1">
      <c r="A66" s="1106" t="s">
        <v>338</v>
      </c>
      <c r="B66" s="991">
        <v>7200</v>
      </c>
      <c r="C66" s="825" t="s">
        <v>335</v>
      </c>
      <c r="D66" s="826"/>
      <c r="E66" s="825" t="s">
        <v>336</v>
      </c>
      <c r="F66" s="826"/>
    </row>
    <row r="67" spans="1:6" ht="24.95" customHeight="1">
      <c r="A67" s="1106" t="s">
        <v>339</v>
      </c>
      <c r="B67" s="991">
        <v>23120</v>
      </c>
      <c r="C67" s="825" t="s">
        <v>335</v>
      </c>
      <c r="D67" s="826"/>
      <c r="E67" s="825" t="s">
        <v>336</v>
      </c>
      <c r="F67" s="826"/>
    </row>
    <row r="68" spans="1:6" ht="24.95" customHeight="1">
      <c r="A68" s="1106" t="s">
        <v>340</v>
      </c>
      <c r="B68" s="991">
        <v>8000</v>
      </c>
      <c r="C68" s="825" t="s">
        <v>335</v>
      </c>
      <c r="D68" s="826"/>
      <c r="E68" s="825" t="s">
        <v>336</v>
      </c>
      <c r="F68" s="826"/>
    </row>
    <row r="69" spans="1:6" ht="24.95" customHeight="1" thickBot="1">
      <c r="A69" s="1107" t="s">
        <v>341</v>
      </c>
      <c r="B69" s="1108">
        <v>201000</v>
      </c>
      <c r="C69" s="829" t="s">
        <v>335</v>
      </c>
      <c r="D69" s="830"/>
      <c r="E69" s="829" t="s">
        <v>336</v>
      </c>
      <c r="F69" s="830"/>
    </row>
    <row r="70" spans="1:6" ht="24.95" customHeight="1" thickBot="1">
      <c r="A70" s="279" t="s">
        <v>342</v>
      </c>
      <c r="B70" s="280">
        <f>SUM(B64:B69)</f>
        <v>275168</v>
      </c>
      <c r="C70" s="833"/>
      <c r="D70" s="834"/>
      <c r="E70" s="833"/>
      <c r="F70" s="834"/>
    </row>
    <row r="71" spans="1:6" ht="24.95" customHeight="1" thickBot="1">
      <c r="A71" s="279" t="s">
        <v>343</v>
      </c>
      <c r="B71" s="280">
        <f>+B70+B61</f>
        <v>275168</v>
      </c>
      <c r="C71" s="833"/>
      <c r="D71" s="834"/>
      <c r="E71" s="835"/>
      <c r="F71" s="836"/>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zr3fcgMi+MKCb/tdvKaEAEt4J/LyE2nJu1fFbYMkOMNtrAqF9aMzhkJmHjiGPsjbzBrRpN9S3+WTLcUq05F0BA==" saltValue="cekb6j3w6JVrWT0sShOwt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68" customWidth="1"/>
    <col min="2" max="2" width="100.42578125" style="168" customWidth="1"/>
    <col min="3" max="3" width="18.7109375" style="168" customWidth="1"/>
    <col min="4" max="4" width="25.7109375" style="168" customWidth="1"/>
    <col min="5" max="5" width="21.42578125" style="168" customWidth="1"/>
    <col min="6" max="6" width="6.85546875" style="168" customWidth="1"/>
    <col min="7" max="7" width="9.140625" style="168"/>
    <col min="8" max="8" width="59" style="168" customWidth="1"/>
    <col min="9" max="9" width="13.7109375" style="168" customWidth="1"/>
    <col min="10" max="10" width="12.7109375" style="168" bestFit="1" customWidth="1"/>
    <col min="11" max="11" width="14" style="168" customWidth="1"/>
    <col min="12" max="28" width="12.7109375" style="168" customWidth="1"/>
    <col min="29" max="29" width="11" style="168" customWidth="1"/>
    <col min="30" max="30" width="12.7109375" style="168" customWidth="1"/>
    <col min="31" max="31" width="12.42578125" style="168" customWidth="1"/>
    <col min="32" max="32" width="11.42578125" style="168" customWidth="1"/>
    <col min="33" max="33" width="2.28515625" style="168" customWidth="1"/>
    <col min="34" max="34" width="20.140625" style="168" customWidth="1"/>
    <col min="35" max="35" width="6" style="168" customWidth="1"/>
    <col min="36" max="36" width="14.42578125" style="168" customWidth="1"/>
    <col min="37" max="37" width="13.7109375" style="168" customWidth="1"/>
    <col min="38" max="38" width="2.140625" style="168" customWidth="1"/>
    <col min="39" max="40" width="9.140625" style="168"/>
    <col min="41" max="41" width="11.28515625" style="168" customWidth="1"/>
    <col min="42" max="42" width="11.42578125" style="168" customWidth="1"/>
    <col min="43" max="43" width="11" style="168" customWidth="1"/>
    <col min="44" max="44" width="11.140625" style="168" customWidth="1"/>
    <col min="45" max="16384" width="9.140625" style="168"/>
  </cols>
  <sheetData>
    <row r="1" spans="1:47" s="16" customFormat="1" ht="24" customHeight="1">
      <c r="A1" s="273"/>
      <c r="B1" s="273"/>
      <c r="C1" s="273"/>
      <c r="D1" s="273"/>
      <c r="E1" s="314" t="s">
        <v>344</v>
      </c>
      <c r="F1" s="273"/>
    </row>
    <row r="2" spans="1:47" s="16" customFormat="1" ht="24" customHeight="1">
      <c r="A2" s="273"/>
      <c r="B2" s="273"/>
      <c r="C2" s="273"/>
      <c r="D2" s="273"/>
      <c r="E2" s="273"/>
      <c r="F2" s="273"/>
    </row>
    <row r="3" spans="1:47" s="16" customFormat="1" ht="24" customHeight="1">
      <c r="A3" s="773" t="s">
        <v>10</v>
      </c>
      <c r="B3" s="773"/>
      <c r="C3" s="773"/>
      <c r="D3" s="773"/>
      <c r="E3" s="773"/>
      <c r="F3" s="273"/>
    </row>
    <row r="4" spans="1:47" s="16" customFormat="1" ht="23.45" customHeight="1">
      <c r="A4" s="773" t="s">
        <v>345</v>
      </c>
      <c r="B4" s="773"/>
      <c r="C4" s="773"/>
      <c r="D4" s="773"/>
      <c r="E4" s="773"/>
      <c r="F4" s="273"/>
    </row>
    <row r="5" spans="1:47" s="16" customFormat="1" ht="23.1" customHeight="1">
      <c r="A5" s="773"/>
      <c r="B5" s="773"/>
      <c r="C5" s="773"/>
      <c r="D5" s="773"/>
      <c r="E5" s="773"/>
      <c r="F5" s="273"/>
    </row>
    <row r="6" spans="1:47" s="16" customFormat="1" ht="24.95" customHeight="1">
      <c r="A6" s="775"/>
      <c r="B6" s="775"/>
      <c r="C6" s="775"/>
      <c r="D6" s="775"/>
      <c r="E6" s="775"/>
      <c r="F6" s="273"/>
    </row>
    <row r="7" spans="1:47" s="16" customFormat="1" ht="24.95" customHeight="1" thickBot="1">
      <c r="A7" s="773" t="s">
        <v>284</v>
      </c>
      <c r="B7" s="1061" t="str">
        <f>'CHECK SHEET'!D7</f>
        <v>State College of Florida, Manatee-Sarasota</v>
      </c>
      <c r="C7" s="1061"/>
      <c r="D7" s="1061"/>
      <c r="E7" s="1061"/>
      <c r="F7" s="1110"/>
    </row>
    <row r="8" spans="1:47" s="16" customFormat="1" ht="24.95" customHeight="1">
      <c r="A8" s="781"/>
      <c r="B8" s="781"/>
      <c r="C8" s="781"/>
      <c r="D8" s="781"/>
      <c r="E8" s="781"/>
    </row>
    <row r="9" spans="1:47" s="16" customFormat="1" ht="24.95" customHeight="1">
      <c r="A9" s="782"/>
      <c r="B9" s="782"/>
      <c r="C9" s="782"/>
      <c r="D9" s="782"/>
      <c r="E9" s="782"/>
    </row>
    <row r="10" spans="1:47" s="16" customFormat="1" ht="42.6" customHeight="1">
      <c r="A10" s="783" t="s">
        <v>346</v>
      </c>
      <c r="B10" s="783"/>
      <c r="C10" s="783"/>
      <c r="D10" s="783"/>
      <c r="E10" s="783"/>
    </row>
    <row r="11" spans="1:47" ht="24.95" customHeight="1" thickBot="1">
      <c r="A11" s="167"/>
      <c r="B11" s="167"/>
      <c r="C11" s="167"/>
      <c r="D11" s="167"/>
      <c r="E11" s="167"/>
      <c r="AT11" s="167"/>
      <c r="AU11" s="167"/>
    </row>
    <row r="12" spans="1:47" ht="78" customHeight="1" thickBot="1">
      <c r="A12" s="390" t="s">
        <v>347</v>
      </c>
      <c r="B12" s="390" t="s">
        <v>287</v>
      </c>
      <c r="C12" s="391" t="s">
        <v>348</v>
      </c>
      <c r="D12" s="391" t="s">
        <v>349</v>
      </c>
      <c r="E12" s="391" t="s">
        <v>350</v>
      </c>
    </row>
    <row r="13" spans="1:47" ht="24" customHeight="1">
      <c r="A13" s="392" t="s">
        <v>260</v>
      </c>
      <c r="B13" s="392" t="s">
        <v>294</v>
      </c>
      <c r="C13" s="393">
        <v>40101</v>
      </c>
      <c r="D13" s="526">
        <v>0</v>
      </c>
      <c r="E13" s="526">
        <v>0</v>
      </c>
    </row>
    <row r="14" spans="1:47" ht="24.95" customHeight="1">
      <c r="A14" s="996" t="s">
        <v>260</v>
      </c>
      <c r="B14" s="996" t="s">
        <v>167</v>
      </c>
      <c r="C14" s="1111" t="s">
        <v>295</v>
      </c>
      <c r="D14" s="412">
        <v>0</v>
      </c>
      <c r="E14" s="412">
        <v>0</v>
      </c>
    </row>
    <row r="15" spans="1:47" ht="24.95" customHeight="1">
      <c r="A15" s="996" t="s">
        <v>260</v>
      </c>
      <c r="B15" s="996" t="s">
        <v>168</v>
      </c>
      <c r="C15" s="1111" t="s">
        <v>296</v>
      </c>
      <c r="D15" s="412">
        <v>0</v>
      </c>
      <c r="E15" s="412">
        <v>0</v>
      </c>
    </row>
    <row r="16" spans="1:47" ht="24.95" customHeight="1">
      <c r="A16" s="996" t="s">
        <v>260</v>
      </c>
      <c r="B16" s="996" t="s">
        <v>169</v>
      </c>
      <c r="C16" s="1111" t="s">
        <v>297</v>
      </c>
      <c r="D16" s="412">
        <v>0</v>
      </c>
      <c r="E16" s="412">
        <v>0</v>
      </c>
    </row>
    <row r="17" spans="1:5" ht="24.95" customHeight="1">
      <c r="A17" s="996" t="s">
        <v>260</v>
      </c>
      <c r="B17" s="996" t="s">
        <v>170</v>
      </c>
      <c r="C17" s="1111" t="s">
        <v>298</v>
      </c>
      <c r="D17" s="413">
        <v>0</v>
      </c>
      <c r="E17" s="413">
        <v>0</v>
      </c>
    </row>
    <row r="18" spans="1:5" ht="24.95" customHeight="1" thickBot="1">
      <c r="A18" s="996" t="s">
        <v>260</v>
      </c>
      <c r="B18" s="996" t="s">
        <v>171</v>
      </c>
      <c r="C18" s="1111">
        <v>40160</v>
      </c>
      <c r="D18" s="414">
        <v>0</v>
      </c>
      <c r="E18" s="414">
        <v>0</v>
      </c>
    </row>
    <row r="19" spans="1:5" ht="24.95" customHeight="1" thickBot="1">
      <c r="A19" s="394"/>
      <c r="B19" s="452"/>
      <c r="C19" s="453"/>
      <c r="D19" s="837"/>
      <c r="E19" s="838"/>
    </row>
    <row r="20" spans="1:5" ht="24.95" customHeight="1" thickBot="1">
      <c r="A20" s="1112"/>
      <c r="B20" s="1112" t="s">
        <v>299</v>
      </c>
      <c r="C20" s="1112"/>
      <c r="D20" s="1112"/>
      <c r="E20" s="1113">
        <f>SUM(E13:E18)</f>
        <v>0</v>
      </c>
    </row>
    <row r="21" spans="1:5" ht="78" customHeight="1" thickBot="1">
      <c r="A21" s="390" t="s">
        <v>347</v>
      </c>
      <c r="B21" s="390" t="s">
        <v>287</v>
      </c>
      <c r="C21" s="391" t="s">
        <v>348</v>
      </c>
      <c r="D21" s="391" t="s">
        <v>351</v>
      </c>
      <c r="E21" s="391" t="s">
        <v>350</v>
      </c>
    </row>
    <row r="22" spans="1:5" s="165" customFormat="1" ht="24.95" customHeight="1">
      <c r="A22" s="527" t="s">
        <v>275</v>
      </c>
      <c r="B22" s="165" t="s">
        <v>294</v>
      </c>
      <c r="C22" s="454">
        <v>40301</v>
      </c>
      <c r="D22" s="526">
        <v>0</v>
      </c>
      <c r="E22" s="526">
        <v>0</v>
      </c>
    </row>
    <row r="23" spans="1:5" s="165" customFormat="1" ht="24.95" customHeight="1">
      <c r="A23" s="996" t="s">
        <v>275</v>
      </c>
      <c r="B23" s="565" t="s">
        <v>167</v>
      </c>
      <c r="C23" s="997" t="s">
        <v>302</v>
      </c>
      <c r="D23" s="998">
        <v>0</v>
      </c>
      <c r="E23" s="998">
        <v>0</v>
      </c>
    </row>
    <row r="24" spans="1:5" s="165" customFormat="1" ht="24.95" customHeight="1">
      <c r="A24" s="996" t="s">
        <v>275</v>
      </c>
      <c r="B24" s="565" t="s">
        <v>168</v>
      </c>
      <c r="C24" s="997" t="s">
        <v>303</v>
      </c>
      <c r="D24" s="998">
        <v>0</v>
      </c>
      <c r="E24" s="998">
        <v>0</v>
      </c>
    </row>
    <row r="25" spans="1:5" s="165" customFormat="1" ht="24.95" customHeight="1">
      <c r="A25" s="996" t="s">
        <v>275</v>
      </c>
      <c r="B25" s="565" t="s">
        <v>169</v>
      </c>
      <c r="C25" s="997" t="s">
        <v>304</v>
      </c>
      <c r="D25" s="998">
        <v>0</v>
      </c>
      <c r="E25" s="998">
        <v>0</v>
      </c>
    </row>
    <row r="26" spans="1:5" s="165" customFormat="1" ht="24.95" customHeight="1">
      <c r="A26" s="996" t="s">
        <v>275</v>
      </c>
      <c r="B26" s="565" t="s">
        <v>170</v>
      </c>
      <c r="C26" s="997" t="s">
        <v>305</v>
      </c>
      <c r="D26" s="998">
        <v>0</v>
      </c>
      <c r="E26" s="998">
        <v>0</v>
      </c>
    </row>
    <row r="27" spans="1:5" s="165" customFormat="1" ht="24.95" customHeight="1">
      <c r="A27" s="996" t="s">
        <v>275</v>
      </c>
      <c r="B27" s="565" t="s">
        <v>171</v>
      </c>
      <c r="C27" s="997">
        <v>40360</v>
      </c>
      <c r="D27" s="998">
        <v>0</v>
      </c>
      <c r="E27" s="998">
        <v>0</v>
      </c>
    </row>
    <row r="28" spans="1:5" s="165" customFormat="1" ht="24.95" customHeight="1" thickBot="1">
      <c r="A28" s="994" t="s">
        <v>275</v>
      </c>
      <c r="B28" s="1114" t="s">
        <v>306</v>
      </c>
      <c r="C28" s="395" t="s">
        <v>307</v>
      </c>
      <c r="D28" s="414">
        <v>0</v>
      </c>
      <c r="E28" s="995">
        <v>0</v>
      </c>
    </row>
    <row r="29" spans="1:5" ht="24.95" customHeight="1" thickBot="1">
      <c r="A29" s="455"/>
      <c r="B29" s="456"/>
      <c r="C29" s="455"/>
      <c r="D29" s="396"/>
      <c r="E29" s="457"/>
    </row>
    <row r="30" spans="1:5" ht="24.95" customHeight="1" thickBot="1">
      <c r="A30" s="528"/>
      <c r="B30" s="458" t="s">
        <v>299</v>
      </c>
      <c r="C30" s="397"/>
      <c r="D30" s="397"/>
      <c r="E30" s="459">
        <f>SUM(E22:E28)</f>
        <v>0</v>
      </c>
    </row>
    <row r="31" spans="1:5" ht="24.95" customHeight="1" thickBot="1">
      <c r="A31" s="397" t="s">
        <v>352</v>
      </c>
      <c r="B31" s="398"/>
      <c r="C31" s="1115"/>
      <c r="D31" s="1115"/>
      <c r="E31" s="399">
        <f>E20+E30</f>
        <v>0</v>
      </c>
    </row>
    <row r="32" spans="1:5" ht="24.95" customHeight="1">
      <c r="A32" s="167"/>
      <c r="B32" s="167"/>
      <c r="C32" s="167"/>
      <c r="D32" s="167"/>
      <c r="E32" s="167"/>
    </row>
    <row r="33" spans="1:5" ht="24.95" customHeight="1" thickBot="1">
      <c r="A33" s="15" t="s">
        <v>353</v>
      </c>
      <c r="B33" s="167"/>
      <c r="C33" s="167"/>
      <c r="D33" s="167"/>
      <c r="E33" s="167"/>
    </row>
    <row r="34" spans="1:5" ht="24.95" customHeight="1">
      <c r="A34" s="714"/>
      <c r="B34" s="715"/>
      <c r="C34" s="715"/>
      <c r="D34" s="715"/>
      <c r="E34" s="716"/>
    </row>
    <row r="35" spans="1:5" ht="24.95" customHeight="1">
      <c r="A35" s="717"/>
      <c r="B35" s="718"/>
      <c r="C35" s="718"/>
      <c r="D35" s="718"/>
      <c r="E35" s="719"/>
    </row>
    <row r="36" spans="1:5" ht="24.95" customHeight="1">
      <c r="A36" s="717"/>
      <c r="B36" s="718"/>
      <c r="C36" s="718"/>
      <c r="D36" s="718"/>
      <c r="E36" s="719"/>
    </row>
    <row r="37" spans="1:5" ht="24.95" customHeight="1">
      <c r="A37" s="717"/>
      <c r="B37" s="718"/>
      <c r="C37" s="718"/>
      <c r="D37" s="718"/>
      <c r="E37" s="719"/>
    </row>
    <row r="38" spans="1:5" ht="24.95" customHeight="1" thickBot="1">
      <c r="A38" s="720"/>
      <c r="B38" s="1116"/>
      <c r="C38" s="1116"/>
      <c r="D38" s="1116"/>
      <c r="E38" s="721"/>
    </row>
    <row r="39" spans="1:5" ht="20.25" customHeight="1">
      <c r="A39" s="167"/>
      <c r="B39" s="167"/>
      <c r="C39" s="167"/>
      <c r="D39" s="167"/>
      <c r="E39" s="16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00"/>
      <c r="AI60" s="400"/>
    </row>
    <row r="61" spans="34:35" ht="20.25" customHeight="1">
      <c r="AH61" s="400"/>
      <c r="AI61" s="400"/>
    </row>
    <row r="62" spans="34:35" ht="20.25" customHeight="1">
      <c r="AH62" s="400"/>
    </row>
    <row r="63" spans="34:35" ht="20.25" customHeight="1"/>
    <row r="64" spans="34:35" ht="20.25" customHeight="1">
      <c r="AH64" s="400"/>
      <c r="AI64" s="400"/>
    </row>
    <row r="65" spans="1:35" ht="20.25" customHeight="1">
      <c r="AH65" s="400"/>
      <c r="AI65" s="400"/>
    </row>
    <row r="66" spans="1:35" ht="20.25" customHeight="1">
      <c r="A66" s="167"/>
      <c r="B66" s="167"/>
      <c r="C66" s="167"/>
      <c r="D66" s="167"/>
      <c r="E66" s="167"/>
      <c r="AH66" s="400"/>
      <c r="AI66" s="400"/>
    </row>
    <row r="67" spans="1:35" ht="20.25" customHeight="1">
      <c r="A67" s="167"/>
      <c r="B67" s="167"/>
      <c r="C67" s="167"/>
      <c r="D67" s="167"/>
      <c r="E67" s="167"/>
    </row>
    <row r="68" spans="1:35" ht="20.25" customHeight="1">
      <c r="A68" s="167"/>
      <c r="B68" s="167"/>
      <c r="C68" s="167"/>
      <c r="D68" s="167"/>
      <c r="E68" s="167"/>
      <c r="AH68" s="400"/>
    </row>
    <row r="69" spans="1:35" ht="20.25" customHeight="1">
      <c r="A69" s="167"/>
      <c r="B69" s="167"/>
      <c r="C69" s="167"/>
      <c r="D69" s="167"/>
      <c r="E69" s="167"/>
      <c r="AH69" s="400"/>
      <c r="AI69" s="400"/>
    </row>
    <row r="70" spans="1:35" ht="20.25" customHeight="1">
      <c r="AH70" s="400"/>
      <c r="AI70" s="400"/>
    </row>
    <row r="71" spans="1:35" ht="20.25" customHeight="1">
      <c r="AH71" s="400"/>
    </row>
    <row r="72" spans="1:35" ht="20.25" customHeight="1">
      <c r="AH72" s="400"/>
    </row>
    <row r="73" spans="1:35" ht="20.25" customHeight="1">
      <c r="AH73" s="400"/>
    </row>
    <row r="74" spans="1:35" ht="20.25" customHeight="1">
      <c r="AH74" s="400"/>
      <c r="AI74" s="400"/>
    </row>
    <row r="75" spans="1:35" ht="20.25" customHeight="1"/>
    <row r="76" spans="1:35" ht="20.25" customHeight="1">
      <c r="AH76" s="400"/>
    </row>
    <row r="77" spans="1:35" ht="20.25" customHeight="1">
      <c r="AH77" s="400"/>
      <c r="AI77" s="400"/>
    </row>
    <row r="78" spans="1:35" ht="20.25" customHeight="1">
      <c r="AH78" s="400"/>
      <c r="AI78" s="400"/>
    </row>
    <row r="79" spans="1:35" ht="20.25" customHeight="1">
      <c r="AH79" s="400"/>
      <c r="AI79" s="400"/>
    </row>
    <row r="80" spans="1:35" ht="20.25" customHeight="1">
      <c r="AH80" s="400"/>
      <c r="AI80" s="400"/>
    </row>
    <row r="81" spans="3:35" ht="20.25" customHeight="1">
      <c r="AH81" s="400"/>
    </row>
    <row r="82" spans="3:35" ht="20.25" customHeight="1">
      <c r="AH82" s="400"/>
      <c r="AI82" s="400"/>
    </row>
    <row r="83" spans="3:35" ht="20.25" customHeight="1">
      <c r="AH83" s="400"/>
      <c r="AI83" s="400"/>
    </row>
    <row r="84" spans="3:35" ht="20.25" customHeight="1">
      <c r="AH84" s="400"/>
      <c r="AI84" s="400"/>
    </row>
    <row r="85" spans="3:35" ht="20.25" customHeight="1"/>
    <row r="86" spans="3:35" ht="20.25" customHeight="1">
      <c r="AH86" s="400"/>
      <c r="AI86" s="400"/>
    </row>
    <row r="87" spans="3:35" ht="18" customHeight="1">
      <c r="AH87" s="400"/>
      <c r="AI87" s="400"/>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6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MUb71/1ITJQ84nnTdov/msfiERYQRcS5qy58Ok+vXvVVGdgkSzU6bdJNpxzpDoTjpMj3jXkx2+xgWdsSJOehoQ==" saltValue="xIuD86EInOfmhnTQkAOp6A=="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election activeCell="A2" sqref="A2"/>
    </sheetView>
  </sheetViews>
  <sheetFormatPr defaultColWidth="9.140625" defaultRowHeight="18.75"/>
  <cols>
    <col min="1" max="1" width="57" style="165" customWidth="1"/>
    <col min="2" max="2" width="1.42578125" style="165" customWidth="1"/>
    <col min="3" max="3" width="21.28515625" style="165" customWidth="1"/>
    <col min="4" max="4" width="9.140625" style="165"/>
    <col min="5" max="5" width="49.42578125" style="165" customWidth="1"/>
    <col min="6" max="6" width="17" style="165" customWidth="1"/>
    <col min="7" max="7" width="25.42578125" style="165" customWidth="1"/>
    <col min="8" max="8" width="1.85546875" style="165" customWidth="1"/>
    <col min="9" max="9" width="11.7109375" style="165" bestFit="1" customWidth="1"/>
    <col min="10" max="10" width="15.42578125" style="165" bestFit="1" customWidth="1"/>
    <col min="11" max="16384" width="9.140625" style="165"/>
  </cols>
  <sheetData>
    <row r="1" spans="1:8" ht="26.25">
      <c r="A1" s="784"/>
      <c r="B1" s="784"/>
      <c r="C1" s="784"/>
      <c r="D1" s="784"/>
      <c r="E1" s="784"/>
      <c r="F1" s="784"/>
      <c r="G1" s="785"/>
    </row>
    <row r="2" spans="1:8" ht="30" customHeight="1" thickBot="1">
      <c r="A2" s="785" t="s">
        <v>228</v>
      </c>
      <c r="B2" s="1061" t="str">
        <f>'CHECK SHEET'!D7</f>
        <v>State College of Florida, Manatee-Sarasota</v>
      </c>
      <c r="C2" s="1061"/>
      <c r="D2" s="1061"/>
      <c r="E2" s="1061"/>
      <c r="F2" s="1061"/>
      <c r="G2" s="786"/>
    </row>
    <row r="3" spans="1:8" ht="23.1" customHeight="1">
      <c r="A3" s="773" t="s">
        <v>354</v>
      </c>
      <c r="B3" s="773"/>
      <c r="C3" s="773"/>
      <c r="D3" s="773"/>
      <c r="E3" s="773"/>
      <c r="F3" s="773"/>
      <c r="G3" s="773"/>
    </row>
    <row r="4" spans="1:8" ht="23.45" customHeight="1">
      <c r="A4" s="773" t="s">
        <v>355</v>
      </c>
      <c r="B4" s="773"/>
      <c r="C4" s="773"/>
      <c r="D4" s="773"/>
      <c r="E4" s="773"/>
      <c r="F4" s="773"/>
      <c r="G4" s="773"/>
    </row>
    <row r="5" spans="1:8" ht="23.45" customHeight="1">
      <c r="A5" s="773" t="s">
        <v>356</v>
      </c>
      <c r="B5" s="773"/>
      <c r="C5" s="773"/>
      <c r="D5" s="773"/>
      <c r="E5" s="773"/>
      <c r="F5" s="773"/>
      <c r="G5" s="773"/>
    </row>
    <row r="6" spans="1:8" ht="20.100000000000001" customHeight="1">
      <c r="A6" s="787"/>
      <c r="B6" s="787"/>
      <c r="C6" s="787"/>
      <c r="D6" s="787"/>
      <c r="E6" s="787"/>
      <c r="F6" s="787"/>
      <c r="G6" s="787"/>
    </row>
    <row r="7" spans="1:8" ht="38.450000000000003" customHeight="1">
      <c r="A7" s="788" t="s">
        <v>357</v>
      </c>
      <c r="B7" s="788"/>
      <c r="C7" s="788"/>
      <c r="D7" s="788"/>
      <c r="E7" s="788"/>
      <c r="F7" s="788"/>
      <c r="G7" s="788"/>
      <c r="H7" s="171"/>
    </row>
    <row r="8" spans="1:8" ht="20.100000000000001" customHeight="1">
      <c r="A8" s="170"/>
      <c r="B8" s="170"/>
      <c r="C8" s="170"/>
      <c r="D8" s="170"/>
      <c r="E8" s="170"/>
      <c r="F8" s="170"/>
      <c r="G8" s="170"/>
      <c r="H8" s="171"/>
    </row>
    <row r="9" spans="1:8" ht="76.349999999999994" customHeight="1">
      <c r="A9" s="480" t="s">
        <v>358</v>
      </c>
      <c r="B9" s="481" t="s">
        <v>359</v>
      </c>
      <c r="C9" s="481"/>
      <c r="D9" s="481"/>
      <c r="E9" s="481"/>
      <c r="F9" s="482" t="s">
        <v>348</v>
      </c>
      <c r="G9" s="483" t="s">
        <v>360</v>
      </c>
    </row>
    <row r="10" spans="1:8" ht="20.100000000000001" customHeight="1">
      <c r="A10" s="499" t="s">
        <v>286</v>
      </c>
      <c r="B10" s="500"/>
      <c r="C10" s="500"/>
      <c r="D10" s="500"/>
      <c r="E10" s="500"/>
      <c r="F10" s="501"/>
      <c r="G10" s="502"/>
    </row>
    <row r="11" spans="1:8" ht="20.100000000000001" customHeight="1">
      <c r="A11" s="463"/>
      <c r="B11" s="172"/>
      <c r="C11" s="172"/>
      <c r="D11" s="172"/>
      <c r="E11" s="172"/>
      <c r="F11" s="173"/>
      <c r="G11" s="174"/>
    </row>
    <row r="12" spans="1:8" ht="20.100000000000001" customHeight="1">
      <c r="A12" s="463" t="s">
        <v>260</v>
      </c>
      <c r="B12" s="172"/>
      <c r="C12" s="172" t="s">
        <v>294</v>
      </c>
      <c r="D12" s="172"/>
      <c r="E12" s="172"/>
      <c r="F12" s="175">
        <v>40101</v>
      </c>
      <c r="G12" s="176">
        <f>+'EXHIBIT C'!H10+'EXHIBIT C(2)'!E13</f>
        <v>1338665</v>
      </c>
    </row>
    <row r="13" spans="1:8" ht="20.100000000000001" customHeight="1">
      <c r="A13" s="463" t="s">
        <v>260</v>
      </c>
      <c r="B13" s="172"/>
      <c r="C13" s="165" t="s">
        <v>167</v>
      </c>
      <c r="D13" s="172"/>
      <c r="E13" s="172"/>
      <c r="F13" s="177" t="s">
        <v>295</v>
      </c>
      <c r="G13" s="176">
        <f>+'EXHIBIT C'!H11+'EXHIBIT C(2)'!E14</f>
        <v>10212524</v>
      </c>
    </row>
    <row r="14" spans="1:8" ht="20.100000000000001" customHeight="1">
      <c r="A14" s="463" t="s">
        <v>260</v>
      </c>
      <c r="B14" s="172"/>
      <c r="C14" s="172" t="s">
        <v>168</v>
      </c>
      <c r="D14" s="172"/>
      <c r="E14" s="172"/>
      <c r="F14" s="177" t="s">
        <v>296</v>
      </c>
      <c r="G14" s="484">
        <f>+'EXHIBIT C'!H12+'EXHIBIT C(2)'!E15</f>
        <v>1550038</v>
      </c>
    </row>
    <row r="15" spans="1:8" ht="20.100000000000001" customHeight="1">
      <c r="A15" s="463" t="s">
        <v>260</v>
      </c>
      <c r="B15" s="172"/>
      <c r="C15" s="178" t="s">
        <v>361</v>
      </c>
      <c r="D15" s="172"/>
      <c r="E15" s="172"/>
      <c r="F15" s="177" t="s">
        <v>297</v>
      </c>
      <c r="G15" s="484">
        <f>+'EXHIBIT C'!H13+'EXHIBIT C(2)'!E16</f>
        <v>0</v>
      </c>
    </row>
    <row r="16" spans="1:8" ht="20.100000000000001" customHeight="1">
      <c r="A16" s="463" t="s">
        <v>260</v>
      </c>
      <c r="B16" s="172"/>
      <c r="C16" s="178" t="s">
        <v>362</v>
      </c>
      <c r="D16" s="172"/>
      <c r="E16" s="172"/>
      <c r="F16" s="177" t="s">
        <v>298</v>
      </c>
      <c r="G16" s="485">
        <f>+'EXHIBIT C'!H14+'EXHIBIT C(2)'!E17</f>
        <v>329053</v>
      </c>
    </row>
    <row r="17" spans="1:7" ht="20.100000000000001" customHeight="1">
      <c r="A17" s="463" t="s">
        <v>260</v>
      </c>
      <c r="B17" s="172"/>
      <c r="C17" s="165" t="s">
        <v>171</v>
      </c>
      <c r="D17" s="172"/>
      <c r="E17" s="172"/>
      <c r="F17" s="175">
        <v>40160</v>
      </c>
      <c r="G17" s="485">
        <f>+'EXHIBIT C'!H15+'EXHIBIT C(2)'!E18</f>
        <v>25367</v>
      </c>
    </row>
    <row r="18" spans="1:7" ht="20.100000000000001" customHeight="1">
      <c r="A18" s="463"/>
      <c r="B18" s="172"/>
      <c r="C18" s="172"/>
      <c r="D18" s="172"/>
      <c r="E18" s="172"/>
      <c r="F18" s="177"/>
      <c r="G18" s="179"/>
    </row>
    <row r="19" spans="1:7" ht="20.100000000000001" customHeight="1">
      <c r="A19" s="464" t="s">
        <v>363</v>
      </c>
      <c r="B19" s="172"/>
      <c r="C19" s="172"/>
      <c r="D19" s="172"/>
      <c r="E19" s="172"/>
      <c r="F19" s="177"/>
      <c r="G19" s="612">
        <f>SUM(G12:G17)</f>
        <v>13455647</v>
      </c>
    </row>
    <row r="20" spans="1:7" ht="20.100000000000001" customHeight="1">
      <c r="A20" s="463"/>
      <c r="B20" s="172"/>
      <c r="C20" s="172"/>
      <c r="D20" s="172"/>
      <c r="E20" s="172"/>
      <c r="F20" s="177"/>
      <c r="G20" s="180"/>
    </row>
    <row r="21" spans="1:7" ht="20.100000000000001" customHeight="1">
      <c r="A21" s="463" t="s">
        <v>275</v>
      </c>
      <c r="B21" s="172"/>
      <c r="C21" s="172" t="s">
        <v>294</v>
      </c>
      <c r="D21" s="172"/>
      <c r="E21" s="172"/>
      <c r="F21" s="175">
        <v>40301</v>
      </c>
      <c r="G21" s="181">
        <f>+'EXHIBIT C'!F19+'EXHIBIT C(2)'!E22</f>
        <v>101101</v>
      </c>
    </row>
    <row r="22" spans="1:7" ht="20.100000000000001" customHeight="1">
      <c r="A22" s="463" t="s">
        <v>275</v>
      </c>
      <c r="B22" s="172"/>
      <c r="C22" s="165" t="s">
        <v>167</v>
      </c>
      <c r="D22" s="172"/>
      <c r="E22" s="172"/>
      <c r="F22" s="177" t="s">
        <v>302</v>
      </c>
      <c r="G22" s="181">
        <f>+'EXHIBIT C'!F20+'EXHIBIT C(2)'!E23</f>
        <v>1438799</v>
      </c>
    </row>
    <row r="23" spans="1:7" ht="20.100000000000001" customHeight="1">
      <c r="A23" s="463" t="s">
        <v>275</v>
      </c>
      <c r="B23" s="172"/>
      <c r="C23" s="172" t="s">
        <v>168</v>
      </c>
      <c r="D23" s="172"/>
      <c r="E23" s="172"/>
      <c r="F23" s="177" t="s">
        <v>303</v>
      </c>
      <c r="G23" s="186">
        <f>+'EXHIBIT C'!F21+'EXHIBIT C(2)'!E24</f>
        <v>176216</v>
      </c>
    </row>
    <row r="24" spans="1:7" ht="20.100000000000001" customHeight="1">
      <c r="A24" s="463" t="s">
        <v>275</v>
      </c>
      <c r="B24" s="172"/>
      <c r="C24" s="178" t="s">
        <v>361</v>
      </c>
      <c r="D24" s="172"/>
      <c r="E24" s="172"/>
      <c r="F24" s="177" t="s">
        <v>304</v>
      </c>
      <c r="G24" s="186">
        <f>+'EXHIBIT C'!F22+'EXHIBIT C(2)'!E25</f>
        <v>0</v>
      </c>
    </row>
    <row r="25" spans="1:7" ht="20.100000000000001" customHeight="1">
      <c r="A25" s="463" t="s">
        <v>275</v>
      </c>
      <c r="B25" s="172"/>
      <c r="C25" s="178" t="s">
        <v>362</v>
      </c>
      <c r="D25" s="172"/>
      <c r="E25" s="172"/>
      <c r="F25" s="177" t="s">
        <v>305</v>
      </c>
      <c r="G25" s="186">
        <f>+'EXHIBIT C'!F23+'EXHIBIT C(2)'!E26</f>
        <v>103063</v>
      </c>
    </row>
    <row r="26" spans="1:7" ht="20.100000000000001" customHeight="1">
      <c r="A26" s="463" t="s">
        <v>275</v>
      </c>
      <c r="B26" s="172"/>
      <c r="C26" s="165" t="s">
        <v>171</v>
      </c>
      <c r="D26" s="172"/>
      <c r="E26" s="172"/>
      <c r="F26" s="175">
        <v>40360</v>
      </c>
      <c r="G26" s="186">
        <f>+'EXHIBIT C'!F24+'EXHIBIT C(2)'!E27</f>
        <v>0</v>
      </c>
    </row>
    <row r="27" spans="1:7" ht="20.100000000000001" customHeight="1">
      <c r="A27" s="463" t="s">
        <v>275</v>
      </c>
      <c r="B27" s="172"/>
      <c r="C27" s="165" t="s">
        <v>306</v>
      </c>
      <c r="D27" s="172"/>
      <c r="E27" s="172"/>
      <c r="F27" s="175" t="s">
        <v>307</v>
      </c>
      <c r="G27" s="186">
        <f>+'EXHIBIT C'!F25+'EXHIBIT C(2)'!E28</f>
        <v>0</v>
      </c>
    </row>
    <row r="28" spans="1:7" ht="20.100000000000001" customHeight="1">
      <c r="A28" s="463"/>
      <c r="B28" s="172"/>
      <c r="C28" s="172"/>
      <c r="D28" s="172"/>
      <c r="E28" s="172"/>
      <c r="F28" s="177"/>
      <c r="G28" s="182"/>
    </row>
    <row r="29" spans="1:7" ht="20.100000000000001" customHeight="1">
      <c r="A29" s="464" t="s">
        <v>364</v>
      </c>
      <c r="B29" s="172"/>
      <c r="C29" s="172"/>
      <c r="D29" s="172"/>
      <c r="E29" s="172"/>
      <c r="F29" s="177"/>
      <c r="G29" s="613">
        <f>SUM(G21:G27)</f>
        <v>1819179</v>
      </c>
    </row>
    <row r="30" spans="1:7" ht="20.100000000000001" customHeight="1">
      <c r="A30" s="463"/>
      <c r="B30" s="172"/>
      <c r="C30" s="172"/>
      <c r="D30" s="172"/>
      <c r="E30" s="172"/>
      <c r="F30" s="177"/>
      <c r="G30" s="183"/>
    </row>
    <row r="31" spans="1:7" ht="20.100000000000001" customHeight="1">
      <c r="A31" s="463" t="s">
        <v>365</v>
      </c>
      <c r="B31" s="172"/>
      <c r="C31" s="722" t="s">
        <v>315</v>
      </c>
      <c r="D31" s="722"/>
      <c r="E31" s="722"/>
      <c r="F31" s="177" t="s">
        <v>316</v>
      </c>
      <c r="G31" s="184">
        <f>'EXHIBIT C'!H33</f>
        <v>0</v>
      </c>
    </row>
    <row r="32" spans="1:7" ht="20.100000000000001" customHeight="1">
      <c r="A32" s="463" t="s">
        <v>365</v>
      </c>
      <c r="B32" s="172"/>
      <c r="C32" s="165" t="s">
        <v>317</v>
      </c>
      <c r="D32" s="172"/>
      <c r="E32" s="172"/>
      <c r="F32" s="177" t="s">
        <v>318</v>
      </c>
      <c r="G32" s="184">
        <f>'EXHIBIT C'!H34</f>
        <v>0</v>
      </c>
    </row>
    <row r="33" spans="1:7" ht="20.100000000000001" customHeight="1">
      <c r="A33" s="463" t="s">
        <v>366</v>
      </c>
      <c r="B33" s="172"/>
      <c r="C33" s="172" t="s">
        <v>315</v>
      </c>
      <c r="D33" s="172"/>
      <c r="E33" s="172"/>
      <c r="F33" s="177" t="s">
        <v>316</v>
      </c>
      <c r="G33" s="184">
        <f>'EXHIBIT C'!H35</f>
        <v>0</v>
      </c>
    </row>
    <row r="34" spans="1:7" ht="20.100000000000001" customHeight="1">
      <c r="A34" s="463" t="s">
        <v>366</v>
      </c>
      <c r="B34" s="172"/>
      <c r="C34" s="165" t="s">
        <v>317</v>
      </c>
      <c r="D34" s="172"/>
      <c r="E34" s="172"/>
      <c r="F34" s="177" t="s">
        <v>318</v>
      </c>
      <c r="G34" s="184">
        <f>'EXHIBIT C'!H36</f>
        <v>0</v>
      </c>
    </row>
    <row r="35" spans="1:7" ht="20.100000000000001" customHeight="1">
      <c r="A35" s="463"/>
      <c r="B35" s="172"/>
      <c r="C35" s="172"/>
      <c r="D35" s="172"/>
      <c r="E35" s="172"/>
      <c r="F35" s="177"/>
      <c r="G35" s="185"/>
    </row>
    <row r="36" spans="1:7" ht="20.100000000000001" customHeight="1">
      <c r="A36" s="464" t="s">
        <v>367</v>
      </c>
      <c r="B36" s="172"/>
      <c r="C36" s="172"/>
      <c r="D36" s="172"/>
      <c r="E36" s="172"/>
      <c r="F36" s="177"/>
      <c r="G36" s="613">
        <f>SUM(G31:G34)</f>
        <v>0</v>
      </c>
    </row>
    <row r="37" spans="1:7" ht="20.100000000000001" customHeight="1">
      <c r="A37" s="463"/>
      <c r="B37" s="172"/>
      <c r="C37" s="172"/>
      <c r="D37" s="172"/>
      <c r="E37" s="172"/>
      <c r="F37" s="177"/>
      <c r="G37" s="182"/>
    </row>
    <row r="38" spans="1:7" ht="20.100000000000001" customHeight="1">
      <c r="A38" s="463" t="s">
        <v>368</v>
      </c>
      <c r="B38" s="172"/>
      <c r="C38" s="172" t="s">
        <v>315</v>
      </c>
      <c r="D38" s="172"/>
      <c r="E38" s="172"/>
      <c r="F38" s="177" t="s">
        <v>322</v>
      </c>
      <c r="G38" s="186">
        <f>'EXHIBIT C'!F40</f>
        <v>0</v>
      </c>
    </row>
    <row r="39" spans="1:7" ht="20.100000000000001" customHeight="1">
      <c r="A39" s="463" t="s">
        <v>368</v>
      </c>
      <c r="B39" s="172"/>
      <c r="C39" s="723" t="s">
        <v>317</v>
      </c>
      <c r="D39" s="723"/>
      <c r="E39" s="723"/>
      <c r="F39" s="177" t="s">
        <v>323</v>
      </c>
      <c r="G39" s="186">
        <f>'EXHIBIT C'!F41</f>
        <v>0</v>
      </c>
    </row>
    <row r="40" spans="1:7" ht="20.100000000000001" customHeight="1">
      <c r="A40" s="463" t="s">
        <v>369</v>
      </c>
      <c r="B40" s="172"/>
      <c r="C40" s="172" t="s">
        <v>315</v>
      </c>
      <c r="D40" s="172"/>
      <c r="E40" s="172"/>
      <c r="F40" s="177" t="s">
        <v>322</v>
      </c>
      <c r="G40" s="186">
        <f>'EXHIBIT C'!F42</f>
        <v>0</v>
      </c>
    </row>
    <row r="41" spans="1:7" ht="20.100000000000001" customHeight="1">
      <c r="A41" s="463" t="s">
        <v>369</v>
      </c>
      <c r="B41" s="172"/>
      <c r="C41" s="723" t="s">
        <v>317</v>
      </c>
      <c r="D41" s="723"/>
      <c r="E41" s="723"/>
      <c r="F41" s="177" t="s">
        <v>323</v>
      </c>
      <c r="G41" s="186">
        <f>'EXHIBIT C'!F43</f>
        <v>0</v>
      </c>
    </row>
    <row r="42" spans="1:7" ht="20.100000000000001" customHeight="1">
      <c r="A42" s="463"/>
      <c r="B42" s="172"/>
      <c r="C42" s="172"/>
      <c r="D42" s="172"/>
      <c r="E42" s="172"/>
      <c r="F42" s="177"/>
      <c r="G42" s="182"/>
    </row>
    <row r="43" spans="1:7" ht="20.100000000000001" customHeight="1">
      <c r="A43" s="464" t="s">
        <v>370</v>
      </c>
      <c r="B43" s="172"/>
      <c r="C43" s="172"/>
      <c r="D43" s="172"/>
      <c r="E43" s="172"/>
      <c r="F43" s="177"/>
      <c r="G43" s="613">
        <f>SUM(G38:G42)</f>
        <v>0</v>
      </c>
    </row>
    <row r="44" spans="1:7" ht="20.100000000000001" customHeight="1">
      <c r="A44" s="463"/>
      <c r="B44" s="172"/>
      <c r="C44" s="172"/>
      <c r="D44" s="172"/>
      <c r="E44" s="172"/>
      <c r="F44" s="177"/>
      <c r="G44" s="183"/>
    </row>
    <row r="45" spans="1:7" ht="20.100000000000001" customHeight="1">
      <c r="A45" s="464" t="s">
        <v>371</v>
      </c>
      <c r="B45" s="172"/>
      <c r="C45" s="172"/>
      <c r="D45" s="172"/>
      <c r="E45" s="172"/>
      <c r="F45" s="177"/>
      <c r="G45" s="1117">
        <f>G19+G29+G36+G43</f>
        <v>15274826</v>
      </c>
    </row>
    <row r="46" spans="1:7" ht="20.100000000000001" customHeight="1">
      <c r="A46" s="463"/>
      <c r="B46" s="172"/>
      <c r="C46" s="172"/>
      <c r="D46" s="172"/>
      <c r="E46" s="172"/>
      <c r="F46" s="177"/>
      <c r="G46" s="182"/>
    </row>
    <row r="47" spans="1:7" ht="20.100000000000001" customHeight="1">
      <c r="A47" s="463" t="s">
        <v>372</v>
      </c>
      <c r="B47" s="172"/>
      <c r="C47" s="172"/>
      <c r="D47" s="172"/>
      <c r="E47" s="172"/>
      <c r="F47" s="177" t="s">
        <v>373</v>
      </c>
      <c r="G47" s="415">
        <v>0</v>
      </c>
    </row>
    <row r="48" spans="1:7" ht="20.100000000000001" customHeight="1">
      <c r="A48" s="463" t="s">
        <v>374</v>
      </c>
      <c r="B48" s="187"/>
      <c r="C48" s="187"/>
      <c r="D48" s="187"/>
      <c r="E48" s="187"/>
      <c r="F48" s="188" t="s">
        <v>375</v>
      </c>
      <c r="G48" s="415">
        <v>842100</v>
      </c>
    </row>
    <row r="49" spans="1:7" ht="20.100000000000001" customHeight="1">
      <c r="A49" s="463" t="s">
        <v>376</v>
      </c>
      <c r="C49" s="187"/>
      <c r="D49" s="187"/>
      <c r="E49" s="187"/>
      <c r="F49" s="188" t="s">
        <v>377</v>
      </c>
      <c r="G49" s="415">
        <f>430776+9783+10730+9138</f>
        <v>460427</v>
      </c>
    </row>
    <row r="50" spans="1:7" ht="20.100000000000001" customHeight="1">
      <c r="A50" s="463" t="s">
        <v>378</v>
      </c>
      <c r="B50" s="172"/>
      <c r="C50" s="172"/>
      <c r="D50" s="172"/>
      <c r="E50" s="172"/>
      <c r="F50" s="177" t="s">
        <v>379</v>
      </c>
      <c r="G50" s="415">
        <v>324000</v>
      </c>
    </row>
    <row r="51" spans="1:7" ht="20.100000000000001" customHeight="1">
      <c r="A51" s="463" t="s">
        <v>380</v>
      </c>
      <c r="B51" s="172"/>
      <c r="C51" s="172"/>
      <c r="D51" s="172"/>
      <c r="E51" s="172"/>
      <c r="F51" s="177" t="s">
        <v>381</v>
      </c>
      <c r="G51" s="415">
        <v>522196</v>
      </c>
    </row>
    <row r="52" spans="1:7" ht="20.100000000000001" customHeight="1">
      <c r="A52" s="463" t="s">
        <v>382</v>
      </c>
      <c r="B52" s="172"/>
      <c r="C52" s="172"/>
      <c r="D52" s="172"/>
      <c r="E52" s="172"/>
      <c r="F52" s="175">
        <v>40450</v>
      </c>
      <c r="G52" s="415">
        <v>0</v>
      </c>
    </row>
    <row r="53" spans="1:7" ht="20.100000000000001" customHeight="1">
      <c r="A53" s="463" t="s">
        <v>383</v>
      </c>
      <c r="B53" s="172"/>
      <c r="C53" s="172"/>
      <c r="D53" s="172"/>
      <c r="E53" s="172"/>
      <c r="F53" s="177" t="s">
        <v>384</v>
      </c>
      <c r="G53" s="415">
        <v>160673</v>
      </c>
    </row>
    <row r="54" spans="1:7" ht="20.100000000000001" customHeight="1">
      <c r="A54" s="463" t="s">
        <v>385</v>
      </c>
      <c r="B54" s="172"/>
      <c r="C54" s="172"/>
      <c r="D54" s="172"/>
      <c r="E54" s="172"/>
      <c r="F54" s="188" t="s">
        <v>386</v>
      </c>
      <c r="G54" s="415">
        <v>0</v>
      </c>
    </row>
    <row r="55" spans="1:7" ht="20.100000000000001" customHeight="1">
      <c r="A55" s="463" t="s">
        <v>387</v>
      </c>
      <c r="B55" s="172"/>
      <c r="C55" s="172"/>
      <c r="D55" s="172"/>
      <c r="E55" s="172"/>
      <c r="F55" s="177" t="s">
        <v>388</v>
      </c>
      <c r="G55" s="415">
        <v>0</v>
      </c>
    </row>
    <row r="56" spans="1:7" ht="20.100000000000001" customHeight="1">
      <c r="A56" s="463" t="s">
        <v>389</v>
      </c>
      <c r="B56" s="172"/>
      <c r="C56" s="172"/>
      <c r="D56" s="172"/>
      <c r="E56" s="172"/>
      <c r="F56" s="188" t="s">
        <v>390</v>
      </c>
      <c r="G56" s="415">
        <v>0</v>
      </c>
    </row>
    <row r="57" spans="1:7" ht="20.100000000000001" customHeight="1">
      <c r="A57" s="463" t="s">
        <v>391</v>
      </c>
      <c r="B57" s="172"/>
      <c r="C57" s="172"/>
      <c r="D57" s="172"/>
      <c r="E57" s="172"/>
      <c r="F57" s="177" t="s">
        <v>392</v>
      </c>
      <c r="G57" s="415">
        <f>47+28400</f>
        <v>28447</v>
      </c>
    </row>
    <row r="58" spans="1:7" ht="20.100000000000001" customHeight="1">
      <c r="A58" s="463" t="s">
        <v>393</v>
      </c>
      <c r="B58" s="172"/>
      <c r="C58" s="172"/>
      <c r="D58" s="172"/>
      <c r="E58" s="172"/>
      <c r="F58" s="177" t="s">
        <v>394</v>
      </c>
      <c r="G58" s="415">
        <v>0</v>
      </c>
    </row>
    <row r="59" spans="1:7" ht="20.100000000000001" customHeight="1">
      <c r="A59" s="463" t="s">
        <v>395</v>
      </c>
      <c r="B59" s="172"/>
      <c r="C59" s="172"/>
      <c r="D59" s="172"/>
      <c r="E59" s="172"/>
      <c r="F59" s="189" t="s">
        <v>396</v>
      </c>
      <c r="G59" s="415">
        <f>701637+41486</f>
        <v>743123</v>
      </c>
    </row>
    <row r="60" spans="1:7" ht="20.100000000000001" customHeight="1">
      <c r="A60" s="463" t="s">
        <v>397</v>
      </c>
      <c r="B60" s="172"/>
      <c r="C60" s="172"/>
      <c r="D60" s="172"/>
      <c r="E60" s="172"/>
      <c r="F60" s="177" t="s">
        <v>398</v>
      </c>
      <c r="G60" s="415">
        <f>2004+20000+10597+835820+80+2046+87479</f>
        <v>958026</v>
      </c>
    </row>
    <row r="61" spans="1:7" ht="20.100000000000001" customHeight="1">
      <c r="A61" s="463" t="s">
        <v>399</v>
      </c>
      <c r="B61" s="172"/>
      <c r="C61" s="172"/>
      <c r="D61" s="172"/>
      <c r="E61" s="172"/>
      <c r="F61" s="188" t="s">
        <v>400</v>
      </c>
      <c r="G61" s="415">
        <v>0</v>
      </c>
    </row>
    <row r="62" spans="1:7" ht="20.100000000000001" customHeight="1">
      <c r="A62" s="463" t="s">
        <v>401</v>
      </c>
      <c r="B62" s="172"/>
      <c r="C62" s="172"/>
      <c r="D62" s="172"/>
      <c r="E62" s="172"/>
      <c r="F62" s="188" t="s">
        <v>402</v>
      </c>
      <c r="G62" s="415">
        <v>52015</v>
      </c>
    </row>
    <row r="63" spans="1:7" ht="20.100000000000001" customHeight="1">
      <c r="A63" s="463"/>
      <c r="B63" s="172"/>
      <c r="C63" s="172"/>
      <c r="D63" s="172"/>
      <c r="E63" s="172"/>
      <c r="F63" s="177"/>
      <c r="G63" s="614"/>
    </row>
    <row r="64" spans="1:7" ht="20.100000000000001" customHeight="1">
      <c r="A64" s="464" t="s">
        <v>403</v>
      </c>
      <c r="B64" s="172"/>
      <c r="C64" s="172"/>
      <c r="D64" s="172"/>
      <c r="E64" s="172"/>
      <c r="F64" s="177"/>
      <c r="G64" s="1118">
        <f>SUM(G45:G62)</f>
        <v>19365833</v>
      </c>
    </row>
    <row r="65" spans="1:7" ht="20.100000000000001" customHeight="1">
      <c r="A65" s="463"/>
      <c r="B65" s="172"/>
      <c r="C65" s="172"/>
      <c r="D65" s="172"/>
      <c r="E65" s="172"/>
      <c r="F65" s="177"/>
      <c r="G65" s="182"/>
    </row>
    <row r="66" spans="1:7" ht="20.100000000000001" customHeight="1">
      <c r="A66" s="1119" t="s">
        <v>404</v>
      </c>
      <c r="B66" s="724"/>
      <c r="C66" s="724"/>
      <c r="D66" s="724"/>
      <c r="E66" s="724"/>
      <c r="F66" s="725"/>
      <c r="G66" s="615"/>
    </row>
    <row r="67" spans="1:7" ht="20.100000000000001" customHeight="1">
      <c r="A67" s="463"/>
      <c r="B67" s="172"/>
      <c r="C67" s="172"/>
      <c r="D67" s="172"/>
      <c r="E67" s="172"/>
      <c r="F67" s="177"/>
      <c r="G67" s="182"/>
    </row>
    <row r="68" spans="1:7" ht="20.100000000000001" customHeight="1">
      <c r="A68" s="463" t="s">
        <v>405</v>
      </c>
      <c r="B68" s="172"/>
      <c r="C68" s="172"/>
      <c r="D68" s="172"/>
      <c r="E68" s="172"/>
      <c r="F68" s="177" t="s">
        <v>406</v>
      </c>
      <c r="G68" s="415">
        <v>0</v>
      </c>
    </row>
    <row r="69" spans="1:7" ht="20.100000000000001" customHeight="1">
      <c r="A69" s="463" t="s">
        <v>407</v>
      </c>
      <c r="B69" s="172"/>
      <c r="C69" s="172"/>
      <c r="D69" s="172"/>
      <c r="E69" s="172"/>
      <c r="F69" s="177" t="s">
        <v>408</v>
      </c>
      <c r="G69" s="415">
        <v>1447861</v>
      </c>
    </row>
    <row r="70" spans="1:7" ht="20.100000000000001" customHeight="1">
      <c r="A70" s="463" t="s">
        <v>409</v>
      </c>
      <c r="B70" s="172"/>
      <c r="C70" s="172"/>
      <c r="D70" s="172"/>
      <c r="E70" s="172"/>
      <c r="F70" s="177" t="s">
        <v>410</v>
      </c>
      <c r="G70" s="415">
        <v>0</v>
      </c>
    </row>
    <row r="71" spans="1:7" ht="20.100000000000001" customHeight="1">
      <c r="A71" s="463"/>
      <c r="B71" s="172"/>
      <c r="C71" s="172"/>
      <c r="D71" s="172"/>
      <c r="E71" s="172"/>
      <c r="F71" s="177"/>
      <c r="G71" s="614"/>
    </row>
    <row r="72" spans="1:7" ht="20.100000000000001" customHeight="1">
      <c r="A72" s="464" t="s">
        <v>411</v>
      </c>
      <c r="B72" s="172"/>
      <c r="C72" s="172"/>
      <c r="D72" s="172"/>
      <c r="E72" s="172"/>
      <c r="F72" s="177"/>
      <c r="G72" s="210">
        <f>SUM(G68:G70)</f>
        <v>1447861</v>
      </c>
    </row>
    <row r="73" spans="1:7" ht="20.100000000000001" customHeight="1">
      <c r="A73" s="1120"/>
      <c r="B73" s="538"/>
      <c r="C73" s="538"/>
      <c r="D73" s="538"/>
      <c r="E73" s="538"/>
      <c r="F73" s="539"/>
      <c r="G73" s="616"/>
    </row>
    <row r="74" spans="1:7" ht="20.100000000000001" customHeight="1">
      <c r="A74" s="1119" t="s">
        <v>412</v>
      </c>
      <c r="B74" s="724"/>
      <c r="C74" s="724"/>
      <c r="D74" s="724"/>
      <c r="E74" s="724"/>
      <c r="F74" s="725"/>
      <c r="G74" s="1121"/>
    </row>
    <row r="75" spans="1:7" ht="20.100000000000001" customHeight="1">
      <c r="A75" s="463"/>
      <c r="B75" s="172"/>
      <c r="C75" s="172"/>
      <c r="D75" s="172"/>
      <c r="E75" s="172"/>
      <c r="F75" s="177"/>
      <c r="G75" s="190"/>
    </row>
    <row r="76" spans="1:7" ht="20.100000000000001" customHeight="1">
      <c r="A76" s="463" t="s">
        <v>413</v>
      </c>
      <c r="B76" s="172"/>
      <c r="C76" s="172"/>
      <c r="D76" s="172"/>
      <c r="E76" s="172"/>
      <c r="F76" s="177" t="s">
        <v>414</v>
      </c>
      <c r="G76" s="486">
        <f>'CHECK SHEET'!D84</f>
        <v>31285444.06757804</v>
      </c>
    </row>
    <row r="77" spans="1:7" ht="20.100000000000001" customHeight="1">
      <c r="A77" s="463" t="s">
        <v>415</v>
      </c>
      <c r="B77" s="172"/>
      <c r="C77" s="172"/>
      <c r="D77" s="172"/>
      <c r="E77" s="172"/>
      <c r="F77" s="175">
        <v>42130</v>
      </c>
      <c r="G77" s="487">
        <v>1708676</v>
      </c>
    </row>
    <row r="78" spans="1:7" ht="20.100000000000001" customHeight="1">
      <c r="A78" s="465" t="s">
        <v>416</v>
      </c>
      <c r="B78" s="466"/>
      <c r="C78" s="466"/>
      <c r="D78" s="466"/>
      <c r="E78" s="466"/>
      <c r="F78" s="191" t="s">
        <v>417</v>
      </c>
      <c r="G78" s="488">
        <v>538310</v>
      </c>
    </row>
    <row r="79" spans="1:7" ht="20.100000000000001" customHeight="1">
      <c r="A79" s="465" t="s">
        <v>418</v>
      </c>
      <c r="B79" s="466"/>
      <c r="C79" s="466"/>
      <c r="D79" s="466"/>
      <c r="E79" s="466"/>
      <c r="F79" s="191" t="s">
        <v>419</v>
      </c>
      <c r="G79" s="487">
        <v>0</v>
      </c>
    </row>
    <row r="80" spans="1:7" ht="20.100000000000001" customHeight="1">
      <c r="A80" s="463" t="s">
        <v>420</v>
      </c>
      <c r="B80" s="172"/>
      <c r="C80" s="172"/>
      <c r="D80" s="172"/>
      <c r="E80" s="172"/>
      <c r="F80" s="177" t="s">
        <v>421</v>
      </c>
      <c r="G80" s="487">
        <v>0</v>
      </c>
    </row>
    <row r="81" spans="1:10" ht="20.100000000000001" customHeight="1">
      <c r="A81" s="463" t="s">
        <v>422</v>
      </c>
      <c r="B81" s="172"/>
      <c r="C81" s="172"/>
      <c r="D81" s="172"/>
      <c r="E81" s="172"/>
      <c r="F81" s="177" t="s">
        <v>423</v>
      </c>
      <c r="G81" s="487">
        <v>0</v>
      </c>
    </row>
    <row r="82" spans="1:10" ht="20.100000000000001" customHeight="1">
      <c r="A82" s="463" t="s">
        <v>424</v>
      </c>
      <c r="B82" s="172"/>
      <c r="C82" s="172"/>
      <c r="D82" s="172"/>
      <c r="E82" s="172"/>
      <c r="F82" s="177" t="s">
        <v>425</v>
      </c>
      <c r="G82" s="486">
        <f>'CHECK SHEET'!D86</f>
        <v>5148765.9324219599</v>
      </c>
    </row>
    <row r="83" spans="1:10" ht="20.100000000000001" customHeight="1">
      <c r="A83" s="467" t="s">
        <v>426</v>
      </c>
      <c r="B83" s="468"/>
      <c r="C83" s="468"/>
      <c r="D83" s="468"/>
      <c r="E83" s="468"/>
      <c r="F83" s="190" t="s">
        <v>427</v>
      </c>
      <c r="G83" s="487">
        <v>0</v>
      </c>
    </row>
    <row r="84" spans="1:10" ht="20.100000000000001" customHeight="1">
      <c r="A84" s="463" t="s">
        <v>428</v>
      </c>
      <c r="B84" s="172"/>
      <c r="C84" s="172"/>
      <c r="D84" s="172"/>
      <c r="E84" s="172"/>
      <c r="F84" s="177" t="s">
        <v>429</v>
      </c>
      <c r="G84" s="487">
        <v>76892</v>
      </c>
    </row>
    <row r="85" spans="1:10" ht="20.100000000000001" customHeight="1">
      <c r="A85" s="463"/>
      <c r="B85" s="172"/>
      <c r="C85" s="172"/>
      <c r="D85" s="172"/>
      <c r="E85" s="172"/>
      <c r="F85" s="177"/>
      <c r="G85" s="617"/>
    </row>
    <row r="86" spans="1:10" ht="20.100000000000001" customHeight="1">
      <c r="A86" s="464" t="s">
        <v>430</v>
      </c>
      <c r="B86" s="172"/>
      <c r="C86" s="172"/>
      <c r="D86" s="172"/>
      <c r="E86" s="172"/>
      <c r="F86" s="177"/>
      <c r="G86" s="211">
        <f>SUM(G76:G84)</f>
        <v>38758088</v>
      </c>
    </row>
    <row r="87" spans="1:10" ht="20.100000000000001" customHeight="1">
      <c r="A87" s="1120"/>
      <c r="B87" s="538"/>
      <c r="C87" s="538"/>
      <c r="D87" s="538"/>
      <c r="E87" s="538"/>
      <c r="F87" s="539"/>
      <c r="G87" s="616"/>
    </row>
    <row r="88" spans="1:10" ht="20.100000000000001" customHeight="1">
      <c r="A88" s="726" t="s">
        <v>431</v>
      </c>
      <c r="B88" s="727"/>
      <c r="C88" s="727"/>
      <c r="D88" s="727"/>
      <c r="E88" s="727"/>
      <c r="F88" s="728"/>
      <c r="G88" s="1121"/>
    </row>
    <row r="89" spans="1:10" ht="20.100000000000001" customHeight="1">
      <c r="A89" s="463"/>
      <c r="B89" s="172"/>
      <c r="C89" s="172"/>
      <c r="D89" s="172"/>
      <c r="E89" s="172"/>
      <c r="F89" s="177"/>
      <c r="G89" s="190"/>
    </row>
    <row r="90" spans="1:10" ht="20.100000000000001" customHeight="1">
      <c r="A90" s="463" t="s">
        <v>432</v>
      </c>
      <c r="B90" s="172"/>
      <c r="C90" s="172"/>
      <c r="D90" s="172"/>
      <c r="E90" s="172"/>
      <c r="F90" s="177" t="s">
        <v>433</v>
      </c>
      <c r="G90" s="418">
        <v>0</v>
      </c>
    </row>
    <row r="91" spans="1:10" ht="20.100000000000001" customHeight="1">
      <c r="A91" s="463" t="s">
        <v>434</v>
      </c>
      <c r="B91" s="172"/>
      <c r="C91" s="172"/>
      <c r="D91" s="172"/>
      <c r="E91" s="172"/>
      <c r="F91" s="859">
        <v>43518</v>
      </c>
      <c r="G91" s="489">
        <v>0</v>
      </c>
      <c r="J91" s="192"/>
    </row>
    <row r="92" spans="1:10" ht="20.100000000000001" customHeight="1">
      <c r="A92" s="463" t="s">
        <v>435</v>
      </c>
      <c r="B92" s="172"/>
      <c r="C92" s="172"/>
      <c r="D92" s="172"/>
      <c r="E92" s="172"/>
      <c r="F92" s="859">
        <v>43519</v>
      </c>
      <c r="G92" s="489">
        <v>0</v>
      </c>
    </row>
    <row r="93" spans="1:10" ht="20.100000000000001" customHeight="1">
      <c r="A93" s="463" t="s">
        <v>436</v>
      </c>
      <c r="B93" s="172"/>
      <c r="C93" s="172"/>
      <c r="D93" s="172"/>
      <c r="E93" s="172"/>
      <c r="F93" s="195">
        <v>43521</v>
      </c>
      <c r="G93" s="489">
        <v>0</v>
      </c>
    </row>
    <row r="94" spans="1:10" ht="20.100000000000001" customHeight="1">
      <c r="A94" s="463" t="s">
        <v>437</v>
      </c>
      <c r="B94" s="172"/>
      <c r="C94" s="172"/>
      <c r="D94" s="172"/>
      <c r="E94" s="172"/>
      <c r="F94" s="195">
        <v>43526</v>
      </c>
      <c r="G94" s="489">
        <v>0</v>
      </c>
    </row>
    <row r="95" spans="1:10" ht="20.100000000000001" customHeight="1">
      <c r="A95" s="463" t="s">
        <v>438</v>
      </c>
      <c r="B95" s="172"/>
      <c r="C95" s="172"/>
      <c r="D95" s="172"/>
      <c r="E95" s="172"/>
      <c r="F95" s="177" t="s">
        <v>439</v>
      </c>
      <c r="G95" s="415">
        <v>26000</v>
      </c>
    </row>
    <row r="96" spans="1:10" ht="20.100000000000001" customHeight="1">
      <c r="A96" s="566"/>
      <c r="B96" s="540"/>
      <c r="C96" s="540"/>
      <c r="D96" s="540"/>
      <c r="E96" s="540"/>
      <c r="F96" s="556"/>
      <c r="G96" s="617"/>
    </row>
    <row r="97" spans="1:7" ht="20.100000000000001" customHeight="1">
      <c r="A97" s="464" t="s">
        <v>440</v>
      </c>
      <c r="B97" s="172"/>
      <c r="C97" s="172"/>
      <c r="D97" s="172"/>
      <c r="E97" s="172"/>
      <c r="F97" s="193"/>
      <c r="G97" s="1122">
        <f>SUM(G90:G95)</f>
        <v>26000</v>
      </c>
    </row>
    <row r="98" spans="1:7" ht="20.100000000000001" customHeight="1">
      <c r="A98" s="463"/>
      <c r="B98" s="172"/>
      <c r="C98" s="172"/>
      <c r="D98" s="172"/>
      <c r="E98" s="172"/>
      <c r="F98" s="177"/>
      <c r="G98" s="194"/>
    </row>
    <row r="99" spans="1:7" ht="20.100000000000001" customHeight="1">
      <c r="A99" s="729" t="s">
        <v>441</v>
      </c>
      <c r="B99" s="730"/>
      <c r="C99" s="730"/>
      <c r="D99" s="730"/>
      <c r="E99" s="730"/>
      <c r="F99" s="731"/>
      <c r="G99" s="618"/>
    </row>
    <row r="100" spans="1:7" ht="20.100000000000001" customHeight="1">
      <c r="A100" s="463"/>
      <c r="B100" s="172"/>
      <c r="C100" s="172"/>
      <c r="D100" s="172"/>
      <c r="E100" s="172"/>
      <c r="F100" s="177"/>
      <c r="G100" s="194"/>
    </row>
    <row r="101" spans="1:7" ht="20.100000000000001" customHeight="1">
      <c r="A101" s="463" t="s">
        <v>442</v>
      </c>
      <c r="B101" s="172"/>
      <c r="C101" s="172"/>
      <c r="D101" s="172"/>
      <c r="E101" s="172"/>
      <c r="F101" s="177" t="s">
        <v>443</v>
      </c>
      <c r="G101" s="418">
        <v>0</v>
      </c>
    </row>
    <row r="102" spans="1:7" ht="20.100000000000001" customHeight="1">
      <c r="A102" s="463" t="s">
        <v>444</v>
      </c>
      <c r="B102" s="172"/>
      <c r="C102" s="172"/>
      <c r="D102" s="172"/>
      <c r="E102" s="172"/>
      <c r="F102" s="177" t="s">
        <v>445</v>
      </c>
      <c r="G102" s="416">
        <v>0</v>
      </c>
    </row>
    <row r="103" spans="1:7" ht="20.100000000000001" customHeight="1">
      <c r="A103" s="463" t="s">
        <v>446</v>
      </c>
      <c r="B103" s="172"/>
      <c r="C103" s="172"/>
      <c r="D103" s="172"/>
      <c r="E103" s="172"/>
      <c r="F103" s="195">
        <v>44400</v>
      </c>
      <c r="G103" s="417">
        <v>0</v>
      </c>
    </row>
    <row r="104" spans="1:7" ht="20.100000000000001" customHeight="1">
      <c r="A104" s="463" t="s">
        <v>447</v>
      </c>
      <c r="B104" s="172"/>
      <c r="C104" s="172"/>
      <c r="D104" s="172"/>
      <c r="E104" s="172"/>
      <c r="F104" s="177" t="s">
        <v>448</v>
      </c>
      <c r="G104" s="416">
        <v>0</v>
      </c>
    </row>
    <row r="105" spans="1:7" ht="20.100000000000001" customHeight="1">
      <c r="A105" s="463"/>
      <c r="B105" s="172"/>
      <c r="C105" s="172"/>
      <c r="D105" s="172"/>
      <c r="E105" s="172"/>
      <c r="F105" s="177"/>
      <c r="G105" s="619"/>
    </row>
    <row r="106" spans="1:7" ht="20.100000000000001" customHeight="1">
      <c r="A106" s="464" t="s">
        <v>449</v>
      </c>
      <c r="B106" s="172"/>
      <c r="C106" s="172"/>
      <c r="D106" s="172"/>
      <c r="E106" s="172"/>
      <c r="F106" s="177"/>
      <c r="G106" s="1122">
        <f>SUM(G101:G104)</f>
        <v>0</v>
      </c>
    </row>
    <row r="107" spans="1:7" ht="20.100000000000001" customHeight="1">
      <c r="A107" s="463"/>
      <c r="B107" s="172"/>
      <c r="C107" s="172"/>
      <c r="D107" s="172"/>
      <c r="E107" s="172"/>
      <c r="F107" s="177"/>
      <c r="G107" s="194"/>
    </row>
    <row r="108" spans="1:7" ht="20.100000000000001" customHeight="1">
      <c r="A108" s="1119" t="s">
        <v>450</v>
      </c>
      <c r="B108" s="724"/>
      <c r="C108" s="724"/>
      <c r="D108" s="724"/>
      <c r="E108" s="724"/>
      <c r="F108" s="725"/>
      <c r="G108" s="620"/>
    </row>
    <row r="109" spans="1:7" ht="20.100000000000001" customHeight="1">
      <c r="A109" s="463"/>
      <c r="B109" s="172"/>
      <c r="C109" s="172"/>
      <c r="D109" s="172"/>
      <c r="E109" s="172"/>
      <c r="F109" s="177"/>
      <c r="G109" s="194"/>
    </row>
    <row r="110" spans="1:7" ht="20.100000000000001" customHeight="1">
      <c r="A110" s="463" t="s">
        <v>451</v>
      </c>
      <c r="B110" s="172"/>
      <c r="C110" s="172"/>
      <c r="D110" s="172"/>
      <c r="E110" s="172"/>
      <c r="F110" s="177" t="s">
        <v>452</v>
      </c>
      <c r="G110" s="418">
        <v>0</v>
      </c>
    </row>
    <row r="111" spans="1:7" ht="20.100000000000001" customHeight="1">
      <c r="A111" s="463" t="s">
        <v>453</v>
      </c>
      <c r="B111" s="172"/>
      <c r="C111" s="172"/>
      <c r="D111" s="172"/>
      <c r="E111" s="172"/>
      <c r="F111" s="177" t="s">
        <v>454</v>
      </c>
      <c r="G111" s="416">
        <f>370688+320355</f>
        <v>691043</v>
      </c>
    </row>
    <row r="112" spans="1:7" ht="20.100000000000001" customHeight="1">
      <c r="A112" s="463" t="s">
        <v>455</v>
      </c>
      <c r="B112" s="172"/>
      <c r="C112" s="172"/>
      <c r="D112" s="172"/>
      <c r="E112" s="172"/>
      <c r="F112" s="177" t="s">
        <v>456</v>
      </c>
      <c r="G112" s="416">
        <f>20000+6835+145750</f>
        <v>172585</v>
      </c>
    </row>
    <row r="113" spans="1:7" ht="20.100000000000001" customHeight="1">
      <c r="A113" s="463" t="s">
        <v>457</v>
      </c>
      <c r="B113" s="172"/>
      <c r="C113" s="172"/>
      <c r="D113" s="172"/>
      <c r="E113" s="172"/>
      <c r="F113" s="177" t="s">
        <v>458</v>
      </c>
      <c r="G113" s="416">
        <v>0</v>
      </c>
    </row>
    <row r="114" spans="1:7" ht="20.100000000000001" customHeight="1">
      <c r="A114" s="463" t="s">
        <v>459</v>
      </c>
      <c r="B114" s="172"/>
      <c r="C114" s="172"/>
      <c r="D114" s="172"/>
      <c r="E114" s="172"/>
      <c r="F114" s="177" t="s">
        <v>460</v>
      </c>
      <c r="G114" s="926">
        <v>113736</v>
      </c>
    </row>
    <row r="115" spans="1:7" ht="20.100000000000001" customHeight="1">
      <c r="A115" s="463"/>
      <c r="B115" s="172"/>
      <c r="C115" s="172"/>
      <c r="D115" s="172"/>
      <c r="E115" s="172"/>
      <c r="F115" s="177"/>
      <c r="G115" s="619"/>
    </row>
    <row r="116" spans="1:7" ht="20.100000000000001" customHeight="1">
      <c r="A116" s="1123" t="s">
        <v>461</v>
      </c>
      <c r="B116" s="1124"/>
      <c r="C116" s="1124"/>
      <c r="D116" s="1124"/>
      <c r="E116" s="1124"/>
      <c r="F116" s="1125"/>
      <c r="G116" s="1122">
        <f>SUM(G110:G114)</f>
        <v>977364</v>
      </c>
    </row>
    <row r="117" spans="1:7" ht="20.100000000000001" customHeight="1">
      <c r="A117" s="463"/>
      <c r="B117" s="172"/>
      <c r="C117" s="172"/>
      <c r="D117" s="172"/>
      <c r="E117" s="172"/>
      <c r="F117" s="469"/>
      <c r="G117" s="470"/>
    </row>
    <row r="118" spans="1:7" ht="20.100000000000001" customHeight="1">
      <c r="A118" s="621" t="s">
        <v>462</v>
      </c>
      <c r="B118" s="541"/>
      <c r="C118" s="541"/>
      <c r="D118" s="541"/>
      <c r="E118" s="541"/>
      <c r="F118" s="542" t="s">
        <v>463</v>
      </c>
      <c r="G118" s="1126">
        <v>0</v>
      </c>
    </row>
    <row r="119" spans="1:7" ht="20.100000000000001" customHeight="1">
      <c r="A119" s="471"/>
      <c r="F119" s="195"/>
      <c r="G119" s="196"/>
    </row>
    <row r="120" spans="1:7" ht="20.100000000000001" customHeight="1">
      <c r="A120" s="464" t="s">
        <v>464</v>
      </c>
      <c r="C120" s="172"/>
      <c r="D120" s="172"/>
      <c r="F120" s="195"/>
      <c r="G120" s="1122">
        <f>G118</f>
        <v>0</v>
      </c>
    </row>
    <row r="121" spans="1:7" ht="20.100000000000001" customHeight="1">
      <c r="A121" s="471"/>
      <c r="F121" s="195"/>
      <c r="G121" s="194"/>
    </row>
    <row r="122" spans="1:7" ht="20.100000000000001" customHeight="1">
      <c r="A122" s="729" t="s">
        <v>465</v>
      </c>
      <c r="B122" s="730"/>
      <c r="C122" s="730"/>
      <c r="D122" s="730"/>
      <c r="E122" s="730"/>
      <c r="F122" s="731"/>
      <c r="G122" s="618"/>
    </row>
    <row r="123" spans="1:7" ht="20.100000000000001" customHeight="1">
      <c r="A123" s="463"/>
      <c r="B123" s="172"/>
      <c r="C123" s="172"/>
      <c r="D123" s="172"/>
      <c r="E123" s="172"/>
      <c r="F123" s="177"/>
      <c r="G123" s="194"/>
    </row>
    <row r="124" spans="1:7" ht="20.100000000000001" customHeight="1">
      <c r="A124" s="463" t="s">
        <v>466</v>
      </c>
      <c r="B124" s="172"/>
      <c r="C124" s="172"/>
      <c r="D124" s="172"/>
      <c r="E124" s="172"/>
      <c r="F124" s="177" t="s">
        <v>467</v>
      </c>
      <c r="G124" s="418">
        <f>765203+196464+159183</f>
        <v>1120850</v>
      </c>
    </row>
    <row r="125" spans="1:7" ht="20.100000000000001" customHeight="1">
      <c r="A125" s="463" t="s">
        <v>468</v>
      </c>
      <c r="B125" s="172"/>
      <c r="C125" s="172"/>
      <c r="D125" s="172"/>
      <c r="E125" s="172"/>
      <c r="F125" s="177" t="s">
        <v>469</v>
      </c>
      <c r="G125" s="416">
        <v>0</v>
      </c>
    </row>
    <row r="126" spans="1:7" ht="20.100000000000001" customHeight="1">
      <c r="A126" s="463" t="s">
        <v>470</v>
      </c>
      <c r="B126" s="172"/>
      <c r="C126" s="172"/>
      <c r="D126" s="172"/>
      <c r="E126" s="172"/>
      <c r="F126" s="177" t="s">
        <v>471</v>
      </c>
      <c r="G126" s="416">
        <v>307</v>
      </c>
    </row>
    <row r="127" spans="1:7" ht="20.100000000000001" customHeight="1">
      <c r="A127" s="463" t="s">
        <v>472</v>
      </c>
      <c r="B127" s="172"/>
      <c r="C127" s="172"/>
      <c r="D127" s="172"/>
      <c r="E127" s="172"/>
      <c r="F127" s="177" t="s">
        <v>473</v>
      </c>
      <c r="G127" s="416">
        <f>166000+42082+3264</f>
        <v>211346</v>
      </c>
    </row>
    <row r="128" spans="1:7" ht="20.100000000000001" customHeight="1">
      <c r="A128" s="463"/>
      <c r="B128" s="172"/>
      <c r="C128" s="172"/>
      <c r="D128" s="172"/>
      <c r="E128" s="172"/>
      <c r="F128" s="177"/>
      <c r="G128" s="619"/>
    </row>
    <row r="129" spans="1:7" ht="20.100000000000001" customHeight="1">
      <c r="A129" s="464" t="s">
        <v>474</v>
      </c>
      <c r="B129" s="172"/>
      <c r="C129" s="172"/>
      <c r="D129" s="172"/>
      <c r="E129" s="172"/>
      <c r="F129" s="177"/>
      <c r="G129" s="1122">
        <f>SUM(G124:G127)</f>
        <v>1332503</v>
      </c>
    </row>
    <row r="130" spans="1:7" ht="20.100000000000001" customHeight="1">
      <c r="A130" s="463"/>
      <c r="B130" s="172"/>
      <c r="C130" s="172"/>
      <c r="D130" s="172"/>
      <c r="E130" s="172"/>
      <c r="F130" s="177"/>
      <c r="G130" s="194"/>
    </row>
    <row r="131" spans="1:7" ht="20.100000000000001" customHeight="1">
      <c r="A131" s="1119" t="s">
        <v>475</v>
      </c>
      <c r="B131" s="724"/>
      <c r="C131" s="724"/>
      <c r="D131" s="724"/>
      <c r="E131" s="724"/>
      <c r="F131" s="725"/>
      <c r="G131" s="620"/>
    </row>
    <row r="132" spans="1:7" ht="20.100000000000001" customHeight="1">
      <c r="A132" s="463"/>
      <c r="B132" s="172"/>
      <c r="C132" s="172"/>
      <c r="D132" s="172"/>
      <c r="E132" s="172"/>
      <c r="F132" s="177"/>
      <c r="G132" s="194"/>
    </row>
    <row r="133" spans="1:7" ht="20.100000000000001" customHeight="1">
      <c r="A133" s="463" t="s">
        <v>476</v>
      </c>
      <c r="B133" s="172"/>
      <c r="C133" s="172"/>
      <c r="D133" s="472"/>
      <c r="E133" s="187"/>
      <c r="F133" s="941" t="s">
        <v>477</v>
      </c>
      <c r="G133" s="418">
        <v>0</v>
      </c>
    </row>
    <row r="134" spans="1:7" ht="20.100000000000001" customHeight="1">
      <c r="A134" s="463" t="s">
        <v>478</v>
      </c>
      <c r="B134" s="172"/>
      <c r="C134" s="172"/>
      <c r="D134" s="472"/>
      <c r="E134" s="187"/>
      <c r="F134" s="1001">
        <v>49200</v>
      </c>
      <c r="G134" s="416">
        <f>275168</f>
        <v>275168</v>
      </c>
    </row>
    <row r="135" spans="1:7" ht="20.100000000000001" customHeight="1">
      <c r="A135" s="463" t="s">
        <v>479</v>
      </c>
      <c r="B135" s="172"/>
      <c r="C135" s="172"/>
      <c r="D135" s="172"/>
      <c r="E135" s="172"/>
      <c r="F135" s="904" t="s">
        <v>480</v>
      </c>
      <c r="G135" s="416">
        <v>0</v>
      </c>
    </row>
    <row r="136" spans="1:7" ht="20.100000000000001" customHeight="1">
      <c r="A136" s="463" t="s">
        <v>481</v>
      </c>
      <c r="B136" s="172"/>
      <c r="C136" s="172"/>
      <c r="D136" s="172"/>
      <c r="E136" s="172"/>
      <c r="F136" s="175">
        <v>49520</v>
      </c>
      <c r="G136" s="416">
        <v>0</v>
      </c>
    </row>
    <row r="137" spans="1:7" ht="20.100000000000001" customHeight="1">
      <c r="A137" s="874" t="s">
        <v>482</v>
      </c>
      <c r="B137" s="172"/>
      <c r="C137" s="172"/>
      <c r="D137" s="172"/>
      <c r="E137" s="172"/>
      <c r="F137" s="195">
        <v>49521</v>
      </c>
      <c r="G137" s="416">
        <v>0</v>
      </c>
    </row>
    <row r="138" spans="1:7" ht="20.100000000000001" customHeight="1">
      <c r="A138" s="463" t="s">
        <v>483</v>
      </c>
      <c r="B138" s="172"/>
      <c r="C138" s="172"/>
      <c r="D138" s="172"/>
      <c r="E138" s="172"/>
      <c r="F138" s="177" t="s">
        <v>484</v>
      </c>
      <c r="G138" s="416">
        <v>0</v>
      </c>
    </row>
    <row r="139" spans="1:7" ht="20.100000000000001" customHeight="1">
      <c r="A139" s="463" t="s">
        <v>485</v>
      </c>
      <c r="B139" s="172"/>
      <c r="C139" s="172"/>
      <c r="D139" s="172"/>
      <c r="E139" s="172"/>
      <c r="F139" s="177" t="s">
        <v>486</v>
      </c>
      <c r="G139" s="416">
        <v>100</v>
      </c>
    </row>
    <row r="140" spans="1:7" ht="20.100000000000001" customHeight="1">
      <c r="A140" s="463"/>
      <c r="B140" s="172"/>
      <c r="C140" s="172"/>
      <c r="D140" s="172"/>
      <c r="E140" s="172"/>
      <c r="F140" s="177"/>
      <c r="G140" s="619"/>
    </row>
    <row r="141" spans="1:7" ht="20.100000000000001" customHeight="1">
      <c r="A141" s="464" t="s">
        <v>487</v>
      </c>
      <c r="B141" s="172"/>
      <c r="C141" s="172"/>
      <c r="D141" s="172"/>
      <c r="E141" s="172"/>
      <c r="F141" s="177"/>
      <c r="G141" s="1122">
        <f>SUM(G133:G139)</f>
        <v>275268</v>
      </c>
    </row>
    <row r="142" spans="1:7" ht="20.100000000000001" customHeight="1">
      <c r="A142" s="463"/>
      <c r="B142" s="172"/>
      <c r="C142" s="172"/>
      <c r="D142" s="172"/>
      <c r="E142" s="172"/>
      <c r="F142" s="177"/>
      <c r="G142" s="194"/>
    </row>
    <row r="143" spans="1:7" ht="20.100000000000001" customHeight="1" thickBot="1">
      <c r="A143" s="492" t="s">
        <v>488</v>
      </c>
      <c r="B143" s="493"/>
      <c r="C143" s="493"/>
      <c r="D143" s="493"/>
      <c r="E143" s="493"/>
      <c r="F143" s="494"/>
      <c r="G143" s="496">
        <f>G64+G72+G86+G97+G106+G116+G120+G129+G141</f>
        <v>62182917</v>
      </c>
    </row>
    <row r="144" spans="1:7" ht="20.100000000000001" customHeight="1" thickTop="1">
      <c r="A144" s="1120"/>
      <c r="B144" s="538"/>
      <c r="C144" s="538"/>
      <c r="D144" s="538"/>
      <c r="E144" s="538"/>
      <c r="F144" s="580"/>
      <c r="G144" s="581"/>
    </row>
    <row r="145" spans="1:7" ht="20.100000000000001" customHeight="1">
      <c r="A145" s="1119" t="s">
        <v>489</v>
      </c>
      <c r="B145" s="724"/>
      <c r="C145" s="724"/>
      <c r="D145" s="724"/>
      <c r="E145" s="724"/>
      <c r="F145" s="725"/>
      <c r="G145" s="1127"/>
    </row>
    <row r="146" spans="1:7" ht="20.100000000000001" customHeight="1">
      <c r="A146" s="463"/>
      <c r="B146" s="172"/>
      <c r="C146" s="172"/>
      <c r="D146" s="172"/>
      <c r="E146" s="172"/>
      <c r="F146" s="177"/>
      <c r="G146" s="197"/>
    </row>
    <row r="147" spans="1:7" ht="20.100000000000001" customHeight="1">
      <c r="A147" s="463" t="s">
        <v>490</v>
      </c>
      <c r="B147" s="172"/>
      <c r="C147" s="172"/>
      <c r="D147" s="172"/>
      <c r="E147" s="172"/>
      <c r="F147" s="177" t="s">
        <v>491</v>
      </c>
      <c r="G147" s="419">
        <v>1074704</v>
      </c>
    </row>
    <row r="148" spans="1:7" ht="20.100000000000001" customHeight="1">
      <c r="A148" s="463" t="s">
        <v>492</v>
      </c>
      <c r="F148" s="177" t="s">
        <v>493</v>
      </c>
      <c r="G148" s="420">
        <f>263480+182000</f>
        <v>445480</v>
      </c>
    </row>
    <row r="149" spans="1:7" ht="20.100000000000001" customHeight="1">
      <c r="A149" s="463" t="s">
        <v>494</v>
      </c>
      <c r="F149" s="177" t="s">
        <v>495</v>
      </c>
      <c r="G149" s="420">
        <f>2032799+364711</f>
        <v>2397510</v>
      </c>
    </row>
    <row r="150" spans="1:7" ht="20.100000000000001" customHeight="1">
      <c r="A150" s="463" t="s">
        <v>496</v>
      </c>
      <c r="F150" s="177" t="s">
        <v>497</v>
      </c>
      <c r="G150" s="420">
        <v>0</v>
      </c>
    </row>
    <row r="151" spans="1:7" ht="20.100000000000001" customHeight="1">
      <c r="A151" s="463" t="s">
        <v>498</v>
      </c>
      <c r="F151" s="177" t="s">
        <v>499</v>
      </c>
      <c r="G151" s="420">
        <v>0</v>
      </c>
    </row>
    <row r="152" spans="1:7" ht="20.100000000000001" customHeight="1">
      <c r="A152" s="463" t="s">
        <v>500</v>
      </c>
      <c r="B152" s="172"/>
      <c r="C152" s="172"/>
      <c r="D152" s="172"/>
      <c r="E152" s="172"/>
      <c r="F152" s="177" t="s">
        <v>501</v>
      </c>
      <c r="G152" s="420">
        <f>8471029+473174+35000+71350+501708+13600+4000</f>
        <v>9569861</v>
      </c>
    </row>
    <row r="153" spans="1:7" ht="20.100000000000001" customHeight="1">
      <c r="A153" s="463" t="s">
        <v>502</v>
      </c>
      <c r="B153" s="172"/>
      <c r="C153" s="172"/>
      <c r="D153" s="172"/>
      <c r="E153" s="172"/>
      <c r="F153" s="177" t="s">
        <v>503</v>
      </c>
      <c r="G153" s="420">
        <f>650000+636000+664000+980+21000+77000+94000+71000</f>
        <v>2213980</v>
      </c>
    </row>
    <row r="154" spans="1:7" ht="20.100000000000001" customHeight="1">
      <c r="A154" s="463" t="s">
        <v>504</v>
      </c>
      <c r="B154" s="172"/>
      <c r="C154" s="172"/>
      <c r="D154" s="172"/>
      <c r="E154" s="172"/>
      <c r="F154" s="177" t="s">
        <v>505</v>
      </c>
      <c r="G154" s="420">
        <v>9500</v>
      </c>
    </row>
    <row r="155" spans="1:7" ht="20.100000000000001" customHeight="1">
      <c r="A155" s="463" t="s">
        <v>506</v>
      </c>
      <c r="B155" s="172"/>
      <c r="C155" s="172"/>
      <c r="D155" s="172"/>
      <c r="E155" s="172"/>
      <c r="F155" s="177" t="s">
        <v>507</v>
      </c>
      <c r="G155" s="420">
        <f>226686+191197</f>
        <v>417883</v>
      </c>
    </row>
    <row r="156" spans="1:7" ht="20.100000000000001" customHeight="1">
      <c r="A156" s="463" t="s">
        <v>508</v>
      </c>
      <c r="B156" s="172"/>
      <c r="C156" s="172"/>
      <c r="D156" s="172"/>
      <c r="E156" s="172"/>
      <c r="F156" s="177" t="s">
        <v>509</v>
      </c>
      <c r="G156" s="420">
        <v>0</v>
      </c>
    </row>
    <row r="157" spans="1:7" ht="20.100000000000001" customHeight="1">
      <c r="A157" s="463" t="s">
        <v>510</v>
      </c>
      <c r="B157" s="172"/>
      <c r="C157" s="172"/>
      <c r="D157" s="172"/>
      <c r="E157" s="172"/>
      <c r="F157" s="175">
        <v>52500</v>
      </c>
      <c r="G157" s="420">
        <v>0</v>
      </c>
    </row>
    <row r="158" spans="1:7" ht="20.100000000000001" customHeight="1">
      <c r="A158" s="463" t="s">
        <v>511</v>
      </c>
      <c r="B158" s="172"/>
      <c r="C158" s="172"/>
      <c r="D158" s="172"/>
      <c r="E158" s="172"/>
      <c r="F158" s="177" t="s">
        <v>512</v>
      </c>
      <c r="G158" s="420">
        <v>0</v>
      </c>
    </row>
    <row r="159" spans="1:7" ht="20.100000000000001" customHeight="1">
      <c r="A159" s="463" t="s">
        <v>513</v>
      </c>
      <c r="B159" s="172"/>
      <c r="C159" s="172"/>
      <c r="D159" s="172"/>
      <c r="E159" s="172"/>
      <c r="F159" s="177" t="s">
        <v>514</v>
      </c>
      <c r="G159" s="420">
        <v>0</v>
      </c>
    </row>
    <row r="160" spans="1:7" ht="20.100000000000001" customHeight="1">
      <c r="A160" s="463" t="s">
        <v>515</v>
      </c>
      <c r="B160" s="172"/>
      <c r="C160" s="172"/>
      <c r="D160" s="172"/>
      <c r="E160" s="172"/>
      <c r="F160" s="177" t="s">
        <v>516</v>
      </c>
      <c r="G160" s="420">
        <v>0</v>
      </c>
    </row>
    <row r="161" spans="1:7" ht="20.100000000000001" customHeight="1">
      <c r="A161" s="463" t="s">
        <v>517</v>
      </c>
      <c r="B161" s="172"/>
      <c r="C161" s="172"/>
      <c r="D161" s="172"/>
      <c r="E161" s="172"/>
      <c r="F161" s="177" t="s">
        <v>518</v>
      </c>
      <c r="G161" s="420">
        <v>0</v>
      </c>
    </row>
    <row r="162" spans="1:7" ht="20.100000000000001" customHeight="1">
      <c r="A162" s="463" t="s">
        <v>519</v>
      </c>
      <c r="B162" s="172"/>
      <c r="C162" s="172"/>
      <c r="D162" s="172"/>
      <c r="E162" s="172"/>
      <c r="F162" s="177" t="s">
        <v>520</v>
      </c>
      <c r="G162" s="420">
        <f>721225+766574+3717138+48400</f>
        <v>5253337</v>
      </c>
    </row>
    <row r="163" spans="1:7" ht="20.100000000000001" customHeight="1">
      <c r="A163" s="463" t="s">
        <v>521</v>
      </c>
      <c r="B163" s="172"/>
      <c r="C163" s="172"/>
      <c r="D163" s="172"/>
      <c r="E163" s="172"/>
      <c r="F163" s="177" t="s">
        <v>522</v>
      </c>
      <c r="G163" s="420">
        <v>0</v>
      </c>
    </row>
    <row r="164" spans="1:7" ht="20.100000000000001" customHeight="1">
      <c r="A164" s="463" t="s">
        <v>523</v>
      </c>
      <c r="B164" s="172"/>
      <c r="C164" s="172"/>
      <c r="D164" s="172"/>
      <c r="E164" s="172"/>
      <c r="F164" s="177" t="s">
        <v>524</v>
      </c>
      <c r="G164" s="420">
        <v>0</v>
      </c>
    </row>
    <row r="165" spans="1:7" ht="20.100000000000001" customHeight="1">
      <c r="A165" s="463" t="s">
        <v>525</v>
      </c>
      <c r="B165" s="172"/>
      <c r="C165" s="172"/>
      <c r="D165" s="172"/>
      <c r="E165" s="172"/>
      <c r="F165" s="177" t="s">
        <v>526</v>
      </c>
      <c r="G165" s="420">
        <f>251004+1032478+149848</f>
        <v>1433330</v>
      </c>
    </row>
    <row r="166" spans="1:7" ht="20.100000000000001" customHeight="1">
      <c r="A166" s="463" t="s">
        <v>527</v>
      </c>
      <c r="B166" s="172"/>
      <c r="C166" s="172"/>
      <c r="D166" s="172"/>
      <c r="E166" s="172"/>
      <c r="F166" s="177" t="s">
        <v>528</v>
      </c>
      <c r="G166" s="420">
        <v>0</v>
      </c>
    </row>
    <row r="167" spans="1:7" ht="20.100000000000001" customHeight="1">
      <c r="A167" s="463" t="s">
        <v>529</v>
      </c>
      <c r="B167" s="172"/>
      <c r="C167" s="172"/>
      <c r="D167" s="172"/>
      <c r="E167" s="172"/>
      <c r="F167" s="177" t="s">
        <v>530</v>
      </c>
      <c r="G167" s="420">
        <f>650639+3656145+425497</f>
        <v>4732281</v>
      </c>
    </row>
    <row r="168" spans="1:7" ht="20.100000000000001" customHeight="1">
      <c r="A168" s="463" t="s">
        <v>531</v>
      </c>
      <c r="B168" s="172"/>
      <c r="C168" s="172"/>
      <c r="D168" s="172"/>
      <c r="E168" s="172"/>
      <c r="F168" s="177" t="s">
        <v>532</v>
      </c>
      <c r="G168" s="420">
        <v>15000</v>
      </c>
    </row>
    <row r="169" spans="1:7" ht="20.100000000000001" customHeight="1">
      <c r="A169" s="463" t="s">
        <v>533</v>
      </c>
      <c r="B169" s="172"/>
      <c r="C169" s="172"/>
      <c r="D169" s="172"/>
      <c r="E169" s="172"/>
      <c r="F169" s="177" t="s">
        <v>534</v>
      </c>
      <c r="G169" s="420">
        <f>32009+174574</f>
        <v>206583</v>
      </c>
    </row>
    <row r="170" spans="1:7" ht="20.100000000000001" customHeight="1">
      <c r="A170" s="463" t="s">
        <v>535</v>
      </c>
      <c r="B170" s="172"/>
      <c r="C170" s="172"/>
      <c r="D170" s="172"/>
      <c r="E170" s="172"/>
      <c r="F170" s="177" t="s">
        <v>536</v>
      </c>
      <c r="G170" s="420">
        <v>0</v>
      </c>
    </row>
    <row r="171" spans="1:7" ht="20.100000000000001" customHeight="1">
      <c r="A171" s="463" t="s">
        <v>537</v>
      </c>
      <c r="B171" s="172"/>
      <c r="C171" s="172"/>
      <c r="D171" s="172"/>
      <c r="E171" s="172"/>
      <c r="F171" s="177" t="s">
        <v>538</v>
      </c>
      <c r="G171" s="420">
        <f>10881+10000</f>
        <v>20881</v>
      </c>
    </row>
    <row r="172" spans="1:7" ht="20.100000000000001" customHeight="1">
      <c r="A172" s="463" t="s">
        <v>539</v>
      </c>
      <c r="B172" s="172"/>
      <c r="C172" s="172"/>
      <c r="D172" s="172"/>
      <c r="E172" s="172"/>
      <c r="F172" s="175">
        <v>56001</v>
      </c>
      <c r="G172" s="420">
        <v>0</v>
      </c>
    </row>
    <row r="173" spans="1:7" ht="20.100000000000001" customHeight="1">
      <c r="A173" s="463" t="s">
        <v>540</v>
      </c>
      <c r="B173" s="172"/>
      <c r="C173" s="172"/>
      <c r="D173" s="172"/>
      <c r="E173" s="172"/>
      <c r="F173" s="175">
        <v>56002</v>
      </c>
      <c r="G173" s="420">
        <v>0</v>
      </c>
    </row>
    <row r="174" spans="1:7" ht="20.100000000000001" customHeight="1">
      <c r="A174" s="463" t="s">
        <v>541</v>
      </c>
      <c r="B174" s="172"/>
      <c r="C174" s="172"/>
      <c r="D174" s="172"/>
      <c r="E174" s="172"/>
      <c r="F174" s="175">
        <v>56003</v>
      </c>
      <c r="G174" s="420">
        <v>0</v>
      </c>
    </row>
    <row r="175" spans="1:7" ht="20.100000000000001" customHeight="1">
      <c r="A175" s="463" t="s">
        <v>542</v>
      </c>
      <c r="B175" s="172"/>
      <c r="C175" s="172"/>
      <c r="D175" s="172"/>
      <c r="E175" s="172"/>
      <c r="F175" s="198" t="s">
        <v>543</v>
      </c>
      <c r="G175" s="420">
        <v>40103</v>
      </c>
    </row>
    <row r="176" spans="1:7" ht="20.100000000000001" customHeight="1">
      <c r="A176" s="463" t="s">
        <v>544</v>
      </c>
      <c r="B176" s="172"/>
      <c r="C176" s="172"/>
      <c r="D176" s="172"/>
      <c r="E176" s="172"/>
      <c r="F176" s="177" t="s">
        <v>545</v>
      </c>
      <c r="G176" s="420">
        <f>1426000+1449000+424000+118517+98000+10391+144000+133000+80000</f>
        <v>3882908</v>
      </c>
    </row>
    <row r="177" spans="1:7" ht="20.100000000000001" customHeight="1">
      <c r="A177" s="471" t="s">
        <v>546</v>
      </c>
      <c r="F177" s="195" t="s">
        <v>547</v>
      </c>
      <c r="G177" s="420">
        <v>0</v>
      </c>
    </row>
    <row r="178" spans="1:7" ht="20.100000000000001" customHeight="1">
      <c r="A178" s="463" t="s">
        <v>548</v>
      </c>
      <c r="B178" s="172"/>
      <c r="C178" s="172"/>
      <c r="D178" s="172"/>
      <c r="E178" s="172"/>
      <c r="F178" s="177" t="s">
        <v>549</v>
      </c>
      <c r="G178" s="420">
        <v>5000</v>
      </c>
    </row>
    <row r="179" spans="1:7" ht="20.100000000000001" customHeight="1">
      <c r="A179" s="463" t="s">
        <v>550</v>
      </c>
      <c r="B179" s="172"/>
      <c r="C179" s="172"/>
      <c r="D179" s="172"/>
      <c r="E179" s="172"/>
      <c r="F179" s="177" t="s">
        <v>551</v>
      </c>
      <c r="G179" s="420">
        <v>140000</v>
      </c>
    </row>
    <row r="180" spans="1:7" ht="20.100000000000001" customHeight="1">
      <c r="A180" s="463" t="s">
        <v>552</v>
      </c>
      <c r="B180" s="172"/>
      <c r="C180" s="172"/>
      <c r="D180" s="172"/>
      <c r="E180" s="172"/>
      <c r="F180" s="177" t="s">
        <v>553</v>
      </c>
      <c r="G180" s="420">
        <v>0</v>
      </c>
    </row>
    <row r="181" spans="1:7" ht="20.100000000000001" customHeight="1">
      <c r="A181" s="463" t="s">
        <v>554</v>
      </c>
      <c r="B181" s="172"/>
      <c r="C181" s="172"/>
      <c r="D181" s="172"/>
      <c r="E181" s="172"/>
      <c r="F181" s="177" t="s">
        <v>555</v>
      </c>
      <c r="G181" s="420">
        <v>15000</v>
      </c>
    </row>
    <row r="182" spans="1:7" ht="20.100000000000001" customHeight="1">
      <c r="A182" s="463" t="s">
        <v>556</v>
      </c>
      <c r="B182" s="172"/>
      <c r="C182" s="172"/>
      <c r="D182" s="172"/>
      <c r="E182" s="172"/>
      <c r="F182" s="177" t="s">
        <v>557</v>
      </c>
      <c r="G182" s="420">
        <v>20000</v>
      </c>
    </row>
    <row r="183" spans="1:7" ht="20.100000000000001" customHeight="1">
      <c r="A183" s="463" t="s">
        <v>558</v>
      </c>
      <c r="B183" s="172"/>
      <c r="C183" s="172"/>
      <c r="D183" s="172"/>
      <c r="E183" s="172"/>
      <c r="F183" s="177" t="s">
        <v>559</v>
      </c>
      <c r="G183" s="420">
        <v>0</v>
      </c>
    </row>
    <row r="184" spans="1:7" ht="20.100000000000001" customHeight="1">
      <c r="A184" s="463" t="s">
        <v>560</v>
      </c>
      <c r="B184" s="172"/>
      <c r="C184" s="172"/>
      <c r="D184" s="172"/>
      <c r="E184" s="172"/>
      <c r="F184" s="177" t="s">
        <v>561</v>
      </c>
      <c r="G184" s="420">
        <v>0</v>
      </c>
    </row>
    <row r="185" spans="1:7" ht="20.100000000000001" customHeight="1">
      <c r="A185" s="463" t="s">
        <v>562</v>
      </c>
      <c r="B185" s="172"/>
      <c r="C185" s="172"/>
      <c r="D185" s="172"/>
      <c r="E185" s="172"/>
      <c r="F185" s="177" t="s">
        <v>563</v>
      </c>
      <c r="G185" s="420">
        <f>1657590+445568+59424+22365</f>
        <v>2184947</v>
      </c>
    </row>
    <row r="186" spans="1:7" ht="20.100000000000001" customHeight="1">
      <c r="A186" s="463" t="s">
        <v>564</v>
      </c>
      <c r="B186" s="172"/>
      <c r="C186" s="172"/>
      <c r="D186" s="172"/>
      <c r="E186" s="172"/>
      <c r="F186" s="177" t="s">
        <v>565</v>
      </c>
      <c r="G186" s="420">
        <f>3882922+252000+124599</f>
        <v>4259521</v>
      </c>
    </row>
    <row r="187" spans="1:7" ht="20.100000000000001" customHeight="1">
      <c r="A187" s="463" t="s">
        <v>566</v>
      </c>
      <c r="B187" s="172"/>
      <c r="C187" s="172"/>
      <c r="D187" s="172"/>
      <c r="E187" s="172"/>
      <c r="F187" s="177" t="s">
        <v>567</v>
      </c>
      <c r="G187" s="420">
        <v>340000</v>
      </c>
    </row>
    <row r="188" spans="1:7" ht="20.100000000000001" customHeight="1">
      <c r="A188" s="463" t="s">
        <v>568</v>
      </c>
      <c r="B188" s="172"/>
      <c r="C188" s="172"/>
      <c r="D188" s="172"/>
      <c r="E188" s="172"/>
      <c r="F188" s="177" t="s">
        <v>569</v>
      </c>
      <c r="G188" s="420">
        <v>450000</v>
      </c>
    </row>
    <row r="189" spans="1:7" ht="20.100000000000001" customHeight="1">
      <c r="A189" s="463" t="s">
        <v>570</v>
      </c>
      <c r="B189" s="172"/>
      <c r="C189" s="172"/>
      <c r="D189" s="172"/>
      <c r="E189" s="172"/>
      <c r="F189" s="177" t="s">
        <v>571</v>
      </c>
      <c r="G189" s="420">
        <v>15000</v>
      </c>
    </row>
    <row r="190" spans="1:7" ht="20.100000000000001" customHeight="1">
      <c r="A190" s="463" t="s">
        <v>572</v>
      </c>
      <c r="B190" s="172"/>
      <c r="C190" s="172"/>
      <c r="D190" s="172"/>
      <c r="E190" s="172"/>
      <c r="F190" s="195">
        <v>59600</v>
      </c>
      <c r="G190" s="420">
        <v>0</v>
      </c>
    </row>
    <row r="191" spans="1:7" ht="20.100000000000001" customHeight="1">
      <c r="A191" s="463" t="s">
        <v>573</v>
      </c>
      <c r="B191" s="172"/>
      <c r="C191" s="172"/>
      <c r="D191" s="172"/>
      <c r="E191" s="172"/>
      <c r="F191" s="177" t="s">
        <v>574</v>
      </c>
      <c r="G191" s="420">
        <f>4848090+107114+800+47309+200+134940+4065+1795</f>
        <v>5144313</v>
      </c>
    </row>
    <row r="192" spans="1:7" ht="20.100000000000001" customHeight="1">
      <c r="A192" s="463" t="s">
        <v>575</v>
      </c>
      <c r="B192" s="172"/>
      <c r="C192" s="172"/>
      <c r="D192" s="172"/>
      <c r="E192" s="172"/>
      <c r="F192" s="177" t="s">
        <v>576</v>
      </c>
      <c r="G192" s="420">
        <v>0</v>
      </c>
    </row>
    <row r="193" spans="1:7" ht="20.100000000000001" customHeight="1">
      <c r="A193" s="463" t="s">
        <v>577</v>
      </c>
      <c r="B193" s="172"/>
      <c r="C193" s="172"/>
      <c r="D193" s="172"/>
      <c r="E193" s="172"/>
      <c r="F193" s="177" t="s">
        <v>578</v>
      </c>
      <c r="G193" s="420">
        <f>591763-942995+46941</f>
        <v>-304291</v>
      </c>
    </row>
    <row r="194" spans="1:7" ht="20.100000000000001" customHeight="1">
      <c r="A194" s="463"/>
      <c r="B194" s="172"/>
      <c r="C194" s="172"/>
      <c r="D194" s="172"/>
      <c r="E194" s="172"/>
      <c r="F194" s="177"/>
      <c r="G194" s="622"/>
    </row>
    <row r="195" spans="1:7" ht="20.100000000000001" customHeight="1">
      <c r="A195" s="476" t="s">
        <v>579</v>
      </c>
      <c r="B195" s="477"/>
      <c r="C195" s="477"/>
      <c r="D195" s="477"/>
      <c r="E195" s="477"/>
      <c r="F195" s="490"/>
      <c r="G195" s="491">
        <f>SUM(G147:G193)</f>
        <v>43982831</v>
      </c>
    </row>
    <row r="196" spans="1:7" ht="20.100000000000001" customHeight="1">
      <c r="A196" s="473"/>
      <c r="B196" s="199"/>
      <c r="C196" s="199"/>
      <c r="D196" s="199"/>
      <c r="E196" s="199"/>
      <c r="F196" s="212"/>
      <c r="G196" s="200"/>
    </row>
    <row r="197" spans="1:7" ht="20.100000000000001" customHeight="1">
      <c r="A197" s="623" t="s">
        <v>580</v>
      </c>
      <c r="B197" s="567"/>
      <c r="C197" s="567"/>
      <c r="D197" s="567"/>
      <c r="E197" s="567"/>
      <c r="F197" s="615"/>
      <c r="G197" s="624"/>
    </row>
    <row r="198" spans="1:7" ht="20.100000000000001" customHeight="1">
      <c r="A198" s="463"/>
      <c r="B198" s="172"/>
      <c r="C198" s="172"/>
      <c r="D198" s="172"/>
      <c r="E198" s="172"/>
      <c r="F198" s="177"/>
      <c r="G198" s="197"/>
    </row>
    <row r="199" spans="1:7" ht="20.100000000000001" customHeight="1">
      <c r="A199" s="463" t="s">
        <v>581</v>
      </c>
      <c r="B199" s="172"/>
      <c r="C199" s="172"/>
      <c r="D199" s="172"/>
      <c r="E199" s="172"/>
      <c r="F199" s="177" t="s">
        <v>582</v>
      </c>
      <c r="G199" s="420">
        <f>540004+7550+7310+590</f>
        <v>555454</v>
      </c>
    </row>
    <row r="200" spans="1:7" ht="20.100000000000001" customHeight="1">
      <c r="A200" s="463" t="s">
        <v>583</v>
      </c>
      <c r="B200" s="172"/>
      <c r="C200" s="172"/>
      <c r="D200" s="172"/>
      <c r="E200" s="172"/>
      <c r="F200" s="177" t="s">
        <v>584</v>
      </c>
      <c r="G200" s="420">
        <f>110579+245</f>
        <v>110824</v>
      </c>
    </row>
    <row r="201" spans="1:7" ht="20.100000000000001" customHeight="1">
      <c r="A201" s="463" t="s">
        <v>585</v>
      </c>
      <c r="B201" s="172"/>
      <c r="C201" s="172"/>
      <c r="D201" s="172"/>
      <c r="E201" s="172"/>
      <c r="F201" s="177" t="s">
        <v>586</v>
      </c>
      <c r="G201" s="420">
        <f>41211+554+286504</f>
        <v>328269</v>
      </c>
    </row>
    <row r="202" spans="1:7" ht="20.100000000000001" customHeight="1">
      <c r="A202" s="463" t="s">
        <v>587</v>
      </c>
      <c r="B202" s="172"/>
      <c r="C202" s="172"/>
      <c r="D202" s="172"/>
      <c r="E202" s="172"/>
      <c r="F202" s="177" t="s">
        <v>588</v>
      </c>
      <c r="G202" s="420">
        <f>112983+165830+2700+4210</f>
        <v>285723</v>
      </c>
    </row>
    <row r="203" spans="1:7" ht="20.100000000000001" customHeight="1">
      <c r="A203" s="463" t="s">
        <v>589</v>
      </c>
      <c r="B203" s="172"/>
      <c r="C203" s="172"/>
      <c r="D203" s="172"/>
      <c r="E203" s="172"/>
      <c r="F203" s="177" t="s">
        <v>590</v>
      </c>
      <c r="G203" s="420">
        <f>209500+165263+18890+2662185+5000</f>
        <v>3060838</v>
      </c>
    </row>
    <row r="204" spans="1:7" ht="20.100000000000001" customHeight="1">
      <c r="A204" s="463" t="s">
        <v>591</v>
      </c>
      <c r="B204" s="172"/>
      <c r="C204" s="172"/>
      <c r="D204" s="172"/>
      <c r="E204" s="172"/>
      <c r="F204" s="177" t="s">
        <v>592</v>
      </c>
      <c r="G204" s="420">
        <f>21350+3700+500+8100+48300</f>
        <v>81950</v>
      </c>
    </row>
    <row r="205" spans="1:7" ht="20.100000000000001" customHeight="1">
      <c r="A205" s="463" t="s">
        <v>593</v>
      </c>
      <c r="B205" s="172"/>
      <c r="C205" s="172"/>
      <c r="D205" s="172"/>
      <c r="E205" s="172"/>
      <c r="F205" s="859">
        <v>63100</v>
      </c>
      <c r="G205" s="420">
        <v>0</v>
      </c>
    </row>
    <row r="206" spans="1:7" ht="20.100000000000001" customHeight="1">
      <c r="A206" s="463" t="s">
        <v>594</v>
      </c>
      <c r="B206" s="172"/>
      <c r="C206" s="172"/>
      <c r="D206" s="172"/>
      <c r="E206" s="172"/>
      <c r="F206" s="177" t="s">
        <v>595</v>
      </c>
      <c r="G206" s="420">
        <f>722457+171549+13099+197777+10000+361818</f>
        <v>1476700</v>
      </c>
    </row>
    <row r="207" spans="1:7" ht="20.100000000000001" customHeight="1">
      <c r="A207" s="463" t="s">
        <v>596</v>
      </c>
      <c r="B207" s="172"/>
      <c r="C207" s="172"/>
      <c r="D207" s="172"/>
      <c r="E207" s="172"/>
      <c r="F207" s="177" t="s">
        <v>597</v>
      </c>
      <c r="G207" s="420">
        <f>225000+131081+1145200+66329+16000+50000</f>
        <v>1633610</v>
      </c>
    </row>
    <row r="208" spans="1:7" ht="20.100000000000001" customHeight="1">
      <c r="A208" s="463" t="s">
        <v>598</v>
      </c>
      <c r="B208" s="172"/>
      <c r="C208" s="172"/>
      <c r="D208" s="172"/>
      <c r="E208" s="172"/>
      <c r="F208" s="177" t="s">
        <v>599</v>
      </c>
      <c r="G208" s="420">
        <f>554676+135958+5500+7600+1142480+25915+774411+18000+112735+53400+72114+120+1250+7500</f>
        <v>2911659</v>
      </c>
    </row>
    <row r="209" spans="1:7" ht="20.100000000000001" customHeight="1">
      <c r="A209" s="463" t="s">
        <v>600</v>
      </c>
      <c r="B209" s="172"/>
      <c r="C209" s="172"/>
      <c r="D209" s="172"/>
      <c r="E209" s="172"/>
      <c r="F209" s="177" t="s">
        <v>601</v>
      </c>
      <c r="G209" s="420">
        <f>25000</f>
        <v>25000</v>
      </c>
    </row>
    <row r="210" spans="1:7" ht="20.100000000000001" customHeight="1">
      <c r="A210" s="463" t="s">
        <v>602</v>
      </c>
      <c r="B210" s="172"/>
      <c r="C210" s="172"/>
      <c r="D210" s="172"/>
      <c r="E210" s="172"/>
      <c r="F210" s="177" t="s">
        <v>603</v>
      </c>
      <c r="G210" s="420">
        <v>0</v>
      </c>
    </row>
    <row r="211" spans="1:7" ht="20.100000000000001" customHeight="1">
      <c r="A211" s="463" t="s">
        <v>604</v>
      </c>
      <c r="B211" s="172"/>
      <c r="C211" s="172"/>
      <c r="D211" s="172"/>
      <c r="E211" s="172"/>
      <c r="F211" s="177" t="s">
        <v>605</v>
      </c>
      <c r="G211" s="420">
        <f>72350+3235+86000+8000+221249+18885+213400+200+3000</f>
        <v>626319</v>
      </c>
    </row>
    <row r="212" spans="1:7" ht="20.100000000000001" customHeight="1">
      <c r="A212" s="463" t="s">
        <v>606</v>
      </c>
      <c r="B212" s="172"/>
      <c r="C212" s="172"/>
      <c r="D212" s="172"/>
      <c r="E212" s="172"/>
      <c r="F212" s="177" t="s">
        <v>607</v>
      </c>
      <c r="G212" s="420">
        <f>510813+213575+3000+5945+1705</f>
        <v>735038</v>
      </c>
    </row>
    <row r="213" spans="1:7" ht="20.100000000000001" customHeight="1">
      <c r="A213" s="463" t="s">
        <v>608</v>
      </c>
      <c r="F213" s="195" t="s">
        <v>609</v>
      </c>
      <c r="G213" s="420">
        <f>510874+2104980+500</f>
        <v>2616354</v>
      </c>
    </row>
    <row r="214" spans="1:7" ht="20.100000000000001" customHeight="1">
      <c r="A214" s="463" t="s">
        <v>610</v>
      </c>
      <c r="B214" s="172"/>
      <c r="C214" s="172"/>
      <c r="D214" s="172"/>
      <c r="E214" s="172"/>
      <c r="F214" s="177" t="s">
        <v>611</v>
      </c>
      <c r="G214" s="420">
        <f>128250+56549+15500+47500+25000</f>
        <v>272799</v>
      </c>
    </row>
    <row r="215" spans="1:7" ht="20.100000000000001" customHeight="1">
      <c r="A215" s="463" t="s">
        <v>612</v>
      </c>
      <c r="B215" s="172"/>
      <c r="C215" s="172"/>
      <c r="D215" s="172"/>
      <c r="E215" s="172"/>
      <c r="F215" s="177" t="s">
        <v>613</v>
      </c>
      <c r="G215" s="420">
        <f>37783+2500+12110+108178+11412+5500</f>
        <v>177483</v>
      </c>
    </row>
    <row r="216" spans="1:7" ht="20.100000000000001" customHeight="1">
      <c r="A216" s="463" t="s">
        <v>614</v>
      </c>
      <c r="B216" s="172"/>
      <c r="C216" s="172"/>
      <c r="D216" s="172"/>
      <c r="E216" s="172"/>
      <c r="F216" s="177" t="s">
        <v>615</v>
      </c>
      <c r="G216" s="420">
        <f>125+30943+100000+11766+111473+2000+10400+65593</f>
        <v>332300</v>
      </c>
    </row>
    <row r="217" spans="1:7" ht="20.100000000000001" customHeight="1">
      <c r="A217" s="463" t="s">
        <v>616</v>
      </c>
      <c r="B217" s="172"/>
      <c r="C217" s="172"/>
      <c r="D217" s="172"/>
      <c r="E217" s="172"/>
      <c r="F217" s="193" t="s">
        <v>617</v>
      </c>
      <c r="G217" s="420">
        <v>20000</v>
      </c>
    </row>
    <row r="218" spans="1:7" ht="20.100000000000001" customHeight="1">
      <c r="A218" s="463" t="s">
        <v>618</v>
      </c>
      <c r="B218" s="172"/>
      <c r="C218" s="172"/>
      <c r="D218" s="172"/>
      <c r="E218" s="172"/>
      <c r="F218" s="177" t="s">
        <v>619</v>
      </c>
      <c r="G218" s="420">
        <v>0</v>
      </c>
    </row>
    <row r="219" spans="1:7" ht="20.100000000000001" customHeight="1">
      <c r="A219" s="463" t="s">
        <v>620</v>
      </c>
      <c r="B219" s="172"/>
      <c r="C219" s="172"/>
      <c r="D219" s="172"/>
      <c r="E219" s="172"/>
      <c r="F219" s="177" t="s">
        <v>621</v>
      </c>
      <c r="G219" s="420">
        <v>0</v>
      </c>
    </row>
    <row r="220" spans="1:7" ht="20.100000000000001" customHeight="1">
      <c r="A220" s="463" t="s">
        <v>622</v>
      </c>
      <c r="B220" s="172"/>
      <c r="C220" s="172"/>
      <c r="D220" s="172"/>
      <c r="E220" s="172"/>
      <c r="F220" s="177" t="s">
        <v>623</v>
      </c>
      <c r="G220" s="420">
        <f>22900+1280500+50000</f>
        <v>1353400</v>
      </c>
    </row>
    <row r="221" spans="1:7" ht="20.100000000000001" customHeight="1">
      <c r="A221" s="463" t="s">
        <v>624</v>
      </c>
      <c r="B221" s="172"/>
      <c r="C221" s="172"/>
      <c r="D221" s="172"/>
      <c r="E221" s="172"/>
      <c r="F221" s="177" t="s">
        <v>625</v>
      </c>
      <c r="G221" s="420">
        <v>0</v>
      </c>
    </row>
    <row r="222" spans="1:7" ht="20.100000000000001" customHeight="1">
      <c r="A222" s="463" t="s">
        <v>626</v>
      </c>
      <c r="B222" s="172"/>
      <c r="C222" s="172"/>
      <c r="D222" s="172"/>
      <c r="E222" s="172"/>
      <c r="F222" s="177" t="s">
        <v>627</v>
      </c>
      <c r="G222" s="420">
        <f>1708676+3000000</f>
        <v>4708676</v>
      </c>
    </row>
    <row r="223" spans="1:7" ht="20.100000000000001" customHeight="1">
      <c r="A223" s="474" t="s">
        <v>628</v>
      </c>
      <c r="B223" s="172"/>
      <c r="C223" s="172"/>
      <c r="D223" s="201"/>
      <c r="E223" s="172"/>
      <c r="F223" s="943">
        <v>69100</v>
      </c>
      <c r="G223" s="420">
        <v>0</v>
      </c>
    </row>
    <row r="224" spans="1:7" ht="20.100000000000001" customHeight="1">
      <c r="A224" s="474" t="s">
        <v>629</v>
      </c>
      <c r="B224" s="202"/>
      <c r="C224" s="202"/>
      <c r="D224" s="203"/>
      <c r="E224" s="202"/>
      <c r="F224" s="942">
        <v>69200</v>
      </c>
      <c r="G224" s="420">
        <v>0</v>
      </c>
    </row>
    <row r="225" spans="1:9" ht="20.100000000000001" customHeight="1">
      <c r="A225" s="463" t="s">
        <v>630</v>
      </c>
      <c r="B225" s="172"/>
      <c r="C225" s="172"/>
      <c r="D225" s="172"/>
      <c r="E225" s="172"/>
      <c r="F225" s="177" t="s">
        <v>631</v>
      </c>
      <c r="G225" s="420">
        <f>3155970+281856+33000+5775</f>
        <v>3476601</v>
      </c>
      <c r="I225" s="204"/>
    </row>
    <row r="226" spans="1:9" ht="20.100000000000001" customHeight="1">
      <c r="A226" s="463" t="s">
        <v>632</v>
      </c>
      <c r="B226" s="172"/>
      <c r="C226" s="172"/>
      <c r="D226" s="172"/>
      <c r="E226" s="172"/>
      <c r="F226" s="177" t="s">
        <v>633</v>
      </c>
      <c r="G226" s="420">
        <v>0</v>
      </c>
    </row>
    <row r="227" spans="1:9" ht="20.100000000000001" customHeight="1">
      <c r="A227" s="463" t="s">
        <v>634</v>
      </c>
      <c r="B227" s="172"/>
      <c r="C227" s="172"/>
      <c r="D227" s="172"/>
      <c r="E227" s="172"/>
      <c r="F227" s="177" t="s">
        <v>635</v>
      </c>
      <c r="G227" s="1128">
        <v>43616</v>
      </c>
    </row>
    <row r="228" spans="1:9" ht="20.100000000000001" customHeight="1">
      <c r="A228" s="463"/>
      <c r="B228" s="172"/>
      <c r="C228" s="172"/>
      <c r="D228" s="172"/>
      <c r="E228" s="172"/>
      <c r="F228" s="177"/>
      <c r="G228" s="205"/>
    </row>
    <row r="229" spans="1:9" ht="20.100000000000001" customHeight="1">
      <c r="A229" s="621" t="s">
        <v>636</v>
      </c>
      <c r="B229" s="538"/>
      <c r="C229" s="538"/>
      <c r="D229" s="538"/>
      <c r="E229" s="538"/>
      <c r="F229" s="539"/>
      <c r="G229" s="1129">
        <f>SUM(G199:G227)</f>
        <v>24832613</v>
      </c>
    </row>
    <row r="230" spans="1:9" ht="20.100000000000001" customHeight="1">
      <c r="A230" s="473"/>
      <c r="B230" s="199"/>
      <c r="C230" s="199"/>
      <c r="D230" s="199"/>
      <c r="E230" s="199"/>
      <c r="F230" s="543"/>
      <c r="G230" s="544"/>
    </row>
    <row r="231" spans="1:9" ht="20.100000000000001" customHeight="1">
      <c r="A231" s="1119" t="s">
        <v>200</v>
      </c>
      <c r="B231" s="724"/>
      <c r="C231" s="724"/>
      <c r="D231" s="724"/>
      <c r="E231" s="724"/>
      <c r="F231" s="725"/>
      <c r="G231" s="625"/>
    </row>
    <row r="232" spans="1:9" ht="20.100000000000001" customHeight="1">
      <c r="A232" s="463"/>
      <c r="B232" s="172"/>
      <c r="C232" s="172"/>
      <c r="D232" s="172"/>
      <c r="E232" s="172"/>
      <c r="F232" s="177"/>
      <c r="G232" s="205"/>
    </row>
    <row r="233" spans="1:9" ht="20.100000000000001" customHeight="1">
      <c r="A233" s="463" t="s">
        <v>637</v>
      </c>
      <c r="B233" s="172"/>
      <c r="C233" s="172"/>
      <c r="D233" s="172"/>
      <c r="E233" s="172"/>
      <c r="F233" s="177" t="s">
        <v>638</v>
      </c>
      <c r="G233" s="420">
        <v>0</v>
      </c>
    </row>
    <row r="234" spans="1:9" ht="20.100000000000001" customHeight="1">
      <c r="A234" s="463" t="s">
        <v>639</v>
      </c>
      <c r="B234" s="172"/>
      <c r="C234" s="172"/>
      <c r="D234" s="172"/>
      <c r="E234" s="172"/>
      <c r="F234" s="177" t="s">
        <v>640</v>
      </c>
      <c r="G234" s="420">
        <f>500000+500000+3000</f>
        <v>1003000</v>
      </c>
    </row>
    <row r="235" spans="1:9" ht="20.100000000000001" customHeight="1">
      <c r="A235" s="463" t="s">
        <v>641</v>
      </c>
      <c r="B235" s="172"/>
      <c r="C235" s="172"/>
      <c r="D235" s="172"/>
      <c r="E235" s="172"/>
      <c r="F235" s="177" t="s">
        <v>642</v>
      </c>
      <c r="G235" s="420">
        <v>0</v>
      </c>
    </row>
    <row r="236" spans="1:9" ht="20.100000000000001" customHeight="1">
      <c r="A236" s="463" t="s">
        <v>643</v>
      </c>
      <c r="B236" s="172"/>
      <c r="C236" s="172"/>
      <c r="D236" s="172"/>
      <c r="E236" s="172"/>
      <c r="F236" s="904" t="s">
        <v>644</v>
      </c>
      <c r="G236" s="420">
        <v>0</v>
      </c>
    </row>
    <row r="237" spans="1:9" ht="20.100000000000001" customHeight="1">
      <c r="A237" s="463" t="s">
        <v>645</v>
      </c>
      <c r="B237" s="172"/>
      <c r="C237" s="172"/>
      <c r="D237" s="172"/>
      <c r="E237" s="172"/>
      <c r="F237" s="904">
        <v>73001</v>
      </c>
      <c r="G237" s="420">
        <v>0</v>
      </c>
    </row>
    <row r="238" spans="1:9" ht="20.100000000000001" customHeight="1">
      <c r="A238" s="463" t="s">
        <v>646</v>
      </c>
      <c r="B238" s="172"/>
      <c r="C238" s="172"/>
      <c r="D238" s="172"/>
      <c r="E238" s="172"/>
      <c r="F238" s="904">
        <v>73002</v>
      </c>
      <c r="G238" s="420">
        <v>0</v>
      </c>
    </row>
    <row r="239" spans="1:9" ht="20.100000000000001" customHeight="1">
      <c r="A239" s="463" t="s">
        <v>647</v>
      </c>
      <c r="B239" s="172"/>
      <c r="C239" s="172"/>
      <c r="D239" s="172"/>
      <c r="E239" s="172"/>
      <c r="F239" s="195">
        <v>73050</v>
      </c>
      <c r="G239" s="420">
        <v>10000</v>
      </c>
    </row>
    <row r="240" spans="1:9" ht="20.100000000000001" customHeight="1">
      <c r="A240" s="463" t="s">
        <v>648</v>
      </c>
      <c r="B240" s="172"/>
      <c r="C240" s="172"/>
      <c r="D240" s="172"/>
      <c r="E240" s="172"/>
      <c r="F240" s="195">
        <v>73100</v>
      </c>
      <c r="G240" s="420">
        <v>0</v>
      </c>
    </row>
    <row r="241" spans="1:7" ht="20.100000000000001" customHeight="1">
      <c r="A241" s="463" t="s">
        <v>649</v>
      </c>
      <c r="B241" s="172"/>
      <c r="C241" s="172"/>
      <c r="D241" s="172"/>
      <c r="E241" s="172"/>
      <c r="F241" s="177" t="s">
        <v>650</v>
      </c>
      <c r="G241" s="420">
        <v>0</v>
      </c>
    </row>
    <row r="242" spans="1:7" ht="20.100000000000001" customHeight="1">
      <c r="A242" s="463" t="s">
        <v>651</v>
      </c>
      <c r="B242" s="172"/>
      <c r="C242" s="172"/>
      <c r="D242" s="172"/>
      <c r="E242" s="172"/>
      <c r="F242" s="177" t="s">
        <v>652</v>
      </c>
      <c r="G242" s="420">
        <v>0</v>
      </c>
    </row>
    <row r="243" spans="1:7" ht="20.100000000000001" customHeight="1">
      <c r="A243" s="463" t="s">
        <v>653</v>
      </c>
      <c r="B243" s="172"/>
      <c r="C243" s="172"/>
      <c r="D243" s="172"/>
      <c r="E243" s="172"/>
      <c r="F243" s="177" t="s">
        <v>654</v>
      </c>
      <c r="G243" s="420">
        <v>0</v>
      </c>
    </row>
    <row r="244" spans="1:7" ht="20.100000000000001" customHeight="1">
      <c r="A244" s="463" t="s">
        <v>655</v>
      </c>
      <c r="B244" s="172"/>
      <c r="C244" s="172"/>
      <c r="D244" s="172"/>
      <c r="E244" s="172"/>
      <c r="F244" s="177" t="s">
        <v>656</v>
      </c>
      <c r="G244" s="420">
        <v>0</v>
      </c>
    </row>
    <row r="245" spans="1:7" ht="20.100000000000001" customHeight="1">
      <c r="A245" s="463" t="s">
        <v>657</v>
      </c>
      <c r="B245" s="172"/>
      <c r="C245" s="172"/>
      <c r="D245" s="172"/>
      <c r="E245" s="172"/>
      <c r="F245" s="177" t="s">
        <v>658</v>
      </c>
      <c r="G245" s="420">
        <v>0</v>
      </c>
    </row>
    <row r="246" spans="1:7" ht="20.100000000000001" customHeight="1">
      <c r="A246" s="463"/>
      <c r="B246" s="172"/>
      <c r="C246" s="172"/>
      <c r="D246" s="172"/>
      <c r="E246" s="172"/>
      <c r="F246" s="177"/>
      <c r="G246" s="626"/>
    </row>
    <row r="247" spans="1:7" ht="20.100000000000001" customHeight="1">
      <c r="A247" s="621" t="s">
        <v>659</v>
      </c>
      <c r="B247" s="538"/>
      <c r="C247" s="538"/>
      <c r="D247" s="538"/>
      <c r="E247" s="538"/>
      <c r="F247" s="539"/>
      <c r="G247" s="1129">
        <f>SUM(G233:G245)</f>
        <v>1013000</v>
      </c>
    </row>
    <row r="248" spans="1:7" ht="20.100000000000001" customHeight="1">
      <c r="A248" s="473"/>
      <c r="B248" s="199"/>
      <c r="C248" s="199"/>
      <c r="D248" s="199"/>
      <c r="E248" s="199"/>
      <c r="F248" s="199"/>
      <c r="G248" s="545"/>
    </row>
    <row r="249" spans="1:7" ht="20.100000000000001" customHeight="1" thickBot="1">
      <c r="A249" s="492" t="s">
        <v>660</v>
      </c>
      <c r="B249" s="493"/>
      <c r="C249" s="493"/>
      <c r="D249" s="493"/>
      <c r="E249" s="493"/>
      <c r="F249" s="494"/>
      <c r="G249" s="495">
        <f>SUM(G195+G229+G247)</f>
        <v>69828444</v>
      </c>
    </row>
    <row r="250" spans="1:7" ht="20.100000000000001" customHeight="1" thickTop="1">
      <c r="A250" s="1130"/>
      <c r="B250" s="1131"/>
      <c r="C250" s="1131"/>
      <c r="D250" s="1131"/>
      <c r="E250" s="1131"/>
      <c r="F250" s="1132"/>
      <c r="G250" s="1133"/>
    </row>
    <row r="251" spans="1:7" ht="20.100000000000001" customHeight="1">
      <c r="A251" s="732"/>
      <c r="B251" s="733"/>
      <c r="C251" s="733"/>
      <c r="D251" s="733"/>
      <c r="E251" s="733"/>
      <c r="F251" s="734"/>
      <c r="G251" s="627"/>
    </row>
    <row r="252" spans="1:7" ht="20.100000000000001" customHeight="1">
      <c r="A252" s="463"/>
      <c r="B252" s="172"/>
      <c r="C252" s="172"/>
      <c r="D252" s="172"/>
      <c r="E252" s="172"/>
      <c r="F252" s="177"/>
      <c r="G252" s="205"/>
    </row>
    <row r="253" spans="1:7" ht="20.100000000000001" customHeight="1">
      <c r="A253" s="463" t="s">
        <v>661</v>
      </c>
      <c r="B253" s="172"/>
      <c r="C253" s="172"/>
      <c r="D253" s="172"/>
      <c r="E253" s="172"/>
      <c r="F253" s="189">
        <v>30100</v>
      </c>
      <c r="G253" s="419">
        <v>2635650</v>
      </c>
    </row>
    <row r="254" spans="1:7" ht="20.100000000000001" customHeight="1">
      <c r="A254" s="463" t="s">
        <v>662</v>
      </c>
      <c r="B254" s="172"/>
      <c r="C254" s="172"/>
      <c r="D254" s="172"/>
      <c r="E254" s="172"/>
      <c r="F254" s="189">
        <v>30200</v>
      </c>
      <c r="G254" s="420">
        <v>0</v>
      </c>
    </row>
    <row r="255" spans="1:7" ht="20.100000000000001" customHeight="1">
      <c r="A255" s="463" t="s">
        <v>663</v>
      </c>
      <c r="B255" s="172"/>
      <c r="C255" s="172"/>
      <c r="D255" s="172"/>
      <c r="E255" s="172"/>
      <c r="F255" s="189">
        <v>30300</v>
      </c>
      <c r="G255" s="420">
        <v>0</v>
      </c>
    </row>
    <row r="256" spans="1:7" ht="20.100000000000001" customHeight="1">
      <c r="A256" s="463" t="s">
        <v>664</v>
      </c>
      <c r="B256" s="172"/>
      <c r="C256" s="172"/>
      <c r="D256" s="172"/>
      <c r="E256" s="172"/>
      <c r="F256" s="189">
        <v>30400</v>
      </c>
      <c r="G256" s="420">
        <v>0</v>
      </c>
    </row>
    <row r="257" spans="1:12" ht="20.100000000000001" customHeight="1">
      <c r="A257" s="463" t="s">
        <v>665</v>
      </c>
      <c r="B257" s="172"/>
      <c r="C257" s="172"/>
      <c r="D257" s="172"/>
      <c r="E257" s="172"/>
      <c r="F257" s="189">
        <v>30500</v>
      </c>
      <c r="G257" s="420">
        <v>0</v>
      </c>
    </row>
    <row r="258" spans="1:12" ht="20.100000000000001" customHeight="1">
      <c r="A258" s="463" t="s">
        <v>666</v>
      </c>
      <c r="B258" s="172"/>
      <c r="C258" s="172"/>
      <c r="D258" s="172"/>
      <c r="E258" s="172"/>
      <c r="F258" s="189">
        <v>30600</v>
      </c>
      <c r="G258" s="420">
        <v>0</v>
      </c>
    </row>
    <row r="259" spans="1:12" ht="20.100000000000001" customHeight="1">
      <c r="A259" s="463" t="s">
        <v>667</v>
      </c>
      <c r="B259" s="172"/>
      <c r="C259" s="172"/>
      <c r="D259" s="172"/>
      <c r="E259" s="172"/>
      <c r="F259" s="189">
        <v>30700</v>
      </c>
      <c r="G259" s="420">
        <v>0</v>
      </c>
    </row>
    <row r="260" spans="1:12" ht="20.100000000000001" customHeight="1">
      <c r="A260" s="463" t="s">
        <v>668</v>
      </c>
      <c r="B260" s="172"/>
      <c r="C260" s="172"/>
      <c r="D260" s="172"/>
      <c r="E260" s="172"/>
      <c r="F260" s="189">
        <v>30900</v>
      </c>
      <c r="G260" s="420">
        <v>0</v>
      </c>
    </row>
    <row r="261" spans="1:12" ht="20.100000000000001" customHeight="1">
      <c r="A261" s="463" t="s">
        <v>669</v>
      </c>
      <c r="B261" s="172"/>
      <c r="C261" s="172"/>
      <c r="D261" s="172"/>
      <c r="E261" s="172"/>
      <c r="F261" s="189">
        <v>31100</v>
      </c>
      <c r="G261" s="1134">
        <v>16514079</v>
      </c>
    </row>
    <row r="262" spans="1:12" ht="20.100000000000001" customHeight="1">
      <c r="A262" s="463"/>
      <c r="B262" s="172"/>
      <c r="C262" s="172"/>
      <c r="D262" s="172"/>
      <c r="E262" s="172"/>
      <c r="F262" s="189"/>
      <c r="G262" s="628"/>
    </row>
    <row r="263" spans="1:12" ht="20.100000000000001" customHeight="1">
      <c r="A263" s="464" t="s">
        <v>670</v>
      </c>
      <c r="B263" s="172"/>
      <c r="C263" s="172"/>
      <c r="D263" s="172"/>
      <c r="E263" s="172"/>
      <c r="F263" s="189"/>
      <c r="G263" s="1135">
        <f>SUM(G253:G261)</f>
        <v>19149729</v>
      </c>
    </row>
    <row r="264" spans="1:12" ht="20.100000000000001" customHeight="1">
      <c r="A264" s="464"/>
      <c r="B264" s="172"/>
      <c r="C264" s="172"/>
      <c r="D264" s="172"/>
      <c r="E264" s="172"/>
      <c r="F264" s="189"/>
      <c r="G264" s="205"/>
    </row>
    <row r="265" spans="1:12" ht="20.100000000000001" customHeight="1" thickBot="1">
      <c r="A265" s="475" t="s">
        <v>671</v>
      </c>
      <c r="F265" s="195">
        <v>30800</v>
      </c>
      <c r="G265" s="421">
        <v>-25079932</v>
      </c>
      <c r="H265" s="497"/>
    </row>
    <row r="266" spans="1:12" ht="20.100000000000001" customHeight="1">
      <c r="A266" s="471"/>
      <c r="F266" s="195"/>
      <c r="G266" s="205"/>
    </row>
    <row r="267" spans="1:12" ht="20.100000000000001" customHeight="1">
      <c r="A267" s="476" t="s">
        <v>672</v>
      </c>
      <c r="B267" s="477"/>
      <c r="C267" s="477"/>
      <c r="D267" s="477"/>
      <c r="E267" s="477"/>
      <c r="F267" s="478"/>
      <c r="G267" s="479">
        <f>G263+G265</f>
        <v>-5930203</v>
      </c>
      <c r="H267" s="498"/>
    </row>
    <row r="268" spans="1:12">
      <c r="A268" s="206"/>
      <c r="B268" s="206"/>
      <c r="C268" s="206"/>
      <c r="D268" s="206"/>
      <c r="E268" s="206"/>
      <c r="F268" s="207"/>
      <c r="G268" s="208"/>
      <c r="H268" s="209"/>
      <c r="I268" s="209"/>
      <c r="J268" s="209"/>
      <c r="K268" s="209"/>
      <c r="L268" s="209"/>
    </row>
    <row r="269" spans="1:12" ht="13.5" customHeight="1">
      <c r="I269" s="209"/>
      <c r="J269" s="209"/>
      <c r="K269" s="209"/>
      <c r="L269" s="209"/>
    </row>
    <row r="270" spans="1:12">
      <c r="I270" s="209"/>
      <c r="J270" s="209"/>
      <c r="K270" s="209"/>
      <c r="L270" s="209"/>
    </row>
  </sheetData>
  <sheetProtection algorithmName="SHA-512" hashValue="WgiiFtqlaBp3kYZWUvWoFaws1sANOmIEF1A0hbGey12zSmcur5+o0TktEqBcztUEMC89LBc9tcYDGEvrupyfZQ==" saltValue="p3zGeqAmzO0wJqDS/LgXs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9B445BA17BECA4489FDCBF8C4DABE6B" ma:contentTypeVersion="18" ma:contentTypeDescription="Create a new document." ma:contentTypeScope="" ma:versionID="a680ef9aa15ceb76b18083b6220e93a2">
  <xsd:schema xmlns:xsd="http://www.w3.org/2001/XMLSchema" xmlns:xs="http://www.w3.org/2001/XMLSchema" xmlns:p="http://schemas.microsoft.com/office/2006/metadata/properties" xmlns:ns2="1d6958e8-aaba-40e3-a455-419e90f3fa2a" xmlns:ns3="d924bd94-b207-4f06-827d-d6332806d037" targetNamespace="http://schemas.microsoft.com/office/2006/metadata/properties" ma:root="true" ma:fieldsID="627b8b331d7d8064ddd28b4ca57e7c35" ns2:_="" ns3:_="">
    <xsd:import namespace="1d6958e8-aaba-40e3-a455-419e90f3fa2a"/>
    <xsd:import namespace="d924bd94-b207-4f06-827d-d6332806d03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MediaServiceOCR"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6958e8-aaba-40e3-a455-419e90f3fa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descrip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24bd94-b207-4f06-827d-d6332806d03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2b926af-2c07-4877-834c-c77a8399d9a9}" ma:internalName="TaxCatchAll" ma:showField="CatchAllData" ma:web="d924bd94-b207-4f06-827d-d6332806d03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924bd94-b207-4f06-827d-d6332806d037" xsi:nil="true"/>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EC63EBE-4281-4FF6-9198-A74766EBCA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6958e8-aaba-40e3-a455-419e90f3fa2a"/>
    <ds:schemaRef ds:uri="d924bd94-b207-4f06-827d-d6332806d0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2006/metadata/properties"/>
    <ds:schemaRef ds:uri="http://schemas.microsoft.com/office/infopath/2007/PartnerControls"/>
    <ds:schemaRef ds:uri="d924bd94-b207-4f06-827d-d6332806d03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180</vt:i4>
      </vt:variant>
    </vt:vector>
  </HeadingPairs>
  <TitlesOfParts>
    <vt:vector size="19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ADD_______________REVENUES</vt:lpstr>
      <vt:lpstr>ADD_ACCRUED_LEAVE_EXPENSE__GLC_59300</vt:lpstr>
      <vt:lpstr>ADDITIONAL__REDUCED_BUDGETED_FEE_REVENUES</vt:lpstr>
      <vt:lpstr>AMOUNT</vt:lpstr>
      <vt:lpstr>APPROPRIATIONS</vt:lpstr>
      <vt:lpstr>AS_OF_JUNE_30__2025__TO_ESTIMATED_FUNDS_AVAILABLE</vt:lpstr>
      <vt:lpstr>BEGINNING_FUND_BALANCE___JULY_1__2024</vt:lpstr>
      <vt:lpstr>BFR</vt:lpstr>
      <vt:lpstr>BLOCK_TUITION_CHARGED</vt:lpstr>
      <vt:lpstr>VLOOKUP!BROWARD_COLLEGE</vt:lpstr>
      <vt:lpstr>Budget2</vt:lpstr>
      <vt:lpstr>BUDGETED_FEE_REVENUES</vt:lpstr>
      <vt:lpstr>CAPITAL_IMPROVEMENT_FEE__1</vt:lpstr>
      <vt:lpstr>CAPITAL_OUTLAY</vt:lpstr>
      <vt:lpstr>CAPITAL_OUTLAY_______GLC_700S</vt:lpstr>
      <vt:lpstr>CapitalOutlay</vt:lpstr>
      <vt:lpstr>CERTIFY_BOARD_OF_TRUSTEES_APPROVAL</vt:lpstr>
      <vt:lpstr>CHANGE_IN_CHARGE_PER_STUDENT_CREDIT_HOUR</vt:lpstr>
      <vt:lpstr>CHARGE_PER_STUDENT_CREDIT_HOUR</vt:lpstr>
      <vt:lpstr>COLLEGE</vt:lpstr>
      <vt:lpstr>College_C</vt:lpstr>
      <vt:lpstr>College_C2</vt:lpstr>
      <vt:lpstr>College_D</vt:lpstr>
      <vt:lpstr>College_E</vt:lpstr>
      <vt:lpstr>College_G</vt:lpstr>
      <vt:lpstr>COLLEGE_PRESIDENT</vt:lpstr>
      <vt:lpstr>CONVERTED_TO_30_CRHR</vt:lpstr>
      <vt:lpstr>CREDIT_HOURS</vt:lpstr>
      <vt:lpstr>CURRENT_EXPENSE</vt:lpstr>
      <vt:lpstr>CURRENT_EXPENSE_______GLC_600S</vt:lpstr>
      <vt:lpstr>CURRENT_EXPENSES</vt:lpstr>
      <vt:lpstr>CURRENT_FUNDS___UNRESTRICTED_LOWER_AND_UPPER_LEVEL</vt:lpstr>
      <vt:lpstr>DEDUCT_______EXPENDITURES</vt:lpstr>
      <vt:lpstr>DIFFERENCE</vt:lpstr>
      <vt:lpstr>DiffGreaterthan3</vt:lpstr>
      <vt:lpstr>Disciplin2</vt:lpstr>
      <vt:lpstr>DISCIPLINE</vt:lpstr>
      <vt:lpstr>Discipline4</vt:lpstr>
      <vt:lpstr>ENDOWMENT_INCOME</vt:lpstr>
      <vt:lpstr>Enter_amounts_only_for_cells_highlighted_in_light_yellow.</vt:lpstr>
      <vt:lpstr>ESTIMATED_AFR_FUND_BALANCE___JUNE_30__2024__IF_DEBIT_BALANCE_USE__MINUS_SIGN</vt:lpstr>
      <vt:lpstr>ESTIMATED_FUND_BALANCE___JUNE_30__2024</vt:lpstr>
      <vt:lpstr>ESTIMATED_UNENCUMBERED_FUND_BALANCE___JUNE_30__2025</vt:lpstr>
      <vt:lpstr>EstimatedFTE</vt:lpstr>
      <vt:lpstr>EstimatedStudentCreditHr</vt:lpstr>
      <vt:lpstr>EXHIBIT_D</vt:lpstr>
      <vt:lpstr>FEDERAL_SUPPORT</vt:lpstr>
      <vt:lpstr>FEE_EXEMPT__DUAL_ENROLLMENT____APPRENTICESHIP__ETC.</vt:lpstr>
      <vt:lpstr>FUNCTION</vt:lpstr>
      <vt:lpstr>FUND_TRANSFERRED_FROM</vt:lpstr>
      <vt:lpstr>FUND_TRANSFERRED_TO</vt:lpstr>
      <vt:lpstr>GENERAL__LEDGER_CODE</vt:lpstr>
      <vt:lpstr>GENERAL_APPROPRIATIONS_ACT</vt:lpstr>
      <vt:lpstr>GENERAL_LEDGER_CODE</vt:lpstr>
      <vt:lpstr>GIFTS__PRIVATE_GRANTS_AND_CONTRACTS</vt:lpstr>
      <vt:lpstr>GL25p</vt:lpstr>
      <vt:lpstr>GLC</vt:lpstr>
      <vt:lpstr>GLC21b</vt:lpstr>
      <vt:lpstr>GLC23b</vt:lpstr>
      <vt:lpstr>GLCode</vt:lpstr>
      <vt:lpstr>GLCode_ExhibitG</vt:lpstr>
      <vt:lpstr>GLCode_G2</vt:lpstr>
      <vt:lpstr>GLCode_G3</vt:lpstr>
      <vt:lpstr>GLCode_G4</vt:lpstr>
      <vt:lpstr>GLCode2</vt:lpstr>
      <vt:lpstr>GRAND_TOTAL_EXPENDITURES</vt:lpstr>
      <vt:lpstr>Grand_Total_Expenditures_G</vt:lpstr>
      <vt:lpstr>InStateDifference</vt:lpstr>
      <vt:lpstr>Item1</vt:lpstr>
      <vt:lpstr>Item10</vt:lpstr>
      <vt:lpstr>Item11</vt:lpstr>
      <vt:lpstr>Item12</vt:lpstr>
      <vt:lpstr>Item13</vt:lpstr>
      <vt:lpstr>Item14</vt:lpstr>
      <vt:lpstr>Item2</vt:lpstr>
      <vt:lpstr>Item3</vt:lpstr>
      <vt:lpstr>Item4</vt:lpstr>
      <vt:lpstr>Item5</vt:lpstr>
      <vt:lpstr>Item6</vt:lpstr>
      <vt:lpstr>Item7</vt:lpstr>
      <vt:lpstr>Item8</vt:lpstr>
      <vt:lpstr>Item9</vt:lpstr>
      <vt:lpstr>Ledger</vt:lpstr>
      <vt:lpstr>LESS_ESTIMATED_AMOUNT_EXPECTED_TO_BE_FINANCED_IN_FUTURE_YEARS__GLC_30800____JUNE_30__2025</vt:lpstr>
      <vt:lpstr>NON_REVENUE_RECEIPTS</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OTHER_REVENUES</vt:lpstr>
      <vt:lpstr>OUT_OF_STATE</vt:lpstr>
      <vt:lpstr>OUT_OF_STATE_FEES</vt:lpstr>
      <vt:lpstr>OutofState_Difference</vt:lpstr>
      <vt:lpstr>PERCENT_OF_ESTIMATED_UNENCUMBERED_FUND_BALANCE</vt:lpstr>
      <vt:lpstr>PERSONNEL____GLC_500S</vt:lpstr>
      <vt:lpstr>PERSONNEL_COSTS</vt:lpstr>
      <vt:lpstr>PersonnelCosts_</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ProgramOOS</vt:lpstr>
      <vt:lpstr>PROGRAMS</vt:lpstr>
      <vt:lpstr>PURPOSE_OF_TRANSFER</vt:lpstr>
      <vt:lpstr>RESIDENT</vt:lpstr>
      <vt:lpstr>RESTRICTED_SOURCES</vt:lpstr>
      <vt:lpstr>restrictedandunrestrictedsources</vt:lpstr>
      <vt:lpstr>RestrictedSources</vt:lpstr>
      <vt:lpstr>Restrictedsources1</vt:lpstr>
      <vt:lpstr>RSources</vt:lpstr>
      <vt:lpstr>SALES_AND_SERVICES_DEPARTMENT</vt:lpstr>
      <vt:lpstr>SOURCES_OF_FUNDS</vt:lpstr>
      <vt:lpstr>STATE_SUPPORT</vt:lpstr>
      <vt:lpstr>STUDENT_ACTIVITY_FEE__1</vt:lpstr>
      <vt:lpstr>STUDENT_BLOCK_TUITION</vt:lpstr>
      <vt:lpstr>STUDENT_FEES</vt:lpstr>
      <vt:lpstr>STUDENT_FINANCIAL_AID_FEE__1</vt:lpstr>
      <vt:lpstr>STUDENT_OUT_OF_STATE_FEES</vt:lpstr>
      <vt:lpstr>STUDENT_TUITION</vt:lpstr>
      <vt:lpstr>StudentFinancialAidfeenonres</vt:lpstr>
      <vt:lpstr>StudentTuition</vt:lpstr>
      <vt:lpstr>SUPPORT_FROM_LOCAL_GOVERNMENT</vt:lpstr>
      <vt:lpstr>TECHNOLOGY_FEE__1</vt:lpstr>
      <vt:lpstr>THAN_5</vt:lpstr>
      <vt:lpstr>TOTAL</vt:lpstr>
      <vt:lpstr>TOTAL_ANNUAL_HEADCOUNT_UNDUPLICATED_BY_TERM_BLOCK</vt:lpstr>
      <vt:lpstr>TOTAL_AVAILABLE_LESS_DISBURSEMENTS</vt:lpstr>
      <vt:lpstr>TOTAL_DISBURSEMENTS</vt:lpstr>
      <vt:lpstr>TOTAL_ESTIMATED_AVAILABLE</vt:lpstr>
      <vt:lpstr>TOTAL_ESTIMATED_FUND_BALANCE</vt:lpstr>
      <vt:lpstr>TOTAL_ESTIMATED_FUND_BALANCE___JUNE_30__2025</vt:lpstr>
      <vt:lpstr>TOTAL_ESTIMATED_RESERVE_AND_UNENCUMBERED_FUND_BALANCE___JUNE_30__2025</vt:lpstr>
      <vt:lpstr>TOTAL_FEE_PAYING</vt:lpstr>
      <vt:lpstr>TOTAL_PLANNED_CREDIT_HOURS</vt:lpstr>
      <vt:lpstr>TOTAL_RECEIPTS</vt:lpstr>
      <vt:lpstr>TOTAL_RESERVE_AND_UNENCUMBERED_FUND_BALANCE___JULY_1__2024</vt:lpstr>
      <vt:lpstr>TOTAL_SOURCES_OF_FUNDS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2024-08-20T15:15:40Z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0x010100D9B445BA17BECA4489FDCBF8C4DABE6B</vt:lpwstr>
  </property>
</Properties>
</file>