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Lake Sumter\"/>
    </mc:Choice>
  </mc:AlternateContent>
  <xr:revisionPtr revIDLastSave="0" documentId="8_{FA19F68B-C107-46AC-82D0-4FD7BCE951B6}"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ine_C2">'EXHIBIT C(2)'!$B$12</definedName>
    <definedName name="DISCIPLINE">'EXHIBIT C'!$B$9</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_Tuition">'EXHIBIT D'!$A$10</definedName>
    <definedName name="STUDENT_ACTIVITY_FEE__1">'EXHIBIT B'!$D$13</definedName>
    <definedName name="STUDENT_FEES">'EXHIBIT C(2)'!$A$12</definedName>
    <definedName name="STUDENT_FINANCIAL_AID_FEE__1">'EXHIBIT B'!$C$13</definedName>
    <definedName name="STUDENT_TUITION">'EXHIBIT C'!$A$9</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1" i="7" l="1"/>
  <c r="E14" i="4"/>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E67" i="22"/>
  <c r="E14" i="8"/>
  <c r="G229" i="7"/>
  <c r="X137" i="23"/>
  <c r="E60" i="22"/>
  <c r="H36" i="6"/>
  <c r="G34" i="7" s="1"/>
  <c r="E62" i="22"/>
  <c r="D17" i="6"/>
  <c r="F12" i="6"/>
  <c r="F11" i="6"/>
  <c r="E45" i="3" s="1"/>
  <c r="F14" i="6"/>
  <c r="F15" i="6"/>
  <c r="E49" i="3"/>
  <c r="F10" i="6"/>
  <c r="E44" i="3" s="1"/>
  <c r="E47" i="3"/>
  <c r="C102" i="3" l="1"/>
  <c r="C103" i="3" s="1"/>
  <c r="C93" i="3"/>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F48" i="3" l="1"/>
  <c r="G48" i="3" s="1"/>
  <c r="G36" i="7"/>
  <c r="H37" i="6"/>
  <c r="H45" i="6"/>
  <c r="G38" i="7"/>
  <c r="G43" i="7" s="1"/>
  <c r="H17" i="6"/>
  <c r="H28" i="6" s="1"/>
  <c r="H47"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4" i="7" s="1"/>
  <c r="G143" i="7" s="1"/>
  <c r="E18" i="4" s="1"/>
  <c r="E21" i="4" s="1"/>
  <c r="E23" i="4" s="1"/>
  <c r="E44" i="4" s="1"/>
  <c r="C17" i="3" s="1"/>
  <c r="C126" i="3"/>
  <c r="F118" i="15"/>
  <c r="F129" i="15" s="1"/>
  <c r="C119" i="3"/>
  <c r="F84" i="3"/>
  <c r="F88" i="3" s="1"/>
  <c r="C34" i="3" l="1"/>
  <c r="F131"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<sst xmlns="http://schemas.openxmlformats.org/spreadsheetml/2006/main" count="1308" uniqueCount="790">
  <si>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</si>
  <si>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</si>
  <si>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</si>
  <si>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</si>
  <si>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</si>
  <si>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</si>
  <si>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</si>
  <si>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</si>
  <si>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</si>
  <si>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</si>
  <si>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</si>
  <si>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</si>
  <si>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</si>
  <si>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</si>
  <si>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</si>
  <si>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</si>
  <si>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</si>
  <si>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</si>
  <si>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</si>
  <si>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</si>
  <si>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</si>
  <si>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</si>
  <si>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</si>
  <si>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</si>
  <si>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</si>
  <si>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</si>
  <si>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</si>
  <si>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</si>
  <si>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</si>
  <si>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</si>
  <si>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</si>
  <si>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</si>
  <si>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</si>
  <si>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</si>
  <si>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</si>
  <si>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</si>
  <si>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</si>
  <si>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</si>
  <si>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</si>
  <si>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</si>
  <si>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</si>
  <si>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</si>
  <si>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</si>
  <si>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</si>
  <si>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</si>
  <si>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</si>
  <si>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</si>
  <si>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</si>
  <si>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</si>
  <si>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</si>
  <si>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</si>
  <si>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</si>
  <si>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</si>
  <si>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</si>
  <si>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</si>
  <si>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</si>
  <si>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</si>
  <si>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</si>
  <si>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</si>
  <si>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</si>
  <si>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</si>
  <si>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</si>
  <si>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</si>
  <si>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</si>
  <si>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</si>
  <si>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</si>
  <si>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</si>
  <si>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</si>
  <si>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</si>
  <si>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</si>
  <si>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</si>
  <si>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</si>
  <si>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</si>
  <si>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</si>
  <si>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</si>
  <si>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</si>
  <si>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</si>
  <si>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</si>
  <si>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</si>
  <si>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</si>
  <si>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</si>
  <si>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</si>
  <si>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</si>
  <si>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</si>
  <si>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</si>
  <si>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</si>
  <si>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</si>
  <si>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</si>
  <si>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</si>
  <si>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</si>
  <si>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</si>
  <si>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</si>
  <si>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</si>
  <si>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</si>
  <si>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</si>
  <si>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</si>
  <si>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</si>
  <si>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</si>
  <si>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</si>
  <si>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</si>
  <si>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</si>
  <si>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</si>
  <si>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</si>
  <si>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</si>
  <si>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</si>
  <si>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</si>
  <si>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</si>
  <si>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</si>
  <si>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</si>
  <si>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</si>
  <si>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</si>
  <si>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</si>
  <si>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</si>
  <si>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</si>
  <si>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</si>
  <si>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</si>
  <si>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</si>
  <si>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</si>
  <si>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</si>
  <si>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</si>
  <si>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</si>
  <si>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</si>
  <si>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</si>
  <si>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</si>
  <si>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</si>
  <si>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</si>
  <si>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</si>
  <si>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</si>
  <si>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</si>
  <si>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</si>
  <si>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</si>
  <si>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</si>
  <si>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</si>
  <si>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</si>
  <si>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</si>
  <si>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</si>
  <si>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</si>
  <si>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</si>
  <si>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</si>
  <si>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</si>
  <si>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</si>
  <si>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</si>
  <si>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</si>
  <si>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</si>
  <si>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</si>
  <si>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</si>
  <si>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</si>
  <si>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</si>
  <si>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</si>
  <si>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</si>
  <si>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</si>
  <si>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</si>
  <si>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</si>
  <si>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</si>
  <si>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</si>
  <si>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</si>
  <si>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</si>
  <si>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</si>
  <si>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</si>
  <si>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</si>
  <si>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</si>
  <si>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</si>
  <si>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</si>
  <si>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</si>
  <si>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</si>
  <si>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</si>
  <si>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</si>
  <si>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</si>
  <si>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</si>
  <si>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</si>
  <si>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</si>
  <si>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</si>
  <si>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</si>
  <si>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</si>
  <si>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</si>
  <si>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</si>
  <si>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</si>
  <si>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</si>
  <si>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</si>
  <si>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</si>
  <si>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</si>
  <si>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</si>
  <si>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</si>
  <si>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</si>
  <si>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</si>
  <si>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</si>
  <si>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</si>
  <si>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</si>
  <si>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</si>
  <si>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</si>
  <si>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</si>
  <si>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</si>
  <si>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</si>
  <si>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</si>
  <si>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</si>
  <si>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</si>
  <si>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</si>
  <si>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</si>
  <si>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</si>
  <si>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</si>
  <si>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</si>
  <si>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</si>
  <si>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</si>
  <si>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</si>
  <si>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</si>
  <si>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</si>
  <si>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</si>
  <si>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</si>
  <si>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</si>
  <si>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</si>
  <si>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</si>
  <si>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</si>
  <si>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</si>
  <si>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</si>
  <si>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</si>
  <si>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</si>
  <si>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</si>
  <si>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</si>
  <si>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</si>
  <si>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</si>
  <si>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</si>
  <si>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</si>
  <si>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</si>
  <si>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</si>
  <si>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</si>
  <si>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</si>
  <si>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</si>
  <si>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</si>
  <si>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</si>
  <si>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</si>
  <si>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</si>
  <si>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</si>
  <si>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</si>
  <si>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</si>
  <si>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</si>
  <si>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</si>
  <si>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</si>
  <si>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</si>
  <si>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</si>
  <si>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</si>
  <si>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</si>
  <si>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</si>
  <si>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</si>
  <si>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</si>
  <si>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</si>
  <si>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</si>
  <si>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</si>
  <si>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</si>
  <si>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</si>
  <si>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</si>
  <si>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</si>
  <si>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</si>
  <si>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</si>
  <si>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</si>
  <si>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</si>
  <si>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</si>
  <si>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</si>
  <si>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</si>
  <si>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</si>
  <si>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</si>
  <si>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</si>
  <si>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</si>
  <si>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</si>
  <si>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</si>
  <si>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</si>
  <si>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</si>
  <si>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</si>
  <si>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</si>
  <si>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</si>
  <si>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</si>
  <si>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</si>
  <si>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</si>
  <si>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</si>
  <si>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</si>
  <si>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</si>
  <si>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</si>
  <si>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</si>
  <si>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</si>
  <si>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</si>
  <si>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</si>
  <si>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</si>
  <si>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</si>
  <si>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</si>
  <si>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</si>
  <si>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</si>
  <si>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</si>
  <si>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</si>
  <si>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</si>
  <si>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</si>
  <si>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</si>
  <si>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</si>
  <si>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</si>
  <si>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</si>
  <si>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</si>
  <si>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</si>
  <si>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</si>
  <si>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</si>
  <si>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</si>
  <si>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</si>
  <si>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</si>
  <si>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</si>
  <si>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</si>
  <si>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</si>
  <si>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</si>
  <si>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</si>
  <si>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</si>
  <si>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</si>
  <si>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</si>
  <si>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</si>
  <si>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</si>
  <si>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</si>
  <si>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</si>
  <si>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</si>
  <si>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</si>
  <si>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</si>
  <si>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</si>
  <si>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</si>
  <si>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</si>
  <si>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</si>
  <si>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</si>
  <si>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</si>
  <si>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</si>
  <si>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</si>
  <si>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</si>
  <si>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</si>
  <si>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</si>
  <si>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</si>
  <si>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</si>
  <si>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</si>
  <si>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</si>
  <si>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</si>
  <si>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</si>
  <si>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</si>
  <si>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</si>
  <si>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</si>
  <si>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</si>
  <si>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</si>
  <si>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</si>
  <si>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</si>
  <si>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</si>
  <si>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</si>
  <si>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</si>
  <si>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</si>
  <si>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</si>
  <si>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</si>
  <si>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</si>
  <si>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</si>
  <si>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</si>
  <si>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</si>
  <si>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</si>
  <si>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</si>
  <si>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</si>
  <si>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</si>
  <si>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</si>
  <si>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</si>
  <si>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</si>
  <si>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</si>
  <si>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</si>
  <si>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</si>
  <si>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</si>
  <si>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</si>
  <si>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</si>
  <si>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</si>
  <si>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</si>
  <si>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</si>
  <si>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</si>
  <si>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</si>
  <si>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</si>
  <si>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</si>
  <si>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</si>
  <si>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</si>
  <si>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</si>
  <si>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</si>
  <si>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</si>
  <si>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</si>
  <si>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</si>
  <si>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</si>
  <si>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</si>
  <si>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</si>
  <si>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</si>
  <si>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</si>
  <si>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</si>
  <si>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</si>
  <si>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</si>
  <si>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</si>
  <si>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</si>
  <si>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</si>
  <si>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</si>
  <si>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</si>
  <si>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</si>
  <si>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</si>
  <si>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</si>
  <si>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</si>
  <si>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</si>
  <si>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</si>
  <si>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</si>
  <si>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</si>
  <si>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</si>
  <si>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</si>
  <si>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</si>
  <si>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</si>
  <si>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</si>
  <si>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</si>
  <si>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</si>
  <si>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</si>
  <si>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</si>
  <si>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</si>
  <si>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</si>
  <si>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</si>
  <si>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</si>
  <si>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</si>
  <si>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</si>
  <si>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</si>
  <si>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</si>
  <si>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</si>
  <si>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</si>
  <si>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</si>
  <si>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</si>
  <si>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</si>
  <si>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</si>
  <si>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</si>
  <si>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</si>
  <si>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</si>
  <si>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</si>
  <si>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</si>
  <si>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</si>
  <si>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</si>
  <si>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</si>
  <si>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</si>
  <si>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</si>
  <si>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</si>
  <si>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</si>
  <si>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</si>
  <si>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</si>
  <si>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</si>
  <si>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</si>
  <si>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</si>
  <si>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</si>
  <si>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</si>
  <si>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</si>
  <si>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</si>
  <si>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</si>
  <si>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</si>
  <si>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</si>
  <si>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</si>
  <si>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</si>
  <si>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</si>
  <si>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</si>
  <si>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</si>
  <si>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</si>
  <si>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</si>
  <si>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</si>
  <si>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</si>
  <si>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</si>
  <si>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</si>
  <si>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</si>
  <si>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</si>
  <si>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</si>
  <si>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</si>
  <si>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</si>
  <si>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</si>
  <si>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</si>
  <si>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</si>
  <si>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</si>
  <si>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</si>
  <si>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</si>
  <si>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</si>
  <si>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</si>
  <si>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</si>
  <si>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</si>
  <si>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</si>
  <si>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</si>
  <si>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</si>
  <si>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</si>
  <si>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</si>
  <si>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</si>
  <si>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</si>
  <si>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</si>
  <si>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</si>
  <si>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</si>
  <si>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</si>
  <si>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</si>
  <si>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</si>
  <si>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</si>
  <si>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</si>
  <si>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</si>
  <si>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</si>
  <si>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</si>
  <si>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</si>
  <si>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</si>
  <si>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</si>
  <si>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</si>
  <si>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</si>
  <si>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</si>
  <si>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</si>
  <si>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</si>
  <si>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</si>
  <si>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</si>
  <si>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</si>
  <si>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</si>
  <si>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</si>
  <si>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</si>
  <si>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</si>
  <si>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</si>
  <si>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</si>
  <si>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</si>
  <si>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</si>
  <si>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</si>
  <si>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</si>
  <si>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</si>
  <si>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</si>
  <si>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</si>
  <si>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</si>
  <si>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</si>
  <si>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</si>
  <si>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</si>
  <si>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</si>
  <si>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</si>
  <si>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</si>
  <si>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</si>
  <si>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</si>
  <si>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</si>
  <si>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</si>
  <si>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</si>
  <si>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</si>
  <si>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</si>
  <si>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</si>
  <si>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</si>
  <si>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</si>
  <si>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</si>
  <si>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</si>
  <si>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</si>
  <si>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</si>
  <si>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</si>
  <si>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</si>
  <si>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</si>
  <si>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</si>
  <si>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</si>
  <si>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</si>
  <si>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</si>
  <si>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</si>
  <si>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</si>
  <si>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</si>
  <si>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</si>
  <si>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</si>
  <si>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</si>
  <si>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</si>
  <si>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</si>
  <si>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</si>
  <si>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</si>
  <si>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</si>
  <si>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</si>
  <si>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</si>
  <si>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</si>
  <si>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</si>
  <si>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</si>
  <si>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</si>
  <si>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</si>
  <si>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</si>
  <si>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</si>
  <si>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</si>
  <si>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</si>
  <si>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</si>
  <si>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</si>
  <si>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</si>
  <si>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</si>
  <si>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</si>
  <si>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</si>
  <si>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</si>
  <si>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</si>
  <si>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</si>
  <si>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</si>
  <si>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</si>
  <si>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</si>
  <si>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</si>
  <si>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</si>
  <si>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</si>
  <si>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</si>
  <si>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</si>
  <si>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</si>
  <si>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</si>
  <si>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</si>
  <si>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</si>
  <si>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</si>
  <si>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</si>
  <si>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</si>
  <si>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</si>
  <si>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</si>
  <si>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</si>
  <si>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</si>
  <si>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</si>
  <si>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</si>
  <si>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</si>
  <si>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</si>
  <si>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</si>
  <si>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</si>
  <si>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</si>
  <si>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</si>
  <si>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</si>
  <si>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</si>
  <si>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</si>
  <si>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</si>
  <si>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</si>
  <si>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</si>
  <si>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</si>
  <si>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</si>
  <si>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</si>
  <si>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</si>
  <si>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</si>
  <si>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</si>
  <si>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</si>
  <si>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</si>
  <si>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</si>
  <si>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</si>
  <si>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</si>
  <si>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</si>
  <si>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</si>
  <si>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</si>
  <si>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</si>
  <si>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</si>
  <si>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</si>
  <si>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</si>
  <si>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</si>
  <si>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</si>
  <si>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</si>
  <si>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</si>
  <si>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</si>
  <si>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</si>
  <si>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</si>
  <si>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</si>
  <si>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</si>
  <si>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</si>
  <si>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</si>
  <si>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</si>
  <si>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</si>
  <si>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</si>
  <si>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</si>
  <si>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</si>
  <si>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</si>
  <si>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</si>
  <si>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</si>
  <si>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</si>
  <si>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</si>
  <si>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</si>
  <si>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</si>
  <si>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</si>
  <si>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</si>
  <si>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</si>
  <si>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</si>
  <si>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</si>
  <si>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</si>
  <si>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</si>
  <si>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</si>
  <si>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</si>
  <si>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</si>
  <si>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</si>
  <si>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</si>
  <si>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</si>
  <si>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</si>
  <si>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</si>
  <si>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</si>
  <si>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</si>
  <si>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</si>
  <si>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</si>
  <si>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</si>
  <si>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</si>
  <si>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</si>
  <si>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</si>
  <si>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</si>
  <si>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</si>
  <si>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</si>
  <si>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</si>
  <si>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</si>
  <si>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</si>
  <si>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</si>
  <si>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</si>
  <si>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</si>
  <si>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</si>
  <si>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</si>
  <si>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</si>
  <si>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</si>
  <si>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</si>
  <si>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</si>
  <si>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</si>
  <si>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</si>
  <si>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</si>
  <si>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</si>
  <si>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</si>
  <si>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</si>
  <si>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</si>
  <si>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</si>
  <si>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</si>
  <si>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</si>
  <si>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</si>
  <si>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</si>
  <si>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</si>
  <si>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</si>
  <si>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</si>
  <si>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</si>
  <si>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</si>
  <si>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</si>
  <si>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</si>
  <si>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</si>
  <si>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</si>
  <si>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</si>
  <si>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</si>
  <si>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</si>
  <si>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</si>
  <si>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</si>
  <si>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</si>
  <si>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</si>
  <si>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</si>
  <si>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</si>
  <si>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</si>
  <si>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</si>
  <si>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</si>
  <si>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</si>
  <si>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</si>
  <si>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</si>
  <si>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</si>
  <si>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</si>
  <si>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</si>
  <si>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</si>
  <si>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</si>
  <si>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</si>
  <si>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</si>
  <si>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</si>
  <si>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</si>
  <si>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</si>
  <si>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</si>
  <si>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</si>
  <si>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</si>
  <si>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</si>
  <si>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</si>
  <si>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</si>
  <si>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</si>
  <si>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</si>
  <si>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</si>
  <si>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</si>
  <si>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</si>
  <si>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</si>
  <si>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</si>
  <si>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</si>
  <si>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</si>
  <si>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</si>
  <si>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</si>
  <si>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</si>
  <si>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</si>
  <si>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</si>
  <si>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</si>
  <si>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</si>
  <si>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</si>
  <si>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</si>
  <si>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</si>
  <si>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</si>
  <si>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</si>
  <si>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</si>
  <si>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</si>
  <si>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</si>
  <si>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</si>
  <si>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</si>
  <si>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</si>
  <si>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</si>
  <si>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</si>
  <si>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</si>
  <si>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</si>
  <si>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</si>
  <si>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</si>
  <si>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</si>
  <si>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</si>
  <si>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</si>
  <si>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</si>
  <si>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</si>
  <si>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</si>
  <si>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</si>
  <si>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</si>
  <si>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</si>
  <si>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</si>
  <si>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</si>
  <si>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</si>
  <si>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</si>
  <si>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</si>
  <si>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</si>
  <si>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</si>
  <si>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Fund 1</t>
  </si>
  <si>
    <t>Student Activity Fees</t>
  </si>
  <si>
    <t>Fund 3</t>
  </si>
  <si>
    <t>Fund 2</t>
  </si>
  <si>
    <t>Enrollment for Out-of-State Postsecondary Vocational and Developmental Education is a downward trend due to the decrease in student application experienced from the last fiscal year.</t>
  </si>
  <si>
    <t xml:space="preserve">New Baccalaureate program starting Fall 2024 combined with focused recruitment efforts to increase enrollment in the existing Baccalaureate programs. Our enrollment projections indicate continued enrollment growth in all A&amp;P Baccalaureate, Postsecondary Vocational and Developmental Education.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</si>
</sst>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xf numFmtId="168" fontId="156" fillId="32" borderId="310" xfId="0" applyNumberFormat="1" applyFont="1" applyFill="1" applyBorder="1" applyAlignment="1" applyProtection="1">
      <alignment horizontal="right"/>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123825</xdr:rowOff>
        </xdr:from>
        <xdr:to>
          <xdr:col>1</xdr:col>
          <xdr:colOff>581025</xdr:colOff>
          <xdr:row>52</xdr:row>
          <xdr:rowOff>57150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Lake-Sumter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12415038</v>
      </c>
      <c r="C10" s="450">
        <v>998930</v>
      </c>
      <c r="D10" s="450">
        <v>20000</v>
      </c>
      <c r="E10" s="369">
        <f>SUM(B10:D10)</f>
        <v>13433968</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2400</v>
      </c>
      <c r="D12" s="440">
        <v>0</v>
      </c>
      <c r="E12" s="370">
        <f>SUM(B12:D12)</f>
        <v>2400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3834649</v>
      </c>
      <c r="C14" s="452">
        <v>517345</v>
      </c>
      <c r="D14" s="452">
        <v>20000</v>
      </c>
      <c r="E14" s="370">
        <f t="shared" ref="E14:E20" si="0">SUM(B14:D14)</f>
        <v>4371994</v>
      </c>
      <c r="F14" s="352"/>
    </row>
    <row r="15" spans="1:8" s="17" customFormat="1" ht="20.100000000000001" customHeight="1">
      <c r="A15" s="368" t="s">
        <v>585</v>
      </c>
      <c r="B15" s="451">
        <v>0</v>
      </c>
      <c r="C15" s="440">
        <v>0</v>
      </c>
      <c r="D15" s="440">
        <v>0</v>
      </c>
      <c r="E15" s="370">
        <f>SUM(B15:D15)</f>
        <v>0</v>
      </c>
      <c r="F15" s="352"/>
    </row>
    <row r="16" spans="1:8" s="17" customFormat="1" ht="20.100000000000001" customHeight="1">
      <c r="A16" s="368" t="s">
        <v>586</v>
      </c>
      <c r="B16" s="451">
        <v>6289541</v>
      </c>
      <c r="C16" s="440">
        <v>562680</v>
      </c>
      <c r="D16" s="440">
        <v>0</v>
      </c>
      <c r="E16" s="370">
        <f t="shared" si="0"/>
        <v>6852221</v>
      </c>
      <c r="F16" s="352"/>
    </row>
    <row r="17" spans="1:6" s="17" customFormat="1" ht="20.100000000000001" customHeight="1">
      <c r="A17" s="368" t="s">
        <v>587</v>
      </c>
      <c r="B17" s="451">
        <v>5823649</v>
      </c>
      <c r="C17" s="440">
        <v>3904337</v>
      </c>
      <c r="D17" s="440">
        <v>0</v>
      </c>
      <c r="E17" s="370">
        <f t="shared" si="0"/>
        <v>9727986</v>
      </c>
      <c r="F17" s="352"/>
    </row>
    <row r="18" spans="1:6" s="17" customFormat="1" ht="20.100000000000001" customHeight="1">
      <c r="A18" s="368" t="s">
        <v>588</v>
      </c>
      <c r="B18" s="451">
        <v>1412656</v>
      </c>
      <c r="C18" s="440">
        <v>4112725</v>
      </c>
      <c r="D18" s="440">
        <v>0</v>
      </c>
      <c r="E18" s="370">
        <f t="shared" si="0"/>
        <v>5525381</v>
      </c>
      <c r="F18" s="352"/>
    </row>
    <row r="19" spans="1:6" s="17" customFormat="1" ht="20.100000000000001" customHeight="1">
      <c r="A19" s="368" t="s">
        <v>589</v>
      </c>
      <c r="B19" s="451">
        <v>0</v>
      </c>
      <c r="C19" s="440">
        <v>0</v>
      </c>
      <c r="D19" s="440">
        <v>0</v>
      </c>
      <c r="E19" s="370">
        <f t="shared" si="0"/>
        <v>0</v>
      </c>
      <c r="F19" s="352"/>
    </row>
    <row r="20" spans="1:6" s="17" customFormat="1" ht="20.100000000000001" customHeight="1" thickBot="1">
      <c r="A20" s="368" t="s">
        <v>590</v>
      </c>
      <c r="B20" s="451">
        <v>0</v>
      </c>
      <c r="C20" s="441">
        <v>500000</v>
      </c>
      <c r="D20" s="441">
        <v>0</v>
      </c>
      <c r="E20" s="370">
        <f t="shared" si="0"/>
        <v>500000</v>
      </c>
      <c r="F20" s="352"/>
    </row>
    <row r="21" spans="1:6" s="17" customFormat="1" ht="24" customHeight="1" thickBot="1">
      <c r="A21" s="293" t="s">
        <v>49</v>
      </c>
      <c r="B21" s="353">
        <f>SUM(B10:B20)</f>
        <v>29775533</v>
      </c>
      <c r="C21" s="356">
        <f>SUM(C10:C20)</f>
        <v>10598417</v>
      </c>
      <c r="D21" s="356">
        <f>SUM(D10:D20)</f>
        <v>40000</v>
      </c>
      <c r="E21" s="355">
        <f>SUM(E10:E20)</f>
        <v>40413950</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EDKJf3mfLkBC1iu/lrsdaJJOOvsLwt/0ZceTvgdgkeUOG7/2KB0NnM4Kxymnx/I9wm+auWesFpYUJ22Y/IMsRA==" saltValue="09ajUHCEVujU1XuE9D/oS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A3" sqref="A3"/>
    </sheetView>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5</xdr:row>
                <xdr:rowOff>123825</xdr:rowOff>
              </from>
              <to>
                <xdr:col>1</xdr:col>
                <xdr:colOff>581025</xdr:colOff>
                <xdr:row>52</xdr:row>
                <xdr:rowOff>57150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Lake-Sumter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5" t="s">
        <v>596</v>
      </c>
      <c r="B8" s="986"/>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80000</v>
      </c>
      <c r="E11" s="756">
        <v>0</v>
      </c>
      <c r="F11" s="757">
        <f t="shared" si="0"/>
        <v>80000</v>
      </c>
      <c r="I11" s="88"/>
      <c r="J11" s="29"/>
      <c r="K11" s="93"/>
      <c r="L11" s="93"/>
      <c r="M11" s="93"/>
      <c r="N11" s="93"/>
    </row>
    <row r="12" spans="1:224" s="17" customFormat="1" ht="30" customHeight="1">
      <c r="A12" s="753" t="s">
        <v>401</v>
      </c>
      <c r="B12" s="754"/>
      <c r="C12" s="755" t="s">
        <v>402</v>
      </c>
      <c r="D12" s="756">
        <v>179660</v>
      </c>
      <c r="E12" s="756">
        <v>0</v>
      </c>
      <c r="F12" s="757">
        <f t="shared" si="0"/>
        <v>179660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297257</v>
      </c>
      <c r="E15" s="756">
        <v>0</v>
      </c>
      <c r="F15" s="757">
        <f t="shared" si="0"/>
        <v>297257</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5200</v>
      </c>
      <c r="E26" s="756">
        <v>0</v>
      </c>
      <c r="F26" s="757">
        <f t="shared" si="0"/>
        <v>5200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77450</v>
      </c>
      <c r="E35" s="756">
        <v>0</v>
      </c>
      <c r="F35" s="757">
        <f>+D35+E35</f>
        <v>77450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25000</v>
      </c>
      <c r="E40" s="756">
        <v>0</v>
      </c>
      <c r="F40" s="757">
        <f t="shared" si="0"/>
        <v>25000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0</v>
      </c>
      <c r="E48" s="756">
        <v>0</v>
      </c>
      <c r="F48" s="757">
        <f t="shared" si="0"/>
        <v>0</v>
      </c>
    </row>
    <row r="49" spans="1:6" s="17" customFormat="1" ht="30" customHeight="1">
      <c r="A49" s="753" t="s">
        <v>471</v>
      </c>
      <c r="B49" s="754"/>
      <c r="C49" s="755" t="s">
        <v>472</v>
      </c>
      <c r="D49" s="756">
        <v>0</v>
      </c>
      <c r="E49" s="756">
        <v>0</v>
      </c>
      <c r="F49" s="757">
        <f t="shared" si="0"/>
        <v>0</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0</v>
      </c>
      <c r="E54" s="756">
        <v>0</v>
      </c>
      <c r="F54" s="757">
        <f t="shared" si="0"/>
        <v>0</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664567</v>
      </c>
      <c r="E57" s="268">
        <f>SUM(E10:E56)</f>
        <v>0</v>
      </c>
      <c r="F57" s="268">
        <f t="shared" si="0"/>
        <v>664567</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5" t="s">
        <v>596</v>
      </c>
      <c r="B62" s="986"/>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10600</v>
      </c>
      <c r="E64" s="453">
        <v>0</v>
      </c>
      <c r="F64" s="234">
        <f t="shared" si="0"/>
        <v>10600</v>
      </c>
    </row>
    <row r="65" spans="1:6" s="17" customFormat="1" ht="30" customHeight="1">
      <c r="A65" s="753" t="s">
        <v>490</v>
      </c>
      <c r="B65" s="754"/>
      <c r="C65" s="763" t="s">
        <v>491</v>
      </c>
      <c r="D65" s="756">
        <v>2900</v>
      </c>
      <c r="E65" s="756">
        <v>0</v>
      </c>
      <c r="F65" s="757">
        <f t="shared" si="0"/>
        <v>2900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7200</v>
      </c>
      <c r="E67" s="756">
        <v>0</v>
      </c>
      <c r="F67" s="757">
        <f t="shared" si="0"/>
        <v>7200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7" t="s">
        <v>690</v>
      </c>
      <c r="B70" s="754"/>
      <c r="C70" s="1014">
        <v>63100</v>
      </c>
      <c r="D70" s="1015">
        <v>0</v>
      </c>
      <c r="E70" s="1015">
        <v>0</v>
      </c>
      <c r="F70" s="1016">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v>6200</v>
      </c>
      <c r="E73" s="756">
        <v>0</v>
      </c>
      <c r="F73" s="757">
        <f t="shared" si="0"/>
        <v>6200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20000</v>
      </c>
      <c r="E76" s="756">
        <v>0</v>
      </c>
      <c r="F76" s="757">
        <f t="shared" si="1"/>
        <v>20000</v>
      </c>
    </row>
    <row r="77" spans="1:6" s="17" customFormat="1" ht="30" customHeight="1">
      <c r="A77" s="753" t="s">
        <v>511</v>
      </c>
      <c r="B77" s="754"/>
      <c r="C77" s="763" t="s">
        <v>512</v>
      </c>
      <c r="D77" s="756">
        <v>3375</v>
      </c>
      <c r="E77" s="756">
        <v>0</v>
      </c>
      <c r="F77" s="757">
        <f t="shared" si="1"/>
        <v>3375</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47550</v>
      </c>
      <c r="E80" s="756">
        <v>0</v>
      </c>
      <c r="F80" s="757">
        <f t="shared" si="1"/>
        <v>47550</v>
      </c>
    </row>
    <row r="81" spans="1:6" s="17" customFormat="1" ht="30" customHeight="1">
      <c r="A81" s="753" t="s">
        <v>519</v>
      </c>
      <c r="B81" s="754"/>
      <c r="C81" s="763" t="s">
        <v>520</v>
      </c>
      <c r="D81" s="756">
        <v>34000</v>
      </c>
      <c r="E81" s="756">
        <v>0</v>
      </c>
      <c r="F81" s="757">
        <f t="shared" ref="F81:F86" si="2">+D81+E81</f>
        <v>34000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106858</v>
      </c>
      <c r="E89" s="756">
        <v>0</v>
      </c>
      <c r="F89" s="757">
        <f t="shared" si="1"/>
        <v>106858</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238683</v>
      </c>
      <c r="E93" s="264">
        <f>SUM(E64:E92)</f>
        <v>0</v>
      </c>
      <c r="F93" s="264">
        <f t="shared" si="1"/>
        <v>238683</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7" t="s">
        <v>157</v>
      </c>
      <c r="B97" s="988"/>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4" t="s">
        <v>550</v>
      </c>
      <c r="D102" s="1015">
        <v>0</v>
      </c>
      <c r="E102" s="1015">
        <v>0</v>
      </c>
      <c r="F102" s="1016">
        <f t="shared" si="1"/>
        <v>0</v>
      </c>
    </row>
    <row r="103" spans="1:6" s="17" customFormat="1" ht="30" customHeight="1">
      <c r="A103" s="1097" t="s">
        <v>692</v>
      </c>
      <c r="B103" s="1098"/>
      <c r="C103" s="1099">
        <v>73001</v>
      </c>
      <c r="D103" s="1123">
        <v>0</v>
      </c>
      <c r="E103" s="1123">
        <v>0</v>
      </c>
      <c r="F103" s="1055">
        <f t="shared" si="1"/>
        <v>0</v>
      </c>
    </row>
    <row r="104" spans="1:6" s="17" customFormat="1" ht="30" customHeight="1">
      <c r="A104" s="1100" t="s">
        <v>693</v>
      </c>
      <c r="B104" s="1101"/>
      <c r="C104" s="1102">
        <v>73002</v>
      </c>
      <c r="D104" s="1124">
        <v>0</v>
      </c>
      <c r="E104" s="1124">
        <v>0</v>
      </c>
      <c r="F104" s="1056">
        <f t="shared" si="1"/>
        <v>0</v>
      </c>
    </row>
    <row r="105" spans="1:6" s="17" customFormat="1" ht="30" customHeight="1">
      <c r="A105" s="753" t="s">
        <v>548</v>
      </c>
      <c r="B105" s="754"/>
      <c r="C105" s="1052">
        <v>73050</v>
      </c>
      <c r="D105" s="1053">
        <v>0</v>
      </c>
      <c r="E105" s="1053">
        <v>0</v>
      </c>
      <c r="F105" s="1054">
        <f>+D105+E105</f>
        <v>0</v>
      </c>
    </row>
    <row r="106" spans="1:6" s="17" customFormat="1" ht="30" customHeight="1">
      <c r="A106" s="1017" t="s">
        <v>689</v>
      </c>
      <c r="B106" s="754"/>
      <c r="C106" s="1014">
        <v>73100</v>
      </c>
      <c r="D106" s="1015">
        <v>0</v>
      </c>
      <c r="E106" s="1015">
        <v>0</v>
      </c>
      <c r="F106" s="1054">
        <f>+D106+E106</f>
        <v>0</v>
      </c>
    </row>
    <row r="107" spans="1:6" s="17" customFormat="1" ht="47.25" customHeight="1">
      <c r="A107" s="1080" t="s">
        <v>607</v>
      </c>
      <c r="B107" s="1081"/>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903250</v>
      </c>
      <c r="E113" s="264">
        <f>+E57+E93+E111</f>
        <v>0</v>
      </c>
      <c r="F113" s="264">
        <f>SUM(D113:E113)</f>
        <v>903250</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5" t="s">
        <v>608</v>
      </c>
      <c r="B116" s="986"/>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79">
        <f>'EXHIBIT C'!H10</f>
        <v>889757</v>
      </c>
      <c r="E118" s="756">
        <v>0</v>
      </c>
      <c r="F118" s="757">
        <f t="shared" ref="F118:F128" si="3">+D118+E118</f>
        <v>889757</v>
      </c>
    </row>
    <row r="119" spans="1:6" s="69" customFormat="1" ht="30" customHeight="1">
      <c r="A119" s="753" t="s">
        <v>611</v>
      </c>
      <c r="B119" s="602"/>
      <c r="C119" s="765"/>
      <c r="D119" s="1079">
        <f>'EXHIBIT C'!F19</f>
        <v>13493</v>
      </c>
      <c r="E119" s="756">
        <v>0</v>
      </c>
      <c r="F119" s="757">
        <f t="shared" si="3"/>
        <v>13493</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89" t="s">
        <v>687</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903250</v>
      </c>
      <c r="E129" s="258">
        <f>SUM(E117:E128)</f>
        <v>0</v>
      </c>
      <c r="F129" s="259">
        <f>SUM(F117:F128)</f>
        <v>903250</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2"/>
      <c r="B134" s="1083"/>
      <c r="C134" s="1083"/>
      <c r="D134" s="1083"/>
      <c r="E134" s="1083"/>
      <c r="F134" s="1084"/>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2"/>
      <c r="B137" s="1083"/>
      <c r="C137" s="1083"/>
      <c r="D137" s="1083"/>
      <c r="E137" s="1083"/>
      <c r="F137" s="1084"/>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0zpSRCJt+hT/KNjen/qKwDc7ItiP++NVDf9aZmXdsIZZindGhcQ63C5RczA31RPmZB/eJP8HJWQrxBKN6lhNJA==" saltValue="Z0/iDfdWcZGwCx0dM+7OX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80" zoomScaleNormal="80" zoomScaleSheetLayoutView="90" zoomScalePageLayoutView="70" workbookViewId="0">
      <selection activeCell="P36" sqref="P36"/>
    </sheetView>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3"/>
      <c r="C4" s="1013"/>
      <c r="D4" s="1013"/>
      <c r="E4" s="1013"/>
      <c r="F4" s="274"/>
      <c r="G4" s="274"/>
    </row>
    <row r="5" spans="2:7" ht="48" customHeight="1">
      <c r="B5" s="894" t="s">
        <v>622</v>
      </c>
      <c r="C5" s="993" t="s">
        <v>623</v>
      </c>
      <c r="D5" s="994"/>
      <c r="E5" s="995"/>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0" t="s">
        <v>623</v>
      </c>
      <c r="D13" s="991"/>
      <c r="E13" s="992"/>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6" t="s">
        <v>623</v>
      </c>
      <c r="D23" s="997"/>
      <c r="E23" s="998"/>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0" t="s">
        <v>623</v>
      </c>
      <c r="D31" s="991"/>
      <c r="E31" s="999"/>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6" t="s">
        <v>623</v>
      </c>
      <c r="D56" s="997"/>
      <c r="E56" s="998"/>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0" t="s">
        <v>623</v>
      </c>
      <c r="D63" s="991"/>
      <c r="E63" s="999"/>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6" t="s">
        <v>652</v>
      </c>
      <c r="D72" s="997"/>
      <c r="E72" s="998"/>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2" t="s">
        <v>657</v>
      </c>
      <c r="B3" s="1000"/>
      <c r="C3" s="1001"/>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6" t="s">
        <v>662</v>
      </c>
      <c r="B7" s="1007"/>
      <c r="C7" s="1008"/>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6" t="s">
        <v>664</v>
      </c>
      <c r="B11" s="1007"/>
      <c r="C11" s="1008"/>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09" t="s">
        <v>668</v>
      </c>
      <c r="B14" s="1010"/>
      <c r="C14" s="1011"/>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6" t="s">
        <v>670</v>
      </c>
      <c r="B17" s="1007"/>
      <c r="C17" s="1008"/>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6" t="s">
        <v>673</v>
      </c>
      <c r="B20" s="1007"/>
      <c r="C20" s="1008"/>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6" t="s">
        <v>674</v>
      </c>
      <c r="B23" s="1007"/>
      <c r="C23" s="1008"/>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6" t="s">
        <v>675</v>
      </c>
      <c r="B26" s="1007"/>
      <c r="C26" s="1008"/>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2" t="s">
        <v>676</v>
      </c>
      <c r="B30" s="1002"/>
      <c r="C30" s="1002"/>
    </row>
    <row r="31" spans="1:3" ht="14.45" customHeight="1">
      <c r="A31" s="1003"/>
      <c r="B31" s="1003"/>
      <c r="C31" s="1003"/>
    </row>
    <row r="32" spans="1:3" ht="31.35" customHeight="1">
      <c r="A32" s="1002" t="s">
        <v>677</v>
      </c>
      <c r="B32" s="1002"/>
      <c r="C32" s="1002"/>
    </row>
    <row r="33" spans="1:3" ht="14.45" customHeight="1">
      <c r="A33" s="1003"/>
      <c r="B33" s="1003"/>
      <c r="C33" s="1003"/>
    </row>
    <row r="34" spans="1:3" ht="30" customHeight="1">
      <c r="A34" s="1002" t="s">
        <v>678</v>
      </c>
      <c r="B34" s="1002"/>
      <c r="C34" s="1002"/>
    </row>
    <row r="35" spans="1:3" ht="14.45" customHeight="1">
      <c r="A35" s="1003"/>
      <c r="B35" s="1003"/>
      <c r="C35" s="1003"/>
    </row>
    <row r="36" spans="1:3" ht="15" customHeight="1">
      <c r="A36" s="1004" t="s">
        <v>679</v>
      </c>
      <c r="B36" s="1003"/>
      <c r="C36" s="1003"/>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Normal="100" zoomScalePageLayoutView="70" workbookViewId="0">
      <selection activeCell="A65" sqref="A65"/>
    </sheetView>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775</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1" t="s">
        <v>14</v>
      </c>
      <c r="B1" s="1021"/>
      <c r="C1" s="1021"/>
      <c r="D1" s="1021"/>
      <c r="E1" s="16"/>
    </row>
    <row r="2" spans="1:10" ht="33.6" customHeight="1" thickBot="1">
      <c r="A2" s="1028" t="s">
        <v>15</v>
      </c>
      <c r="B2" s="1028"/>
      <c r="C2" s="1028"/>
      <c r="D2" s="1028"/>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7" t="s">
        <v>720</v>
      </c>
      <c r="C5" s="1068"/>
      <c r="D5" s="1069"/>
      <c r="E5" s="586"/>
      <c r="F5" s="19"/>
    </row>
    <row r="6" spans="1:10" ht="89.1" customHeight="1" thickBot="1">
      <c r="A6" s="290" t="s">
        <v>17</v>
      </c>
      <c r="B6" s="61" t="s">
        <v>18</v>
      </c>
      <c r="C6" s="23" t="s">
        <v>19</v>
      </c>
      <c r="D6" s="76" t="s">
        <v>20</v>
      </c>
      <c r="F6" s="19"/>
    </row>
    <row r="7" spans="1:10" ht="25.35" customHeight="1">
      <c r="A7" s="407" t="s">
        <v>21</v>
      </c>
      <c r="B7" s="940">
        <v>43600274.429753423</v>
      </c>
      <c r="C7" s="1146">
        <v>9683162.5702465735</v>
      </c>
      <c r="D7" s="81">
        <f t="shared" ref="D7:D34" si="0">SUM(B7:C7)</f>
        <v>53283437</v>
      </c>
      <c r="E7" s="431"/>
      <c r="F7" s="432"/>
      <c r="G7" s="48"/>
      <c r="I7" s="48"/>
      <c r="J7" s="48"/>
    </row>
    <row r="8" spans="1:10" ht="25.35" customHeight="1">
      <c r="A8" s="387" t="s">
        <v>22</v>
      </c>
      <c r="B8" s="1122">
        <v>90255203.52015838</v>
      </c>
      <c r="C8" s="1146">
        <v>19406699.479841623</v>
      </c>
      <c r="D8" s="74">
        <f t="shared" si="0"/>
        <v>109661903</v>
      </c>
      <c r="E8" s="409"/>
      <c r="F8" s="48"/>
      <c r="G8" s="48"/>
      <c r="I8" s="48"/>
      <c r="J8" s="48"/>
    </row>
    <row r="9" spans="1:10" ht="25.35" customHeight="1">
      <c r="A9" s="387" t="s">
        <v>23</v>
      </c>
      <c r="B9" s="941">
        <v>35165545.160336338</v>
      </c>
      <c r="C9" s="1146">
        <v>5543604.8396636629</v>
      </c>
      <c r="D9" s="74">
        <f t="shared" si="0"/>
        <v>40709150</v>
      </c>
      <c r="E9" s="409"/>
      <c r="F9" s="48"/>
      <c r="G9" s="48"/>
      <c r="I9" s="48"/>
      <c r="J9" s="48"/>
    </row>
    <row r="10" spans="1:10" ht="25.35" customHeight="1">
      <c r="A10" s="387" t="s">
        <v>24</v>
      </c>
      <c r="B10" s="941">
        <v>13053746.353345605</v>
      </c>
      <c r="C10" s="1146">
        <v>3049204.6466543949</v>
      </c>
      <c r="D10" s="74">
        <f t="shared" si="0"/>
        <v>16102951</v>
      </c>
      <c r="E10" s="409"/>
      <c r="F10" s="48"/>
      <c r="G10" s="48"/>
      <c r="I10" s="48"/>
      <c r="J10" s="48"/>
    </row>
    <row r="11" spans="1:10" ht="25.35" customHeight="1">
      <c r="A11" s="387" t="s">
        <v>25</v>
      </c>
      <c r="B11" s="941">
        <v>51911674.267480284</v>
      </c>
      <c r="C11" s="1146">
        <v>11651335.732519712</v>
      </c>
      <c r="D11" s="74">
        <f t="shared" si="0"/>
        <v>63563010</v>
      </c>
      <c r="E11" s="409"/>
      <c r="F11" s="48"/>
      <c r="G11" s="48"/>
      <c r="I11" s="48"/>
      <c r="J11" s="48"/>
    </row>
    <row r="12" spans="1:10" ht="25.35" customHeight="1">
      <c r="A12" s="387" t="s">
        <v>26</v>
      </c>
      <c r="B12" s="941">
        <v>46221977.178284936</v>
      </c>
      <c r="C12" s="1146">
        <v>7423501.8217150643</v>
      </c>
      <c r="D12" s="74">
        <f t="shared" si="0"/>
        <v>53645479</v>
      </c>
      <c r="E12" s="409"/>
      <c r="F12" s="48"/>
      <c r="G12" s="48"/>
      <c r="I12" s="48"/>
      <c r="J12" s="48"/>
    </row>
    <row r="13" spans="1:10" ht="25.35" customHeight="1">
      <c r="A13" s="387" t="s">
        <v>27</v>
      </c>
      <c r="B13" s="941">
        <v>70522268.071765155</v>
      </c>
      <c r="C13" s="1146">
        <v>17443886.928234838</v>
      </c>
      <c r="D13" s="74">
        <f t="shared" si="0"/>
        <v>87966155</v>
      </c>
      <c r="E13" s="409"/>
      <c r="F13" s="48"/>
      <c r="G13" s="48"/>
      <c r="I13" s="48"/>
      <c r="J13" s="48"/>
    </row>
    <row r="14" spans="1:10" ht="25.35" customHeight="1">
      <c r="A14" s="387" t="s">
        <v>28</v>
      </c>
      <c r="B14" s="941">
        <v>9205482.6022929847</v>
      </c>
      <c r="C14" s="1146">
        <v>1571784.3977070146</v>
      </c>
      <c r="D14" s="74">
        <f t="shared" si="0"/>
        <v>10777267</v>
      </c>
      <c r="E14" s="409"/>
      <c r="F14" s="48"/>
      <c r="G14" s="48"/>
      <c r="I14" s="48"/>
      <c r="J14" s="48"/>
    </row>
    <row r="15" spans="1:10" ht="25.35" customHeight="1">
      <c r="A15" s="387" t="s">
        <v>29</v>
      </c>
      <c r="B15" s="941">
        <v>22103920.083340969</v>
      </c>
      <c r="C15" s="1146">
        <v>4970200.9166590301</v>
      </c>
      <c r="D15" s="74">
        <f t="shared" si="0"/>
        <v>27074121</v>
      </c>
      <c r="E15" s="409"/>
      <c r="F15" s="48"/>
      <c r="G15" s="48"/>
      <c r="I15" s="48"/>
      <c r="J15" s="48"/>
    </row>
    <row r="16" spans="1:10" ht="25.35" customHeight="1">
      <c r="A16" s="387" t="s">
        <v>30</v>
      </c>
      <c r="B16" s="941">
        <v>71153026.980324924</v>
      </c>
      <c r="C16" s="1146">
        <v>13180273.01967508</v>
      </c>
      <c r="D16" s="74">
        <f t="shared" si="0"/>
        <v>84333300</v>
      </c>
      <c r="E16" s="409"/>
      <c r="F16" s="48"/>
      <c r="G16" s="48"/>
      <c r="I16" s="48"/>
      <c r="J16" s="48"/>
    </row>
    <row r="17" spans="1:10" ht="25.35" customHeight="1">
      <c r="A17" s="387" t="s">
        <v>31</v>
      </c>
      <c r="B17" s="941">
        <v>49338008.875280872</v>
      </c>
      <c r="C17" s="1146">
        <v>10681339.124719128</v>
      </c>
      <c r="D17" s="74">
        <f t="shared" si="0"/>
        <v>60019348</v>
      </c>
      <c r="E17" s="409"/>
      <c r="F17" s="48"/>
      <c r="G17" s="48"/>
      <c r="I17" s="48"/>
      <c r="J17" s="48"/>
    </row>
    <row r="18" spans="1:10" ht="25.35" customHeight="1">
      <c r="A18" s="387" t="s">
        <v>32</v>
      </c>
      <c r="B18" s="941">
        <v>16227012.774821987</v>
      </c>
      <c r="C18" s="1146">
        <v>3109791.2251780131</v>
      </c>
      <c r="D18" s="74">
        <f t="shared" si="0"/>
        <v>19336804</v>
      </c>
      <c r="E18" s="409"/>
      <c r="F18" s="48"/>
      <c r="G18" s="48"/>
      <c r="I18" s="48"/>
      <c r="J18" s="48"/>
    </row>
    <row r="19" spans="1:10" ht="25.35" customHeight="1">
      <c r="A19" s="387" t="s">
        <v>33</v>
      </c>
      <c r="B19" s="941">
        <v>21135195.500593662</v>
      </c>
      <c r="C19" s="1146">
        <v>3055669.4994063387</v>
      </c>
      <c r="D19" s="74">
        <f t="shared" si="0"/>
        <v>24190865</v>
      </c>
      <c r="E19" s="409"/>
      <c r="F19" s="48"/>
      <c r="G19" s="48"/>
      <c r="I19" s="48"/>
      <c r="J19" s="48"/>
    </row>
    <row r="20" spans="1:10" ht="25.35" customHeight="1">
      <c r="A20" s="387" t="s">
        <v>34</v>
      </c>
      <c r="B20" s="941">
        <v>31285444.06757804</v>
      </c>
      <c r="C20" s="1146">
        <v>5148765.9324219599</v>
      </c>
      <c r="D20" s="74">
        <f t="shared" si="0"/>
        <v>36434210</v>
      </c>
      <c r="E20" s="409"/>
      <c r="F20" s="48"/>
      <c r="G20" s="48"/>
      <c r="H20" s="48"/>
      <c r="I20" s="48"/>
      <c r="J20" s="48"/>
    </row>
    <row r="21" spans="1:10" ht="25.35" customHeight="1">
      <c r="A21" s="387" t="s">
        <v>35</v>
      </c>
      <c r="B21" s="941">
        <v>165651995.20318142</v>
      </c>
      <c r="C21" s="1146">
        <v>39356905.796818577</v>
      </c>
      <c r="D21" s="74">
        <f t="shared" si="0"/>
        <v>205008901</v>
      </c>
      <c r="E21" s="409"/>
      <c r="F21" s="48"/>
      <c r="G21" s="48"/>
      <c r="I21" s="48"/>
      <c r="J21" s="48"/>
    </row>
    <row r="22" spans="1:10" ht="25.35" customHeight="1">
      <c r="A22" s="387" t="s">
        <v>36</v>
      </c>
      <c r="B22" s="941">
        <v>8949937.6940170676</v>
      </c>
      <c r="C22" s="1146">
        <v>1656741.3059829331</v>
      </c>
      <c r="D22" s="74">
        <f t="shared" si="0"/>
        <v>10606679</v>
      </c>
      <c r="E22" s="409"/>
      <c r="F22" s="48"/>
      <c r="G22" s="48"/>
      <c r="I22" s="48"/>
      <c r="J22" s="48"/>
    </row>
    <row r="23" spans="1:10" ht="25.35" customHeight="1">
      <c r="A23" s="387" t="s">
        <v>37</v>
      </c>
      <c r="B23" s="941">
        <v>24756000.410122402</v>
      </c>
      <c r="C23" s="1146">
        <v>4377734.5898775999</v>
      </c>
      <c r="D23" s="74">
        <f t="shared" si="0"/>
        <v>29133735</v>
      </c>
      <c r="E23" s="409"/>
      <c r="F23" s="48"/>
      <c r="G23" s="48"/>
      <c r="I23" s="48"/>
      <c r="J23" s="48"/>
    </row>
    <row r="24" spans="1:10" ht="25.35" customHeight="1">
      <c r="A24" s="387" t="s">
        <v>38</v>
      </c>
      <c r="B24" s="941">
        <v>65808360.931644589</v>
      </c>
      <c r="C24" s="1146">
        <v>13200326.068355408</v>
      </c>
      <c r="D24" s="74">
        <f t="shared" si="0"/>
        <v>79008687</v>
      </c>
      <c r="E24" s="409"/>
      <c r="F24" s="48"/>
      <c r="G24" s="48"/>
      <c r="I24" s="48"/>
      <c r="J24" s="48"/>
    </row>
    <row r="25" spans="1:10" ht="25.35" customHeight="1">
      <c r="A25" s="387" t="s">
        <v>39</v>
      </c>
      <c r="B25" s="941">
        <v>45144249.785152942</v>
      </c>
      <c r="C25" s="1146">
        <v>6373548.2148470599</v>
      </c>
      <c r="D25" s="74">
        <f t="shared" si="0"/>
        <v>51517798</v>
      </c>
      <c r="E25" s="409"/>
      <c r="F25" s="48"/>
      <c r="G25" s="48"/>
      <c r="I25" s="48"/>
      <c r="J25" s="48"/>
    </row>
    <row r="26" spans="1:10" ht="25.35" customHeight="1">
      <c r="A26" s="387" t="s">
        <v>40</v>
      </c>
      <c r="B26" s="941">
        <v>54382200.078217097</v>
      </c>
      <c r="C26" s="1146">
        <v>7904347.9217829015</v>
      </c>
      <c r="D26" s="74">
        <f t="shared" si="0"/>
        <v>62286548</v>
      </c>
      <c r="E26" s="409"/>
      <c r="F26" s="48"/>
      <c r="G26" s="48"/>
      <c r="I26" s="48"/>
      <c r="J26" s="48"/>
    </row>
    <row r="27" spans="1:10" ht="25.35" customHeight="1">
      <c r="A27" s="387" t="s">
        <v>41</v>
      </c>
      <c r="B27" s="941">
        <v>43580224.848735243</v>
      </c>
      <c r="C27" s="1146">
        <v>6479015.1512647606</v>
      </c>
      <c r="D27" s="74">
        <f t="shared" si="0"/>
        <v>50059240</v>
      </c>
      <c r="E27" s="409"/>
      <c r="F27" s="48"/>
      <c r="G27" s="48"/>
      <c r="I27" s="48"/>
      <c r="J27" s="48"/>
    </row>
    <row r="28" spans="1:10" ht="25.35" customHeight="1">
      <c r="A28" s="387" t="s">
        <v>42</v>
      </c>
      <c r="B28" s="941">
        <v>33932430.755269237</v>
      </c>
      <c r="C28" s="1146">
        <v>4419727.2447307603</v>
      </c>
      <c r="D28" s="74">
        <f t="shared" si="0"/>
        <v>38352158</v>
      </c>
      <c r="E28" s="409"/>
      <c r="F28" s="48"/>
      <c r="G28" s="48"/>
      <c r="I28" s="48"/>
      <c r="J28" s="48"/>
    </row>
    <row r="29" spans="1:10" ht="25.35" customHeight="1">
      <c r="A29" s="387" t="s">
        <v>43</v>
      </c>
      <c r="B29" s="941">
        <v>77492481.402347744</v>
      </c>
      <c r="C29" s="1146">
        <v>15840843.597652253</v>
      </c>
      <c r="D29" s="74">
        <f t="shared" si="0"/>
        <v>93333325</v>
      </c>
      <c r="E29" s="409"/>
      <c r="F29" s="48"/>
      <c r="G29" s="48"/>
      <c r="I29" s="48"/>
      <c r="J29" s="48"/>
    </row>
    <row r="30" spans="1:10" ht="25.35" customHeight="1">
      <c r="A30" s="387" t="s">
        <v>44</v>
      </c>
      <c r="B30" s="941">
        <v>45822834.425018497</v>
      </c>
      <c r="C30" s="1146">
        <v>8042112.5749815032</v>
      </c>
      <c r="D30" s="74">
        <f t="shared" si="0"/>
        <v>53864947</v>
      </c>
      <c r="E30" s="409"/>
      <c r="F30" s="48"/>
      <c r="G30" s="48"/>
      <c r="I30" s="48"/>
      <c r="J30" s="48"/>
    </row>
    <row r="31" spans="1:10" ht="25.35" customHeight="1">
      <c r="A31" s="387" t="s">
        <v>45</v>
      </c>
      <c r="B31" s="941">
        <v>47618457.312297449</v>
      </c>
      <c r="C31" s="1146">
        <v>8663977.6877025533</v>
      </c>
      <c r="D31" s="74">
        <f t="shared" si="0"/>
        <v>56282435</v>
      </c>
      <c r="E31" s="409"/>
      <c r="F31" s="48"/>
      <c r="G31" s="48"/>
      <c r="I31" s="48"/>
      <c r="J31" s="48"/>
    </row>
    <row r="32" spans="1:10" ht="25.35" customHeight="1">
      <c r="A32" s="387" t="s">
        <v>46</v>
      </c>
      <c r="B32" s="941">
        <v>22811855.379114985</v>
      </c>
      <c r="C32" s="1146">
        <v>3719348.6208850164</v>
      </c>
      <c r="D32" s="74">
        <f t="shared" si="0"/>
        <v>26531204</v>
      </c>
      <c r="E32" s="409"/>
      <c r="F32" s="48"/>
      <c r="G32" s="48"/>
      <c r="I32" s="48" t="s">
        <v>47</v>
      </c>
      <c r="J32" s="48"/>
    </row>
    <row r="33" spans="1:12" ht="25.35" customHeight="1">
      <c r="A33" s="387" t="s">
        <v>721</v>
      </c>
      <c r="B33" s="941">
        <v>34145110.16823367</v>
      </c>
      <c r="C33" s="1146">
        <v>7234580.8317663297</v>
      </c>
      <c r="D33" s="74">
        <f t="shared" si="0"/>
        <v>41379691</v>
      </c>
      <c r="E33" s="409"/>
      <c r="F33" s="48"/>
      <c r="G33" s="48"/>
      <c r="I33" s="409"/>
      <c r="J33" s="48"/>
      <c r="K33" s="409"/>
    </row>
    <row r="34" spans="1:12" ht="25.35" customHeight="1" thickBot="1">
      <c r="A34" s="388" t="s">
        <v>48</v>
      </c>
      <c r="B34" s="941">
        <v>110093250.74129009</v>
      </c>
      <c r="C34" s="1146">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0" t="s">
        <v>50</v>
      </c>
      <c r="B36" s="1070"/>
      <c r="C36" s="1070"/>
      <c r="D36" s="1070"/>
      <c r="E36" s="476"/>
      <c r="K36" s="409"/>
    </row>
    <row r="37" spans="1:12" ht="44.45" customHeight="1">
      <c r="A37" s="1071" t="s">
        <v>747</v>
      </c>
      <c r="B37" s="1071"/>
      <c r="C37" s="1071"/>
      <c r="D37" s="1071"/>
      <c r="E37" s="475"/>
      <c r="K37" s="409"/>
    </row>
    <row r="38" spans="1:12" ht="26.45" customHeight="1">
      <c r="A38" s="1041"/>
      <c r="B38" s="1041"/>
      <c r="C38" s="1041"/>
      <c r="D38" s="1041"/>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8" t="s">
        <v>762</v>
      </c>
      <c r="C46" s="1019"/>
      <c r="D46" s="1019">
        <v>1500000</v>
      </c>
      <c r="E46" s="627">
        <f t="shared" si="1"/>
        <v>1500000</v>
      </c>
    </row>
    <row r="47" spans="1:12" ht="84.75" customHeight="1">
      <c r="A47" s="942" t="s">
        <v>719</v>
      </c>
      <c r="B47" s="1018" t="s">
        <v>763</v>
      </c>
      <c r="C47" s="1019"/>
      <c r="D47" s="1019">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8" t="s">
        <v>765</v>
      </c>
      <c r="C49" s="1019"/>
      <c r="D49" s="1019">
        <v>500000</v>
      </c>
      <c r="E49" s="627">
        <f t="shared" si="1"/>
        <v>500000</v>
      </c>
    </row>
    <row r="50" spans="1:5" ht="62.45" customHeight="1">
      <c r="A50" s="942" t="s">
        <v>35</v>
      </c>
      <c r="B50" s="1018" t="s">
        <v>766</v>
      </c>
      <c r="C50" s="1019"/>
      <c r="D50" s="1019">
        <v>2500000</v>
      </c>
      <c r="E50" s="627">
        <f t="shared" si="1"/>
        <v>2500000</v>
      </c>
    </row>
    <row r="51" spans="1:5" ht="62.45" customHeight="1">
      <c r="A51" s="1137" t="s">
        <v>767</v>
      </c>
      <c r="B51" s="1018" t="s">
        <v>768</v>
      </c>
      <c r="C51" s="1019"/>
      <c r="D51" s="1019">
        <v>1500000</v>
      </c>
      <c r="E51" s="1121">
        <f t="shared" si="1"/>
        <v>1500000</v>
      </c>
    </row>
    <row r="52" spans="1:5" ht="62.45" customHeight="1" thickBot="1">
      <c r="A52" s="1142" t="s">
        <v>46</v>
      </c>
      <c r="B52" s="1143" t="s">
        <v>769</v>
      </c>
      <c r="C52" s="1144"/>
      <c r="D52" s="1144">
        <v>1975000</v>
      </c>
      <c r="E52" s="1145">
        <f t="shared" si="1"/>
        <v>1975000</v>
      </c>
    </row>
    <row r="53" spans="1:5" ht="62.45" customHeight="1" thickBot="1">
      <c r="A53" s="1142" t="s">
        <v>34</v>
      </c>
      <c r="B53" s="1143" t="s">
        <v>773</v>
      </c>
      <c r="C53" s="1144"/>
      <c r="D53" s="1144">
        <v>3000000</v>
      </c>
      <c r="E53" s="1145">
        <f t="shared" si="1"/>
        <v>3000000</v>
      </c>
    </row>
    <row r="54" spans="1:5" ht="24.6" customHeight="1" thickBot="1">
      <c r="A54" s="1138" t="s">
        <v>54</v>
      </c>
      <c r="B54" s="1139"/>
      <c r="C54" s="1140">
        <f>SUM(C43:C51)</f>
        <v>0</v>
      </c>
      <c r="D54" s="1140">
        <f>SUM(D43:D53)</f>
        <v>16484487</v>
      </c>
      <c r="E54" s="1141">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6" t="s">
        <v>772</v>
      </c>
      <c r="B59" s="1037"/>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8" t="s">
        <v>748</v>
      </c>
      <c r="C65" s="1039"/>
      <c r="D65" s="1039"/>
      <c r="E65" s="1040"/>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6">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29" t="s">
        <v>749</v>
      </c>
      <c r="B98" s="1029"/>
      <c r="C98" s="1029"/>
      <c r="D98" s="1029"/>
      <c r="E98" s="1029"/>
      <c r="F98" s="1029"/>
      <c r="G98" s="1029"/>
      <c r="H98" s="1029"/>
      <c r="I98" s="1029"/>
      <c r="J98" s="1029"/>
      <c r="K98" s="1029"/>
      <c r="L98" s="1029"/>
      <c r="M98" s="1029"/>
      <c r="N98" s="1029"/>
      <c r="O98" s="1029"/>
      <c r="P98" s="1029"/>
      <c r="Q98" s="1029"/>
      <c r="R98" s="1029"/>
    </row>
    <row r="99" spans="1:50" ht="20.100000000000001" customHeight="1">
      <c r="A99" s="1027" t="s">
        <v>62</v>
      </c>
      <c r="B99" s="1027"/>
      <c r="C99" s="1027"/>
      <c r="D99" s="1027"/>
      <c r="E99" s="1027"/>
      <c r="F99" s="1027"/>
      <c r="G99" s="1027"/>
      <c r="H99" s="1027"/>
      <c r="I99" s="1027"/>
      <c r="J99" s="1027"/>
      <c r="K99" s="1027"/>
      <c r="L99" s="1027"/>
      <c r="M99" s="1027"/>
      <c r="N99" s="1027"/>
      <c r="O99" s="1027"/>
      <c r="P99" s="1027"/>
      <c r="Q99" s="1027"/>
      <c r="R99" s="1027"/>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7" t="s">
        <v>64</v>
      </c>
      <c r="B101" s="1027"/>
      <c r="C101" s="1027"/>
      <c r="D101" s="1027"/>
      <c r="E101" s="1027"/>
      <c r="F101" s="1027"/>
      <c r="G101" s="1027"/>
      <c r="H101" s="1027"/>
      <c r="I101" s="1027"/>
      <c r="J101" s="1027"/>
      <c r="K101" s="1027"/>
      <c r="L101" s="1027"/>
      <c r="M101" s="1027"/>
      <c r="N101" s="1027"/>
      <c r="O101" s="1027"/>
      <c r="P101" s="1027"/>
      <c r="Q101" s="1027"/>
      <c r="R101" s="1027"/>
    </row>
    <row r="102" spans="1:50" ht="20.100000000000001" customHeight="1">
      <c r="A102" s="1027"/>
      <c r="B102" s="1027"/>
      <c r="C102" s="1027"/>
      <c r="D102" s="1027"/>
      <c r="E102" s="1027"/>
      <c r="F102" s="1027"/>
      <c r="G102" s="1027"/>
    </row>
    <row r="103" spans="1:50" ht="32.450000000000003" customHeight="1" thickBot="1">
      <c r="E103" s="469"/>
      <c r="F103" s="469"/>
      <c r="G103" s="469"/>
    </row>
    <row r="104" spans="1:50" ht="43.35" customHeight="1" thickBot="1">
      <c r="A104" s="47" t="s">
        <v>750</v>
      </c>
      <c r="B104" s="1022" t="s">
        <v>754</v>
      </c>
      <c r="C104" s="1023"/>
      <c r="D104" s="1024"/>
      <c r="E104" s="1025" t="s">
        <v>65</v>
      </c>
      <c r="F104" s="1025"/>
      <c r="G104" s="1025"/>
      <c r="H104" s="1025"/>
      <c r="I104" s="1025"/>
      <c r="J104" s="1025"/>
      <c r="K104" s="1025"/>
      <c r="L104" s="1025"/>
      <c r="M104" s="1025"/>
      <c r="N104" s="1025"/>
      <c r="O104" s="1025"/>
      <c r="P104" s="1025"/>
      <c r="Q104" s="1025"/>
      <c r="R104" s="1025"/>
      <c r="S104" s="1026"/>
      <c r="T104" s="19"/>
      <c r="U104" s="19"/>
      <c r="AC104" s="19"/>
      <c r="AK104" s="384"/>
    </row>
    <row r="105" spans="1:50" ht="39" customHeight="1" thickBot="1">
      <c r="A105" s="46">
        <v>1</v>
      </c>
      <c r="B105" s="44">
        <v>2</v>
      </c>
      <c r="C105" s="1025">
        <v>3</v>
      </c>
      <c r="D105" s="1026">
        <v>4</v>
      </c>
      <c r="E105" s="1025">
        <v>5</v>
      </c>
      <c r="F105" s="1025">
        <v>6</v>
      </c>
      <c r="G105" s="1025">
        <v>7</v>
      </c>
      <c r="H105" s="1025">
        <v>8</v>
      </c>
      <c r="I105" s="1025">
        <v>9</v>
      </c>
      <c r="J105" s="1025">
        <v>10</v>
      </c>
      <c r="K105" s="1025">
        <v>11</v>
      </c>
      <c r="L105" s="1025">
        <v>12</v>
      </c>
      <c r="M105" s="1025">
        <v>13</v>
      </c>
      <c r="N105" s="1025">
        <v>14</v>
      </c>
      <c r="O105" s="1025">
        <v>15</v>
      </c>
      <c r="P105" s="1025">
        <v>16</v>
      </c>
      <c r="Q105" s="1025">
        <v>17</v>
      </c>
      <c r="R105" s="1025">
        <v>18</v>
      </c>
      <c r="S105" s="1026">
        <v>19</v>
      </c>
      <c r="T105" s="1063" t="s">
        <v>49</v>
      </c>
      <c r="U105" s="28"/>
      <c r="V105" s="44">
        <v>20</v>
      </c>
      <c r="W105" s="1025">
        <v>21</v>
      </c>
      <c r="X105" s="1025">
        <v>22</v>
      </c>
      <c r="Y105" s="58"/>
      <c r="Z105" s="1025">
        <v>23</v>
      </c>
      <c r="AA105" s="1025">
        <v>24</v>
      </c>
      <c r="AB105" s="1026">
        <v>25</v>
      </c>
      <c r="AC105" s="31"/>
    </row>
    <row r="106" spans="1:50" ht="29.45" customHeight="1" thickBot="1">
      <c r="A106" s="55" t="s">
        <v>67</v>
      </c>
      <c r="B106" s="1072" t="s">
        <v>68</v>
      </c>
      <c r="C106" s="1073"/>
      <c r="D106" s="1074"/>
      <c r="E106" s="30"/>
      <c r="G106" s="1044"/>
      <c r="H106" s="1044"/>
      <c r="I106" s="1044"/>
      <c r="J106" s="1044" t="s">
        <v>69</v>
      </c>
      <c r="K106" s="1044"/>
      <c r="L106" s="1044"/>
      <c r="M106" s="1044"/>
      <c r="N106" s="1044"/>
      <c r="O106" s="1044"/>
      <c r="P106" s="1044"/>
      <c r="Q106" s="1057" t="s">
        <v>70</v>
      </c>
      <c r="R106" s="1058"/>
      <c r="S106" s="1059"/>
      <c r="T106" s="1064" t="s">
        <v>694</v>
      </c>
      <c r="U106" s="32"/>
      <c r="V106" s="33"/>
      <c r="W106" s="34"/>
      <c r="X106" s="35"/>
      <c r="Y106" s="59"/>
      <c r="Z106" s="1045"/>
      <c r="AA106" s="1046"/>
      <c r="AB106" s="1047"/>
      <c r="AC106" s="19"/>
      <c r="AD106" s="1136" t="s">
        <v>751</v>
      </c>
      <c r="AF106" s="29"/>
    </row>
    <row r="107" spans="1:50" ht="66" customHeight="1" thickBot="1">
      <c r="A107" s="36"/>
      <c r="B107" s="44" t="s">
        <v>71</v>
      </c>
      <c r="C107" s="1025"/>
      <c r="D107" s="1026"/>
      <c r="E107" s="44" t="s">
        <v>72</v>
      </c>
      <c r="F107" s="1025"/>
      <c r="G107" s="1026"/>
      <c r="H107" s="44" t="s">
        <v>73</v>
      </c>
      <c r="I107" s="1025"/>
      <c r="J107" s="1026"/>
      <c r="K107" s="1033" t="s">
        <v>74</v>
      </c>
      <c r="L107" s="1033"/>
      <c r="M107" s="1033"/>
      <c r="N107" s="38" t="s">
        <v>75</v>
      </c>
      <c r="O107" s="1034"/>
      <c r="P107" s="39"/>
      <c r="Q107" s="1060" t="s">
        <v>718</v>
      </c>
      <c r="R107" s="1061"/>
      <c r="S107" s="1062"/>
      <c r="T107" s="1120"/>
      <c r="U107" s="21"/>
      <c r="V107" s="1030" t="s">
        <v>78</v>
      </c>
      <c r="W107" s="1031"/>
      <c r="X107" s="1035"/>
      <c r="Y107" s="1065"/>
      <c r="Z107" s="1030" t="s">
        <v>79</v>
      </c>
      <c r="AA107" s="1031"/>
      <c r="AB107" s="1032"/>
      <c r="AD107" s="43" t="s">
        <v>80</v>
      </c>
      <c r="AF107" s="19"/>
      <c r="AI107" s="1066" t="s">
        <v>695</v>
      </c>
      <c r="AJ107" s="1066"/>
      <c r="AK107" s="1066"/>
      <c r="AL107" s="1066"/>
      <c r="AM107" s="1066"/>
      <c r="AN107" s="1066"/>
      <c r="AO107" s="1066"/>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19"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5"/>
      <c r="D109" s="945">
        <f t="shared" ref="D109:D136" si="8">B109+C109</f>
        <v>915</v>
      </c>
      <c r="E109" s="1048">
        <v>4409.036589992068</v>
      </c>
      <c r="F109" s="460">
        <v>221.0982515432631</v>
      </c>
      <c r="G109" s="393">
        <f t="shared" ref="G109:G136" si="9">E109+F109</f>
        <v>4630.1348415353314</v>
      </c>
      <c r="H109" s="1113">
        <v>1630.3516883116883</v>
      </c>
      <c r="I109" s="1114">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3" t="s">
        <v>86</v>
      </c>
      <c r="AJ109" s="1043"/>
      <c r="AK109" s="1043"/>
      <c r="AL109" s="1043"/>
      <c r="AM109" s="1043"/>
      <c r="AN109" s="1043"/>
      <c r="AO109" s="42">
        <f>X137+AB137</f>
        <v>3532</v>
      </c>
      <c r="AR109" s="28"/>
      <c r="AS109" s="28"/>
      <c r="AT109" s="28"/>
    </row>
    <row r="110" spans="1:50" ht="25.35" customHeight="1">
      <c r="A110" s="635" t="str">
        <f t="shared" si="7"/>
        <v>Broward College</v>
      </c>
      <c r="B110" s="609">
        <v>1082</v>
      </c>
      <c r="C110" s="615"/>
      <c r="D110" s="946">
        <f t="shared" si="8"/>
        <v>1082</v>
      </c>
      <c r="E110" s="1049">
        <v>10754.786556714595</v>
      </c>
      <c r="F110" s="617">
        <v>616.13231055978451</v>
      </c>
      <c r="G110" s="616">
        <f t="shared" si="9"/>
        <v>11370.918867274378</v>
      </c>
      <c r="H110" s="1115">
        <v>6176.8892795185529</v>
      </c>
      <c r="I110" s="1116">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3" t="s">
        <v>87</v>
      </c>
      <c r="AJ110" s="1043"/>
      <c r="AK110" s="1043"/>
      <c r="AL110" s="1043"/>
      <c r="AM110" s="1043"/>
      <c r="AN110" s="1043"/>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49">
        <v>1950.0543591452492</v>
      </c>
      <c r="F111" s="617">
        <v>95.307077102511784</v>
      </c>
      <c r="G111" s="616">
        <f t="shared" si="9"/>
        <v>2045.361436247761</v>
      </c>
      <c r="H111" s="1115">
        <v>1130.6624683009297</v>
      </c>
      <c r="I111" s="1116">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3" t="s">
        <v>88</v>
      </c>
      <c r="AJ111" s="1043"/>
      <c r="AK111" s="1043"/>
      <c r="AL111" s="1043"/>
      <c r="AM111" s="1043"/>
      <c r="AN111" s="1043"/>
      <c r="AO111" s="575">
        <f>3515-0</f>
        <v>3515</v>
      </c>
    </row>
    <row r="112" spans="1:50" ht="25.35" customHeight="1">
      <c r="A112" s="641" t="str">
        <f t="shared" si="7"/>
        <v>Chipola College</v>
      </c>
      <c r="B112" s="609">
        <v>139</v>
      </c>
      <c r="C112" s="615"/>
      <c r="D112" s="946">
        <f t="shared" si="8"/>
        <v>139</v>
      </c>
      <c r="E112" s="1049">
        <v>530.8765915768854</v>
      </c>
      <c r="F112" s="617">
        <v>41.880264446620963</v>
      </c>
      <c r="G112" s="616">
        <f t="shared" si="9"/>
        <v>572.75685602350632</v>
      </c>
      <c r="H112" s="1115">
        <v>162.48306010928962</v>
      </c>
      <c r="I112" s="1116">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49">
        <v>3949.4169250375667</v>
      </c>
      <c r="F113" s="617">
        <v>253.44011184448291</v>
      </c>
      <c r="G113" s="616">
        <f t="shared" si="9"/>
        <v>4202.8570368820492</v>
      </c>
      <c r="H113" s="1115">
        <v>1969.277802262377</v>
      </c>
      <c r="I113" s="1116">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49">
        <v>6246.663270894951</v>
      </c>
      <c r="F114" s="617">
        <v>316.57735421915504</v>
      </c>
      <c r="G114" s="616">
        <f t="shared" si="9"/>
        <v>6563.2406251141056</v>
      </c>
      <c r="H114" s="1115">
        <v>265.25056947608203</v>
      </c>
      <c r="I114" s="1116">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49">
        <v>6978.5329556305305</v>
      </c>
      <c r="F115" s="617">
        <v>244.79709720542363</v>
      </c>
      <c r="G115" s="616">
        <f t="shared" si="9"/>
        <v>7223.3300528359541</v>
      </c>
      <c r="H115" s="1115">
        <v>3115.5123649380935</v>
      </c>
      <c r="I115" s="1116">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49">
        <v>350.46916076845298</v>
      </c>
      <c r="F116" s="617">
        <v>38.554095045500503</v>
      </c>
      <c r="G116" s="616">
        <f t="shared" si="9"/>
        <v>389.02325581395348</v>
      </c>
      <c r="H116" s="1115">
        <v>207.54407616361073</v>
      </c>
      <c r="I116" s="1116">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2" t="s">
        <v>89</v>
      </c>
      <c r="AJ116" s="1042"/>
      <c r="AK116" s="1042"/>
      <c r="AL116" s="1042"/>
      <c r="AM116" s="1042"/>
      <c r="AN116" s="1042"/>
      <c r="AO116" s="385">
        <f>AO114-AO115</f>
        <v>246694.16252249142</v>
      </c>
    </row>
    <row r="117" spans="1:45" ht="25.35" customHeight="1">
      <c r="A117" s="641" t="str">
        <f t="shared" si="7"/>
        <v>Gulf Coast State College</v>
      </c>
      <c r="B117" s="609">
        <v>117</v>
      </c>
      <c r="C117" s="615"/>
      <c r="D117" s="946">
        <f t="shared" si="8"/>
        <v>117</v>
      </c>
      <c r="E117" s="1049">
        <v>1861.715429118274</v>
      </c>
      <c r="F117" s="617">
        <v>124.25133759624168</v>
      </c>
      <c r="G117" s="616">
        <f t="shared" si="9"/>
        <v>1985.9667667145156</v>
      </c>
      <c r="H117" s="1115">
        <v>507.69817767653751</v>
      </c>
      <c r="I117" s="1116">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49">
        <v>8639.7149535510944</v>
      </c>
      <c r="F118" s="617">
        <v>533.80634444967677</v>
      </c>
      <c r="G118" s="616">
        <f t="shared" si="9"/>
        <v>9173.5212980007709</v>
      </c>
      <c r="H118" s="1115">
        <v>4542.0368683668621</v>
      </c>
      <c r="I118" s="1116">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2" t="s">
        <v>753</v>
      </c>
      <c r="AJ118" s="1042"/>
      <c r="AK118" s="1042"/>
      <c r="AL118" s="1042"/>
      <c r="AM118" s="1042"/>
      <c r="AN118" s="1042"/>
      <c r="AO118" s="386">
        <f>AO112+AO116</f>
        <v>285270</v>
      </c>
    </row>
    <row r="119" spans="1:45" ht="25.35" customHeight="1">
      <c r="A119" s="641" t="str">
        <f t="shared" si="7"/>
        <v>Indian River State College</v>
      </c>
      <c r="B119" s="609">
        <v>1215</v>
      </c>
      <c r="C119" s="615"/>
      <c r="D119" s="946">
        <f t="shared" si="8"/>
        <v>1215</v>
      </c>
      <c r="E119" s="1049">
        <v>4660.3299105664128</v>
      </c>
      <c r="F119" s="617">
        <v>157.9372744547689</v>
      </c>
      <c r="G119" s="616">
        <f t="shared" si="9"/>
        <v>4818.2671850211818</v>
      </c>
      <c r="H119" s="1115">
        <v>2124.51858988395</v>
      </c>
      <c r="I119" s="1116">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49">
        <v>915.82362999755719</v>
      </c>
      <c r="F120" s="617">
        <v>18.145102190375379</v>
      </c>
      <c r="G120" s="616">
        <f t="shared" si="9"/>
        <v>933.96873218793257</v>
      </c>
      <c r="H120" s="1115">
        <v>364.09095831077423</v>
      </c>
      <c r="I120" s="1116">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49">
        <v>1830.1096644350432</v>
      </c>
      <c r="F121" s="617">
        <v>37.919743705590008</v>
      </c>
      <c r="G121" s="616">
        <f t="shared" si="9"/>
        <v>1868.0294081406332</v>
      </c>
      <c r="H121" s="1115">
        <v>499.36773102135754</v>
      </c>
      <c r="I121" s="1116">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49">
        <v>3934.7164576870982</v>
      </c>
      <c r="F122" s="617">
        <v>212.71462274454976</v>
      </c>
      <c r="G122" s="616">
        <f t="shared" si="9"/>
        <v>4147.4310804316483</v>
      </c>
      <c r="H122" s="1115">
        <v>622.55562848703642</v>
      </c>
      <c r="I122" s="1116">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49">
        <v>28519.305599670413</v>
      </c>
      <c r="F123" s="617">
        <v>1484.6336724455282</v>
      </c>
      <c r="G123" s="616">
        <f t="shared" si="9"/>
        <v>30003.939272115942</v>
      </c>
      <c r="H123" s="1115">
        <v>4245.8402679830742</v>
      </c>
      <c r="I123" s="1116">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49">
        <v>425.69584283459039</v>
      </c>
      <c r="F124" s="617">
        <v>17.30187686370812</v>
      </c>
      <c r="G124" s="616">
        <f t="shared" si="9"/>
        <v>442.99771969829851</v>
      </c>
      <c r="H124" s="1115">
        <v>85.788276465441825</v>
      </c>
      <c r="I124" s="1116">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49">
        <v>1490.3653406706153</v>
      </c>
      <c r="F125" s="617">
        <v>143.48169565825674</v>
      </c>
      <c r="G125" s="616">
        <f t="shared" si="9"/>
        <v>1633.847036328872</v>
      </c>
      <c r="H125" s="1115">
        <v>526.6685103244838</v>
      </c>
      <c r="I125" s="1116">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49">
        <v>11127.499699106949</v>
      </c>
      <c r="F126" s="617">
        <v>542.61688692037967</v>
      </c>
      <c r="G126" s="616">
        <f t="shared" si="9"/>
        <v>11670.116586027329</v>
      </c>
      <c r="H126" s="1115">
        <v>1386.531490015361</v>
      </c>
      <c r="I126" s="1116">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49">
        <v>2912.2009412671323</v>
      </c>
      <c r="F127" s="617">
        <v>21.2593163428194</v>
      </c>
      <c r="G127" s="616">
        <f t="shared" si="9"/>
        <v>2933.4602576099519</v>
      </c>
      <c r="H127" s="1115">
        <v>1538.983320785313</v>
      </c>
      <c r="I127" s="1116">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49">
        <v>3119.6488266081378</v>
      </c>
      <c r="F128" s="617">
        <v>134.73712645618775</v>
      </c>
      <c r="G128" s="616">
        <f t="shared" si="9"/>
        <v>3254.3859530643258</v>
      </c>
      <c r="H128" s="1115">
        <v>1128.286918177364</v>
      </c>
      <c r="I128" s="1116">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49">
        <v>2439.848461767725</v>
      </c>
      <c r="F129" s="617">
        <v>81.772626419843036</v>
      </c>
      <c r="G129" s="616">
        <f t="shared" si="9"/>
        <v>2521.6210881875681</v>
      </c>
      <c r="H129" s="1115">
        <v>1221.8153354632586</v>
      </c>
      <c r="I129" s="1116">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49">
        <v>1972.8061068702291</v>
      </c>
      <c r="F130" s="617">
        <v>59.65190839694656</v>
      </c>
      <c r="G130" s="616">
        <f t="shared" si="9"/>
        <v>2032.4580152671756</v>
      </c>
      <c r="H130" s="1115">
        <v>630.75982651124968</v>
      </c>
      <c r="I130" s="1116">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49">
        <v>6385.6475648389005</v>
      </c>
      <c r="F131" s="617">
        <v>294.91843304916682</v>
      </c>
      <c r="G131" s="616">
        <f t="shared" si="9"/>
        <v>6680.5659978880676</v>
      </c>
      <c r="H131" s="1115">
        <v>3681.5011252813206</v>
      </c>
      <c r="I131" s="1116">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49">
        <v>5381.8846382753609</v>
      </c>
      <c r="F132" s="617">
        <v>449.149814839307</v>
      </c>
      <c r="G132" s="616">
        <f t="shared" si="9"/>
        <v>5831.0344531146675</v>
      </c>
      <c r="H132" s="1115">
        <v>2081.6657560975609</v>
      </c>
      <c r="I132" s="1116">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49">
        <v>5395.3895303809049</v>
      </c>
      <c r="F133" s="617">
        <v>133.51193409842992</v>
      </c>
      <c r="G133" s="616">
        <f t="shared" si="9"/>
        <v>5528.9014644793351</v>
      </c>
      <c r="H133" s="1115">
        <v>2255.4402489782146</v>
      </c>
      <c r="I133" s="1116">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49">
        <v>1219.1509675765731</v>
      </c>
      <c r="F134" s="617">
        <v>16.127450980392158</v>
      </c>
      <c r="G134" s="616">
        <f t="shared" si="9"/>
        <v>1235.2784185569653</v>
      </c>
      <c r="H134" s="1115">
        <v>1</v>
      </c>
      <c r="I134" s="1116">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49">
        <v>6799.7492845606776</v>
      </c>
      <c r="F135" s="617">
        <v>263.0170713739268</v>
      </c>
      <c r="G135" s="616">
        <f t="shared" si="9"/>
        <v>7062.7663559346047</v>
      </c>
      <c r="H135" s="1115">
        <v>1597.7773759583395</v>
      </c>
      <c r="I135" s="1116">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0">
        <v>18028.801067099237</v>
      </c>
      <c r="F136" s="594">
        <v>1645.1959329056467</v>
      </c>
      <c r="G136" s="565">
        <f t="shared" si="9"/>
        <v>19673.997000004885</v>
      </c>
      <c r="H136" s="1117">
        <v>7431.4523146123565</v>
      </c>
      <c r="I136" s="1118">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0" t="s">
        <v>717</v>
      </c>
      <c r="B145" s="1028"/>
      <c r="C145" s="1109"/>
      <c r="D145" s="1109"/>
    </row>
    <row r="146" spans="1:4" ht="21.75" thickBot="1">
      <c r="A146" s="62"/>
      <c r="B146" s="63" t="s">
        <v>756</v>
      </c>
    </row>
    <row r="147" spans="1:4" ht="21.75" thickBot="1">
      <c r="A147" s="62">
        <v>1</v>
      </c>
      <c r="B147" s="52">
        <v>2</v>
      </c>
    </row>
    <row r="148" spans="1:4" ht="57" customHeight="1" thickBot="1">
      <c r="A148" s="38" t="s">
        <v>150</v>
      </c>
      <c r="B148" s="1105" t="str">
        <f>B5</f>
        <v xml:space="preserve">2024-25 BASE BUDGET </v>
      </c>
    </row>
    <row r="149" spans="1:4" ht="63.75" thickBot="1">
      <c r="A149" s="290" t="s">
        <v>17</v>
      </c>
      <c r="B149" s="23" t="s">
        <v>150</v>
      </c>
    </row>
    <row r="150" spans="1:4">
      <c r="A150" s="407" t="str">
        <f t="shared" ref="A150:A177" si="23">A7</f>
        <v>Eastern Florida State College</v>
      </c>
      <c r="B150" s="1106">
        <v>1223211</v>
      </c>
    </row>
    <row r="151" spans="1:4">
      <c r="A151" s="387" t="str">
        <f t="shared" si="23"/>
        <v>Broward College</v>
      </c>
      <c r="B151" s="1107">
        <v>2901756</v>
      </c>
    </row>
    <row r="152" spans="1:4">
      <c r="A152" s="387" t="str">
        <f t="shared" si="23"/>
        <v>College of Central Florida</v>
      </c>
      <c r="B152" s="1107">
        <v>580642</v>
      </c>
    </row>
    <row r="153" spans="1:4">
      <c r="A153" s="387" t="str">
        <f t="shared" si="23"/>
        <v>Chipola College</v>
      </c>
      <c r="B153" s="1107">
        <v>199039</v>
      </c>
    </row>
    <row r="154" spans="1:4">
      <c r="A154" s="387" t="str">
        <f t="shared" si="23"/>
        <v>Daytona State College</v>
      </c>
      <c r="B154" s="1107">
        <v>806367</v>
      </c>
    </row>
    <row r="155" spans="1:4">
      <c r="A155" s="387" t="str">
        <f t="shared" si="23"/>
        <v>Florida SouthWestern State College</v>
      </c>
      <c r="B155" s="1107">
        <v>831927</v>
      </c>
    </row>
    <row r="156" spans="1:4">
      <c r="A156" s="387" t="str">
        <f t="shared" si="23"/>
        <v>Florida State College at Jacksonville</v>
      </c>
      <c r="B156" s="1107">
        <v>1522554</v>
      </c>
    </row>
    <row r="157" spans="1:4">
      <c r="A157" s="387" t="str">
        <f t="shared" si="23"/>
        <v>College of the Florida Keys</v>
      </c>
      <c r="B157" s="1107">
        <v>55645</v>
      </c>
    </row>
    <row r="158" spans="1:4">
      <c r="A158" s="387" t="str">
        <f t="shared" si="23"/>
        <v>Gulf Coast State College</v>
      </c>
      <c r="B158" s="1107">
        <v>281214</v>
      </c>
    </row>
    <row r="159" spans="1:4">
      <c r="A159" s="387" t="str">
        <f t="shared" si="23"/>
        <v>Hillsborough Community College</v>
      </c>
      <c r="B159" s="1107">
        <v>1535676</v>
      </c>
    </row>
    <row r="160" spans="1:4">
      <c r="A160" s="387" t="str">
        <f t="shared" si="23"/>
        <v>Indian River State College</v>
      </c>
      <c r="B160" s="1107">
        <v>861594</v>
      </c>
    </row>
    <row r="161" spans="1:2">
      <c r="A161" s="387" t="str">
        <f t="shared" si="23"/>
        <v>Florida Gateway College</v>
      </c>
      <c r="B161" s="1107">
        <v>234886</v>
      </c>
    </row>
    <row r="162" spans="1:2">
      <c r="A162" s="387" t="str">
        <f t="shared" si="23"/>
        <v>Lake-Sumter State College</v>
      </c>
      <c r="B162" s="1107">
        <v>334183</v>
      </c>
    </row>
    <row r="163" spans="1:2">
      <c r="A163" s="387" t="str">
        <f t="shared" si="23"/>
        <v>State College of Florida, Manatee-Sarasota</v>
      </c>
      <c r="B163" s="1107">
        <v>538310</v>
      </c>
    </row>
    <row r="164" spans="1:2">
      <c r="A164" s="387" t="str">
        <f t="shared" si="23"/>
        <v>Miami Dade College</v>
      </c>
      <c r="B164" s="1107">
        <v>4079933</v>
      </c>
    </row>
    <row r="165" spans="1:2">
      <c r="A165" s="387" t="str">
        <f t="shared" si="23"/>
        <v>North Florida College</v>
      </c>
      <c r="B165" s="1107">
        <v>134140</v>
      </c>
    </row>
    <row r="166" spans="1:2">
      <c r="A166" s="387" t="str">
        <f t="shared" si="23"/>
        <v>Northwest Florida State College</v>
      </c>
      <c r="B166" s="1107">
        <v>337943</v>
      </c>
    </row>
    <row r="167" spans="1:2">
      <c r="A167" s="387" t="str">
        <f t="shared" si="23"/>
        <v>Palm Beach State College</v>
      </c>
      <c r="B167" s="1107">
        <v>1362933</v>
      </c>
    </row>
    <row r="168" spans="1:2">
      <c r="A168" s="387" t="str">
        <f t="shared" si="23"/>
        <v>Pasco-Hernando State College</v>
      </c>
      <c r="B168" s="1107">
        <v>656969</v>
      </c>
    </row>
    <row r="169" spans="1:2">
      <c r="A169" s="387" t="str">
        <f t="shared" si="23"/>
        <v>Pensacola State College</v>
      </c>
      <c r="B169" s="1107">
        <v>468310</v>
      </c>
    </row>
    <row r="170" spans="1:2">
      <c r="A170" s="387" t="str">
        <f t="shared" si="23"/>
        <v>Polk State College</v>
      </c>
      <c r="B170" s="1107">
        <v>612408</v>
      </c>
    </row>
    <row r="171" spans="1:2">
      <c r="A171" s="387" t="str">
        <f t="shared" si="23"/>
        <v>St. Johns River State College</v>
      </c>
      <c r="B171" s="1107">
        <v>432461</v>
      </c>
    </row>
    <row r="172" spans="1:2">
      <c r="A172" s="387" t="str">
        <f t="shared" si="23"/>
        <v>St. Petersburg College</v>
      </c>
      <c r="B172" s="1107">
        <v>1662776</v>
      </c>
    </row>
    <row r="173" spans="1:2">
      <c r="A173" s="387" t="str">
        <f t="shared" si="23"/>
        <v>Santa Fe College</v>
      </c>
      <c r="B173" s="1107">
        <v>1069199</v>
      </c>
    </row>
    <row r="174" spans="1:2">
      <c r="A174" s="387" t="str">
        <f t="shared" si="23"/>
        <v>Seminole State College of Florida</v>
      </c>
      <c r="B174" s="1107">
        <v>1560101</v>
      </c>
    </row>
    <row r="175" spans="1:2">
      <c r="A175" s="387" t="str">
        <f t="shared" si="23"/>
        <v>South Florida State College</v>
      </c>
      <c r="B175" s="1107">
        <v>188239</v>
      </c>
    </row>
    <row r="176" spans="1:2">
      <c r="A176" s="387" t="str">
        <f t="shared" si="23"/>
        <v>Tallahassee State College</v>
      </c>
      <c r="B176" s="1107">
        <v>1011402</v>
      </c>
    </row>
    <row r="177" spans="1:2" ht="21.75" thickBot="1">
      <c r="A177" s="388" t="str">
        <f t="shared" si="23"/>
        <v>Valencia College</v>
      </c>
      <c r="B177" s="1108">
        <v>4516182</v>
      </c>
    </row>
    <row r="178" spans="1:2" ht="24" thickBot="1">
      <c r="A178" s="389" t="s">
        <v>49</v>
      </c>
      <c r="B178" s="427">
        <f>SUM(B150:B177)</f>
        <v>30000000</v>
      </c>
    </row>
    <row r="180" spans="1:2" ht="36.75" thickBot="1">
      <c r="A180" s="1110" t="s">
        <v>717</v>
      </c>
      <c r="B180" s="1028"/>
    </row>
    <row r="181" spans="1:2" ht="21.75" thickBot="1">
      <c r="A181" s="62"/>
      <c r="B181" s="63" t="s">
        <v>756</v>
      </c>
    </row>
    <row r="182" spans="1:2" ht="21.75" thickBot="1">
      <c r="A182" s="62">
        <v>1</v>
      </c>
      <c r="B182" s="52">
        <v>2</v>
      </c>
    </row>
    <row r="183" spans="1:2" ht="54" thickBot="1">
      <c r="A183" s="1111" t="s">
        <v>696</v>
      </c>
      <c r="B183" s="1105" t="str">
        <f>B5</f>
        <v xml:space="preserve">2024-25 BASE BUDGET </v>
      </c>
    </row>
    <row r="184" spans="1:2" ht="42.75" thickBot="1">
      <c r="A184" s="290" t="s">
        <v>17</v>
      </c>
      <c r="B184" s="23" t="s">
        <v>696</v>
      </c>
    </row>
    <row r="185" spans="1:2">
      <c r="A185" s="407" t="str">
        <f t="shared" ref="A185:A212" si="24">A7</f>
        <v>Eastern Florida State College</v>
      </c>
      <c r="B185" s="1112">
        <v>1305041</v>
      </c>
    </row>
    <row r="186" spans="1:2">
      <c r="A186" s="387" t="str">
        <f t="shared" si="24"/>
        <v>Broward College</v>
      </c>
      <c r="B186" s="1107">
        <v>1431485</v>
      </c>
    </row>
    <row r="187" spans="1:2">
      <c r="A187" s="387" t="str">
        <f t="shared" si="24"/>
        <v>College of Central Florida</v>
      </c>
      <c r="B187" s="1107">
        <v>1049273</v>
      </c>
    </row>
    <row r="188" spans="1:2">
      <c r="A188" s="387" t="str">
        <f t="shared" si="24"/>
        <v>Chipola College</v>
      </c>
      <c r="B188" s="1107">
        <v>432695</v>
      </c>
    </row>
    <row r="189" spans="1:2">
      <c r="A189" s="387" t="str">
        <f t="shared" si="24"/>
        <v>Daytona State College</v>
      </c>
      <c r="B189" s="1107">
        <v>2291042</v>
      </c>
    </row>
    <row r="190" spans="1:2">
      <c r="A190" s="387" t="str">
        <f t="shared" si="24"/>
        <v>Florida SouthWestern State College</v>
      </c>
      <c r="B190" s="1107">
        <v>1383615</v>
      </c>
    </row>
    <row r="191" spans="1:2">
      <c r="A191" s="387" t="str">
        <f t="shared" si="24"/>
        <v>Florida State College at Jacksonville</v>
      </c>
      <c r="B191" s="1107">
        <v>2284275</v>
      </c>
    </row>
    <row r="192" spans="1:2">
      <c r="A192" s="387" t="str">
        <f t="shared" si="24"/>
        <v>College of the Florida Keys</v>
      </c>
      <c r="B192" s="1107">
        <v>338573</v>
      </c>
    </row>
    <row r="193" spans="1:2">
      <c r="A193" s="387" t="str">
        <f t="shared" si="24"/>
        <v>Gulf Coast State College</v>
      </c>
      <c r="B193" s="1107">
        <v>1680100</v>
      </c>
    </row>
    <row r="194" spans="1:2">
      <c r="A194" s="387" t="str">
        <f t="shared" si="24"/>
        <v>Hillsborough Community College</v>
      </c>
      <c r="B194" s="1107">
        <v>653062</v>
      </c>
    </row>
    <row r="195" spans="1:2">
      <c r="A195" s="387" t="str">
        <f t="shared" si="24"/>
        <v>Indian River State College</v>
      </c>
      <c r="B195" s="1107">
        <v>1644383</v>
      </c>
    </row>
    <row r="196" spans="1:2">
      <c r="A196" s="387" t="str">
        <f t="shared" si="24"/>
        <v>Florida Gateway College</v>
      </c>
      <c r="B196" s="1107">
        <v>1502315</v>
      </c>
    </row>
    <row r="197" spans="1:2">
      <c r="A197" s="387" t="str">
        <f t="shared" si="24"/>
        <v>Lake-Sumter State College</v>
      </c>
      <c r="B197" s="1107">
        <v>1203371</v>
      </c>
    </row>
    <row r="198" spans="1:2">
      <c r="A198" s="387" t="str">
        <f t="shared" si="24"/>
        <v>State College of Florida, Manatee-Sarasota</v>
      </c>
      <c r="B198" s="1107">
        <v>1708676</v>
      </c>
    </row>
    <row r="199" spans="1:2">
      <c r="A199" s="387" t="str">
        <f t="shared" si="24"/>
        <v>Miami Dade College</v>
      </c>
      <c r="B199" s="1107">
        <v>2347456</v>
      </c>
    </row>
    <row r="200" spans="1:2">
      <c r="A200" s="387" t="str">
        <f t="shared" si="24"/>
        <v>North Florida College</v>
      </c>
      <c r="B200" s="1107">
        <v>909979</v>
      </c>
    </row>
    <row r="201" spans="1:2">
      <c r="A201" s="387" t="str">
        <f t="shared" si="24"/>
        <v>Northwest Florida State College</v>
      </c>
      <c r="B201" s="1107">
        <v>846604</v>
      </c>
    </row>
    <row r="202" spans="1:2">
      <c r="A202" s="387" t="str">
        <f t="shared" si="24"/>
        <v>Palm Beach State College</v>
      </c>
      <c r="B202" s="1107">
        <v>1637660</v>
      </c>
    </row>
    <row r="203" spans="1:2">
      <c r="A203" s="387" t="str">
        <f t="shared" si="24"/>
        <v>Pasco-Hernando State College</v>
      </c>
      <c r="B203" s="1107">
        <v>2453045</v>
      </c>
    </row>
    <row r="204" spans="1:2">
      <c r="A204" s="387" t="str">
        <f t="shared" si="24"/>
        <v>Pensacola State College</v>
      </c>
      <c r="B204" s="1107">
        <v>1084766</v>
      </c>
    </row>
    <row r="205" spans="1:2">
      <c r="A205" s="387" t="str">
        <f t="shared" si="24"/>
        <v>Polk State College</v>
      </c>
      <c r="B205" s="1107">
        <v>1287984</v>
      </c>
    </row>
    <row r="206" spans="1:2">
      <c r="A206" s="387" t="str">
        <f t="shared" si="24"/>
        <v>St. Johns River State College</v>
      </c>
      <c r="B206" s="1107">
        <v>1161973</v>
      </c>
    </row>
    <row r="207" spans="1:2">
      <c r="A207" s="387" t="str">
        <f t="shared" si="24"/>
        <v>St. Petersburg College</v>
      </c>
      <c r="B207" s="1107">
        <v>2139506</v>
      </c>
    </row>
    <row r="208" spans="1:2">
      <c r="A208" s="387" t="str">
        <f t="shared" si="24"/>
        <v>Santa Fe College</v>
      </c>
      <c r="B208" s="1107">
        <v>1764750</v>
      </c>
    </row>
    <row r="209" spans="1:2">
      <c r="A209" s="387" t="str">
        <f t="shared" si="24"/>
        <v>Seminole State College of Florida</v>
      </c>
      <c r="B209" s="1107">
        <v>1473391</v>
      </c>
    </row>
    <row r="210" spans="1:2">
      <c r="A210" s="387" t="str">
        <f t="shared" si="24"/>
        <v>South Florida State College</v>
      </c>
      <c r="B210" s="1107">
        <v>1194691</v>
      </c>
    </row>
    <row r="211" spans="1:2">
      <c r="A211" s="387" t="str">
        <f t="shared" si="24"/>
        <v>Tallahassee State College</v>
      </c>
      <c r="B211" s="1107">
        <v>678930</v>
      </c>
    </row>
    <row r="212" spans="1:2" ht="21.75" thickBot="1">
      <c r="A212" s="388" t="str">
        <f t="shared" si="24"/>
        <v>Valencia College</v>
      </c>
      <c r="B212" s="1108">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5" t="s">
        <v>712</v>
      </c>
      <c r="B4" s="1125"/>
      <c r="C4" s="1125"/>
      <c r="D4" s="1125"/>
      <c r="E4" s="1125"/>
      <c r="F4" s="1125"/>
      <c r="G4" s="1125"/>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33</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5.4848208843025138E-2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0"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4500</v>
      </c>
      <c r="E44" s="114">
        <f>+'EXHIBIT C'!F10</f>
        <v>9693.3956790354587</v>
      </c>
      <c r="F44" s="115">
        <f t="shared" ref="F44:F50" si="0">IF(D44=0,"0",(E44/D44-1))</f>
        <v>1.1540879286745462</v>
      </c>
      <c r="G44" s="116" t="str">
        <f t="shared" ref="G44:G50" si="1">IF(OR(F44&gt;3%, F44&lt;-3%),"YES","NO")</f>
        <v>YES</v>
      </c>
      <c r="H44" s="88"/>
    </row>
    <row r="45" spans="1:8" ht="20.100000000000001" customHeight="1">
      <c r="C45" s="117" t="s">
        <v>126</v>
      </c>
      <c r="D45" s="650">
        <f>VLOOKUP($D$7,VLOOKUP!$A$109:$S$137,5)*30+D60</f>
        <v>56040.882244218999</v>
      </c>
      <c r="E45" s="118">
        <f>+'EXHIBIT C'!F11</f>
        <v>54804.72501647468</v>
      </c>
      <c r="F45" s="651">
        <f t="shared" si="0"/>
        <v>-2.2058132888724047E-2</v>
      </c>
      <c r="G45" s="652" t="str">
        <f t="shared" si="1"/>
        <v>NO</v>
      </c>
      <c r="H45" s="88"/>
    </row>
    <row r="46" spans="1:8" ht="20.100000000000001" customHeight="1">
      <c r="C46" s="653" t="s">
        <v>127</v>
      </c>
      <c r="D46" s="654">
        <f>VLOOKUP($D$7,VLOOKUP!$A$109:$S$137,8)*30</f>
        <v>14981.031930640725</v>
      </c>
      <c r="E46" s="655">
        <f>+'EXHIBIT C'!F12</f>
        <v>16185.271011165978</v>
      </c>
      <c r="F46" s="651">
        <f t="shared" si="0"/>
        <v>8.0384254309092018E-2</v>
      </c>
      <c r="G46" s="652" t="str">
        <f t="shared" si="1"/>
        <v>YES</v>
      </c>
      <c r="H46" s="88"/>
    </row>
    <row r="47" spans="1:8" ht="20.100000000000001" customHeight="1">
      <c r="C47" s="653" t="s">
        <v>76</v>
      </c>
      <c r="D47" s="654">
        <f>VLOOKUP($D$7,VLOOKUP!$A$109:$S$137,17)*30</f>
        <v>0</v>
      </c>
      <c r="E47" s="655">
        <f>+'EXHIBIT C'!F13</f>
        <v>0</v>
      </c>
      <c r="F47" s="651" t="str">
        <f t="shared" si="0"/>
        <v>0</v>
      </c>
      <c r="G47" s="652" t="str">
        <f t="shared" si="1"/>
        <v>NO</v>
      </c>
      <c r="H47" s="88"/>
    </row>
    <row r="48" spans="1:8" ht="20.100000000000001" customHeight="1">
      <c r="C48" s="653" t="s">
        <v>128</v>
      </c>
      <c r="D48" s="654">
        <f>VLOOKUP($D$7,VLOOKUP!$A$109:$S$137,11)*30</f>
        <v>2082.9896907216498</v>
      </c>
      <c r="E48" s="655">
        <f>+'EXHIBIT C'!F14</f>
        <v>2169.9696204053421</v>
      </c>
      <c r="F48" s="651">
        <f t="shared" si="0"/>
        <v>4.1757254042653624E-2</v>
      </c>
      <c r="G48" s="652" t="str">
        <f t="shared" si="1"/>
        <v>YES</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77604.903865581378</v>
      </c>
      <c r="E50" s="121">
        <f>+'EXHIBIT C'!F17</f>
        <v>82853.361327081468</v>
      </c>
      <c r="F50" s="122">
        <f t="shared" si="0"/>
        <v>6.7630487251049143E-2</v>
      </c>
      <c r="G50" s="123" t="str">
        <f t="shared" si="1"/>
        <v>YES</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085" t="s">
        <v>789</v>
      </c>
      <c r="D53" s="1086"/>
      <c r="E53" s="1086"/>
      <c r="F53" s="1086"/>
      <c r="G53" s="1087"/>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49</v>
      </c>
      <c r="F59" s="662" t="str">
        <f t="shared" ref="F59:F65" si="2">IF(D59=0,"0",(E59/D59-1))</f>
        <v>0</v>
      </c>
      <c r="G59" s="663" t="str">
        <f>IF(OR(F59&gt;5%, F59&lt;-5%),"YES","NO")</f>
        <v>NO</v>
      </c>
    </row>
    <row r="60" spans="3:8" ht="20.100000000000001" customHeight="1">
      <c r="C60" s="117" t="s">
        <v>126</v>
      </c>
      <c r="D60" s="661">
        <f>VLOOKUP($D$7,VLOOKUP!$A$109:$S$137,6)*30</f>
        <v>1137.5923111677002</v>
      </c>
      <c r="E60" s="131">
        <f>+'EXHIBIT C'!D20</f>
        <v>1158</v>
      </c>
      <c r="F60" s="662">
        <f t="shared" si="2"/>
        <v>1.7939369519254234E-2</v>
      </c>
      <c r="G60" s="663" t="str">
        <f t="shared" ref="G60:G65" si="3">IF(OR(F60&gt;5%, F60&lt;-5%),"YES","NO")</f>
        <v>NO</v>
      </c>
      <c r="H60" s="88"/>
    </row>
    <row r="61" spans="3:8" ht="20.100000000000001" customHeight="1">
      <c r="C61" s="653" t="s">
        <v>127</v>
      </c>
      <c r="D61" s="664">
        <f>VLOOKUP($D$7,VLOOKUP!$A$109:$S$137,9)*30</f>
        <v>227.80714738845421</v>
      </c>
      <c r="E61" s="665">
        <f>+'EXHIBIT C'!D21</f>
        <v>164</v>
      </c>
      <c r="F61" s="662">
        <f t="shared" si="2"/>
        <v>-0.28009282465422813</v>
      </c>
      <c r="G61" s="663" t="str">
        <f t="shared" si="3"/>
        <v>YES</v>
      </c>
      <c r="H61" s="88"/>
    </row>
    <row r="62" spans="3:8" ht="20.100000000000001" customHeight="1">
      <c r="C62" s="653" t="s">
        <v>76</v>
      </c>
      <c r="D62" s="664">
        <f>VLOOKUP($D$7,VLOOKUP!$A$109:$S$137,18)*30</f>
        <v>0</v>
      </c>
      <c r="E62" s="665">
        <f>+'EXHIBIT C'!D22</f>
        <v>0</v>
      </c>
      <c r="F62" s="662" t="str">
        <f t="shared" si="2"/>
        <v>0</v>
      </c>
      <c r="G62" s="663" t="str">
        <f t="shared" si="3"/>
        <v>NO</v>
      </c>
      <c r="H62" s="88"/>
    </row>
    <row r="63" spans="3:8" ht="20.100000000000001" customHeight="1">
      <c r="C63" s="653" t="s">
        <v>128</v>
      </c>
      <c r="D63" s="664">
        <f>VLOOKUP($D$7,VLOOKUP!$A$109:$S$137,12)*30</f>
        <v>167.01030927835052</v>
      </c>
      <c r="E63" s="665">
        <f>+'EXHIBIT C'!D23</f>
        <v>104</v>
      </c>
      <c r="F63" s="662">
        <f t="shared" si="2"/>
        <v>-0.37728395061728393</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1532.4097678345051</v>
      </c>
      <c r="E65" s="133">
        <f>SUM(E59:E64)</f>
        <v>1475</v>
      </c>
      <c r="F65" s="134">
        <f t="shared" si="2"/>
        <v>-3.7463718281848801E-2</v>
      </c>
      <c r="G65" s="135" t="str">
        <f t="shared" si="3"/>
        <v>NO</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088" t="s">
        <v>788</v>
      </c>
      <c r="D68" s="1089"/>
      <c r="E68" s="1089"/>
      <c r="F68" s="1089"/>
      <c r="G68" s="1090"/>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1"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1"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21135195.500593662</v>
      </c>
      <c r="E84" s="1126">
        <f>+'EXHIBIT D'!G76</f>
        <v>21135195.500593662</v>
      </c>
      <c r="F84" s="1126">
        <f>D84-E84</f>
        <v>0</v>
      </c>
      <c r="G84" s="88"/>
      <c r="H84" s="88"/>
    </row>
    <row r="85" spans="1:8" ht="20.100000000000001" customHeight="1">
      <c r="A85" s="98"/>
      <c r="B85" s="98"/>
      <c r="C85" s="672" t="s">
        <v>150</v>
      </c>
      <c r="D85" s="671">
        <f>VLOOKUP($D$7,VLOOKUP!$A$150:$B$178,2)</f>
        <v>334183</v>
      </c>
      <c r="E85" s="1126">
        <f>'EXHIBIT D'!G78</f>
        <v>334183</v>
      </c>
      <c r="F85" s="1126">
        <f>D85-E85</f>
        <v>0</v>
      </c>
      <c r="G85" s="88"/>
      <c r="H85" s="88"/>
    </row>
    <row r="86" spans="1:8" ht="20.100000000000001" customHeight="1">
      <c r="A86" s="98"/>
      <c r="B86" s="98"/>
      <c r="C86" s="672" t="s">
        <v>151</v>
      </c>
      <c r="D86" s="671">
        <f>VLOOKUP($D$7,VLOOKUP!$A$7:$E$35,3)</f>
        <v>3055669.4994063387</v>
      </c>
      <c r="E86" s="1126">
        <f>'EXHIBIT D'!G82</f>
        <v>3055669.4994063387</v>
      </c>
      <c r="F86" s="1126">
        <f>D86-E86</f>
        <v>0</v>
      </c>
      <c r="G86" s="88"/>
      <c r="H86" s="88"/>
    </row>
    <row r="87" spans="1:8" ht="20.100000000000001" customHeight="1" thickBot="1">
      <c r="A87" s="97"/>
      <c r="B87" s="97"/>
      <c r="C87" s="143" t="s">
        <v>696</v>
      </c>
      <c r="D87" s="671">
        <f>VLOOKUP($D$7,VLOOKUP!$A$185:$B$213,2)</f>
        <v>1203371</v>
      </c>
      <c r="E87" s="1127">
        <f>'EXHIBIT D'!G77</f>
        <v>1203371</v>
      </c>
      <c r="F87" s="1126">
        <f>D87-E87</f>
        <v>0</v>
      </c>
      <c r="G87" s="88"/>
      <c r="H87" s="88"/>
    </row>
    <row r="88" spans="1:8" ht="20.100000000000001" customHeight="1" thickBot="1">
      <c r="A88" s="97"/>
      <c r="B88" s="97"/>
      <c r="C88" s="144" t="s">
        <v>152</v>
      </c>
      <c r="D88" s="145">
        <f>SUM(D84:D87)</f>
        <v>25728419</v>
      </c>
      <c r="E88" s="145">
        <f>SUM(E84:E87)</f>
        <v>25728419</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2338229</v>
      </c>
      <c r="D101" s="819" t="s">
        <v>741</v>
      </c>
      <c r="E101" s="819"/>
      <c r="F101" s="819"/>
      <c r="G101" s="88"/>
      <c r="H101" s="88"/>
    </row>
    <row r="102" spans="1:8" ht="20.100000000000001" customHeight="1">
      <c r="A102" s="95"/>
      <c r="B102" s="95"/>
      <c r="C102" s="674">
        <f>'EXHIBIT D'!G267-'EXHIBIT D'!G253-'EXHIBIT D'!G265</f>
        <v>2338229</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13604486</v>
      </c>
      <c r="D108" s="17" t="s">
        <v>743</v>
      </c>
    </row>
    <row r="109" spans="1:8" ht="26.25" customHeight="1">
      <c r="A109" s="151"/>
      <c r="B109" s="151"/>
      <c r="C109" s="676">
        <f>'EXHIBIT A'!E36</f>
        <v>13854486</v>
      </c>
      <c r="D109" s="17" t="s">
        <v>744</v>
      </c>
    </row>
    <row r="110" spans="1:8" ht="26.1" customHeight="1">
      <c r="A110" s="151"/>
      <c r="B110" s="151"/>
      <c r="C110" s="677">
        <f>C108-C109</f>
        <v>-250000</v>
      </c>
      <c r="D110" s="89" t="s">
        <v>160</v>
      </c>
      <c r="E110" s="89"/>
      <c r="F110" s="89"/>
      <c r="G110" s="89"/>
    </row>
    <row r="111" spans="1:8" ht="20.100000000000001" customHeight="1">
      <c r="A111" s="151"/>
      <c r="B111" s="151"/>
      <c r="C111" s="154"/>
    </row>
    <row r="112" spans="1:8" ht="26.1" customHeight="1">
      <c r="A112" s="151"/>
      <c r="B112" s="151"/>
      <c r="C112" s="675">
        <f>'EXHIBIT D'!G187</f>
        <v>250000</v>
      </c>
      <c r="D112" s="148" t="s">
        <v>161</v>
      </c>
      <c r="E112" s="92"/>
      <c r="F112" s="92"/>
    </row>
    <row r="113" spans="1:8" ht="20.100000000000001" customHeight="1"/>
    <row r="114" spans="1:8" ht="38.450000000000003" customHeight="1">
      <c r="C114" s="1129">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91.790021728333627</v>
      </c>
      <c r="D119" s="17" t="s">
        <v>81</v>
      </c>
    </row>
    <row r="120" spans="1:8" ht="20.100000000000001" customHeight="1">
      <c r="C120" s="157"/>
    </row>
    <row r="121" spans="1:8" ht="20.100000000000001" customHeight="1">
      <c r="C121" s="158">
        <f>IF('EXHIBIT G'!D119=0,"No Credit Hours or Not Applicable",('EXHIBIT G'!D119/'EXHIBIT C'!D19))</f>
        <v>275.36734693877548</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8"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8"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8"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1"/>
      <c r="D138" s="1092"/>
      <c r="E138" s="1092"/>
      <c r="F138" s="1092"/>
      <c r="G138" s="1093"/>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Lake-Sumter State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4">
        <v>-11400616</v>
      </c>
    </row>
    <row r="14" spans="2:7" ht="25.35" customHeight="1">
      <c r="B14" s="17" t="s">
        <v>174</v>
      </c>
      <c r="D14" s="28"/>
      <c r="E14" s="1135">
        <f>13604486</f>
        <v>13604486</v>
      </c>
    </row>
    <row r="15" spans="2:7" ht="25.35" customHeight="1">
      <c r="B15" s="28"/>
      <c r="D15" s="28"/>
      <c r="E15" s="162"/>
    </row>
    <row r="16" spans="2:7" ht="25.35" customHeight="1">
      <c r="B16" s="17" t="s">
        <v>732</v>
      </c>
      <c r="C16" s="28"/>
      <c r="D16" s="28"/>
      <c r="E16" s="578">
        <f>+E14+E13</f>
        <v>2203870</v>
      </c>
    </row>
    <row r="17" spans="2:7" ht="25.35" customHeight="1">
      <c r="B17" s="28"/>
      <c r="C17" s="28"/>
      <c r="D17" s="28"/>
      <c r="E17" s="163"/>
    </row>
    <row r="18" spans="2:7" ht="25.35" customHeight="1">
      <c r="B18" s="17" t="s">
        <v>175</v>
      </c>
      <c r="C18" s="28"/>
      <c r="D18" s="28"/>
      <c r="E18" s="173">
        <f>+'EXHIBIT D'!G143-SUM(+'EXHIBIT D'!G133+'EXHIBIT D'!G134)</f>
        <v>39427039</v>
      </c>
      <c r="G18" s="138"/>
    </row>
    <row r="19" spans="2:7" ht="25.35" customHeight="1">
      <c r="B19" s="17" t="s">
        <v>176</v>
      </c>
      <c r="D19" s="28"/>
      <c r="E19" s="578">
        <f>+'EXHIBIT D'!G133+'EXHIBIT D'!G134</f>
        <v>1000000</v>
      </c>
    </row>
    <row r="20" spans="2:7" ht="25.35" customHeight="1">
      <c r="B20" s="28"/>
      <c r="D20" s="28"/>
      <c r="E20" s="168"/>
    </row>
    <row r="21" spans="2:7" ht="25.35" customHeight="1">
      <c r="B21" s="17" t="s">
        <v>177</v>
      </c>
      <c r="C21" s="28"/>
      <c r="D21" s="28"/>
      <c r="E21" s="579">
        <f>+E19+E18</f>
        <v>40427039</v>
      </c>
    </row>
    <row r="22" spans="2:7" ht="25.35" customHeight="1">
      <c r="B22" s="28"/>
      <c r="C22" s="28"/>
      <c r="D22" s="28"/>
      <c r="E22" s="168"/>
    </row>
    <row r="23" spans="2:7" ht="25.35" customHeight="1">
      <c r="B23" s="28" t="s">
        <v>178</v>
      </c>
      <c r="C23" s="28"/>
      <c r="D23" s="28"/>
      <c r="E23" s="579">
        <f>+E21+E16</f>
        <v>42630909</v>
      </c>
    </row>
    <row r="24" spans="2:7" ht="25.35" customHeight="1">
      <c r="B24" s="28"/>
      <c r="C24" s="28"/>
      <c r="D24" s="28"/>
      <c r="E24" s="168"/>
    </row>
    <row r="25" spans="2:7" ht="25.35" customHeight="1">
      <c r="B25" s="17" t="s">
        <v>179</v>
      </c>
      <c r="C25" s="28"/>
      <c r="D25" s="28"/>
      <c r="E25" s="174">
        <f>'EXHIBIT D'!G249-SUM(+'EXHIBIT D'!G223+'EXHIBIT D'!G224)</f>
        <v>40413950</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40413950</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2216959</v>
      </c>
      <c r="E32" s="164"/>
    </row>
    <row r="33" spans="2:10" ht="25.35" customHeight="1">
      <c r="B33" s="17" t="s">
        <v>183</v>
      </c>
      <c r="C33" s="28"/>
      <c r="D33" s="581">
        <f>+'EXHIBIT D'!G187</f>
        <v>250000</v>
      </c>
      <c r="E33" s="164"/>
    </row>
    <row r="34" spans="2:10" ht="25.35" customHeight="1">
      <c r="B34" s="28"/>
      <c r="D34" s="28"/>
      <c r="E34" s="164"/>
      <c r="J34" s="166"/>
    </row>
    <row r="35" spans="2:10" ht="25.35" customHeight="1">
      <c r="B35" s="17" t="s">
        <v>734</v>
      </c>
      <c r="C35" s="28"/>
      <c r="D35" s="28"/>
      <c r="E35" s="167">
        <f>+D32+D33</f>
        <v>2466959</v>
      </c>
    </row>
    <row r="36" spans="2:10" ht="25.35" customHeight="1">
      <c r="B36" s="17" t="s">
        <v>735</v>
      </c>
      <c r="C36" s="28"/>
      <c r="D36" s="28"/>
      <c r="E36" s="579">
        <f>-'EXHIBIT D'!G265</f>
        <v>13854486</v>
      </c>
      <c r="J36" s="48"/>
    </row>
    <row r="37" spans="2:10" ht="25.35" customHeight="1">
      <c r="D37" s="28"/>
      <c r="E37" s="167"/>
    </row>
    <row r="38" spans="2:10" ht="25.35" customHeight="1">
      <c r="B38" s="28" t="s">
        <v>736</v>
      </c>
      <c r="D38" s="28"/>
      <c r="E38" s="578">
        <f>+E35-E36</f>
        <v>-11387527</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2338229</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5.4848208843025138E-2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GhQi36LptHpFGMgh5DwfAnzO2DcOPUDxqAQ9lhXyIvlPTFE6fkrnLqnMeSg+Fa4+ZzeNbaRNE6X2rcu4m/TsMQ==" saltValue="xRrAh5F557Qnyq/UN7c1E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60" zoomScaleNormal="6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Lake-Sumter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6.43</v>
      </c>
      <c r="D14" s="962">
        <v>7.56</v>
      </c>
      <c r="E14" s="962">
        <v>11.88</v>
      </c>
      <c r="F14" s="962">
        <v>4.59</v>
      </c>
      <c r="G14" s="679">
        <f>SUM(B14:F14)</f>
        <v>122.25</v>
      </c>
      <c r="H14" s="365">
        <f>G14*30</f>
        <v>3667.5</v>
      </c>
    </row>
    <row r="15" spans="1:18" s="17" customFormat="1" ht="20.100000000000001" customHeight="1">
      <c r="A15" s="28" t="s">
        <v>201</v>
      </c>
      <c r="B15" s="963">
        <v>81.2</v>
      </c>
      <c r="C15" s="963">
        <v>5.03</v>
      </c>
      <c r="D15" s="963">
        <v>7.56</v>
      </c>
      <c r="E15" s="963">
        <v>11.88</v>
      </c>
      <c r="F15" s="963">
        <v>4.0599999999999996</v>
      </c>
      <c r="G15" s="679">
        <f>SUM(B15:F15)</f>
        <v>109.73</v>
      </c>
      <c r="H15" s="338">
        <f>G15*30</f>
        <v>3291.9</v>
      </c>
    </row>
    <row r="16" spans="1:18" s="17" customFormat="1" ht="20.100000000000001" customHeight="1" thickBot="1">
      <c r="A16" s="28" t="s">
        <v>76</v>
      </c>
      <c r="B16" s="964">
        <v>73.400000000000006</v>
      </c>
      <c r="C16" s="964">
        <v>7.34</v>
      </c>
      <c r="D16" s="965"/>
      <c r="E16" s="964">
        <v>3.67</v>
      </c>
      <c r="F16" s="964">
        <v>3.67</v>
      </c>
      <c r="G16" s="339">
        <f>SUM(B16:F16)</f>
        <v>88.080000000000013</v>
      </c>
      <c r="H16" s="680">
        <f>G16*30</f>
        <v>2642.4000000000005</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31.5</v>
      </c>
      <c r="C19" s="366"/>
      <c r="D19" s="366"/>
      <c r="E19" s="366"/>
      <c r="F19" s="366"/>
      <c r="G19" s="679">
        <f>B19</f>
        <v>31.5</v>
      </c>
      <c r="H19" s="607">
        <f>G19*3</f>
        <v>94.5</v>
      </c>
    </row>
    <row r="20" spans="1:11" s="17" customFormat="1" ht="20.100000000000001" customHeight="1" thickBot="1">
      <c r="A20" s="28" t="s">
        <v>205</v>
      </c>
      <c r="B20" s="596">
        <v>31.5</v>
      </c>
      <c r="C20" s="320"/>
      <c r="D20" s="320"/>
      <c r="E20" s="320"/>
      <c r="F20" s="320"/>
      <c r="G20" s="341">
        <f>B20</f>
        <v>31.5</v>
      </c>
      <c r="H20" s="566">
        <f>G20*3</f>
        <v>94.5</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47.25</v>
      </c>
      <c r="C22" s="535"/>
      <c r="D22" s="535"/>
      <c r="E22" s="535"/>
      <c r="F22" s="535"/>
      <c r="G22" s="343">
        <f>B22</f>
        <v>47.25</v>
      </c>
      <c r="H22" s="362">
        <f>G22*2</f>
        <v>94.5</v>
      </c>
    </row>
    <row r="23" spans="1:11" s="17" customFormat="1" ht="20.100000000000001" customHeight="1" thickBot="1">
      <c r="A23" s="28" t="s">
        <v>207</v>
      </c>
      <c r="B23" s="681">
        <v>47.25</v>
      </c>
      <c r="C23" s="320"/>
      <c r="D23" s="320"/>
      <c r="E23" s="320"/>
      <c r="F23" s="320"/>
      <c r="G23" s="682">
        <f>B23</f>
        <v>47.25</v>
      </c>
      <c r="H23" s="680">
        <f>G23*2</f>
        <v>94.5</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275.37</v>
      </c>
      <c r="D29" s="962">
        <v>25.7</v>
      </c>
      <c r="E29" s="536">
        <f>D14</f>
        <v>7.56</v>
      </c>
      <c r="F29" s="962">
        <v>41.52</v>
      </c>
      <c r="G29" s="962">
        <v>18.36</v>
      </c>
      <c r="H29" s="346">
        <f>SUM(B29:G29)</f>
        <v>460.3</v>
      </c>
      <c r="I29" s="359">
        <f>H29*30</f>
        <v>13809</v>
      </c>
    </row>
    <row r="30" spans="1:11" s="17" customFormat="1" ht="20.100000000000001" customHeight="1">
      <c r="A30" s="28" t="str">
        <f t="shared" si="0"/>
        <v>LOWER LEVEL - CREDIT (A &amp; P, PSV, DEVELOPMENTAL EDUCATION AND EPI)</v>
      </c>
      <c r="B30" s="683">
        <f t="shared" si="0"/>
        <v>81.2</v>
      </c>
      <c r="C30" s="966">
        <v>248.33</v>
      </c>
      <c r="D30" s="966">
        <v>23.06</v>
      </c>
      <c r="E30" s="684">
        <f>D15</f>
        <v>7.56</v>
      </c>
      <c r="F30" s="966">
        <v>65.91</v>
      </c>
      <c r="G30" s="966">
        <v>16.48</v>
      </c>
      <c r="H30" s="679">
        <f>SUM(B30:G30)</f>
        <v>442.54000000000008</v>
      </c>
      <c r="I30" s="338">
        <f>H30*30</f>
        <v>13276.200000000003</v>
      </c>
    </row>
    <row r="31" spans="1:11" s="17" customFormat="1" ht="20.100000000000001" customHeight="1">
      <c r="A31" s="28" t="str">
        <f t="shared" si="0"/>
        <v>CAREER CERTIFICATE AND APPLIED TECHNOLOGY DIPLOMA</v>
      </c>
      <c r="B31" s="1147">
        <f t="shared" si="0"/>
        <v>73.400000000000006</v>
      </c>
      <c r="C31" s="963">
        <v>220.19</v>
      </c>
      <c r="D31" s="963">
        <v>29.36</v>
      </c>
      <c r="E31" s="1148"/>
      <c r="F31" s="963">
        <v>14.68</v>
      </c>
      <c r="G31" s="963">
        <v>14.68</v>
      </c>
      <c r="H31" s="1149">
        <f>SUM(B31:G31)</f>
        <v>352.31000000000006</v>
      </c>
      <c r="I31" s="1149">
        <f>H31*30</f>
        <v>10569.300000000001</v>
      </c>
    </row>
    <row r="32" spans="1:11" s="17" customFormat="1" ht="20.100000000000001" customHeight="1" thickBot="1">
      <c r="A32" s="28" t="s">
        <v>779</v>
      </c>
      <c r="B32" s="1162">
        <v>0</v>
      </c>
      <c r="C32" s="1163">
        <v>0</v>
      </c>
      <c r="D32" s="1163">
        <v>0</v>
      </c>
      <c r="E32" s="1164"/>
      <c r="F32" s="1163">
        <v>0</v>
      </c>
      <c r="G32" s="1163">
        <v>0</v>
      </c>
      <c r="H32" s="1149">
        <f>SUM(B32:G32)</f>
        <v>0</v>
      </c>
      <c r="I32" s="1149">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31.5</v>
      </c>
      <c r="C35" s="366"/>
      <c r="D35" s="366"/>
      <c r="E35" s="366"/>
      <c r="F35" s="366"/>
      <c r="G35" s="366"/>
      <c r="H35" s="685">
        <f>B35</f>
        <v>31.5</v>
      </c>
      <c r="I35" s="360">
        <f>H35*3</f>
        <v>94.5</v>
      </c>
      <c r="J35" s="344"/>
      <c r="K35" s="344"/>
    </row>
    <row r="36" spans="1:11" s="17" customFormat="1" ht="20.100000000000001" customHeight="1" thickBot="1">
      <c r="A36" s="28" t="str">
        <f>A20</f>
        <v>ADULT GENERAL EDUCATION AND SECONDARY (PER TERM)</v>
      </c>
      <c r="B36" s="686">
        <f>B20</f>
        <v>31.5</v>
      </c>
      <c r="C36" s="320"/>
      <c r="D36" s="320"/>
      <c r="E36" s="320"/>
      <c r="F36" s="320"/>
      <c r="G36" s="320"/>
      <c r="H36" s="350">
        <f>B36</f>
        <v>31.5</v>
      </c>
      <c r="I36" s="687">
        <f>H36*3</f>
        <v>94.5</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47.25</v>
      </c>
      <c r="C38" s="535"/>
      <c r="D38" s="535"/>
      <c r="E38" s="535"/>
      <c r="F38" s="535"/>
      <c r="G38" s="535"/>
      <c r="H38" s="346">
        <f>B38</f>
        <v>47.25</v>
      </c>
      <c r="I38" s="359">
        <f>H38*2</f>
        <v>94.5</v>
      </c>
    </row>
    <row r="39" spans="1:11" s="17" customFormat="1" ht="20.100000000000001" customHeight="1" thickBot="1">
      <c r="A39" s="28" t="str">
        <f>A23</f>
        <v>ADULT GENERAL EDUCATION AND SECONDARY (PER HALF YEAR)</v>
      </c>
      <c r="B39" s="686">
        <f>B23</f>
        <v>47.25</v>
      </c>
      <c r="C39" s="320"/>
      <c r="D39" s="320"/>
      <c r="E39" s="320"/>
      <c r="F39" s="320"/>
      <c r="G39" s="320"/>
      <c r="H39" s="688">
        <f>B39</f>
        <v>47.25</v>
      </c>
      <c r="I39" s="361">
        <f>H39*2</f>
        <v>94.5</v>
      </c>
    </row>
    <row r="40" spans="1:11" s="17" customFormat="1" ht="20.100000000000001" customHeight="1">
      <c r="A40" s="28"/>
      <c r="B40" s="351"/>
    </row>
    <row r="41" spans="1:11" ht="26.25" customHeight="1">
      <c r="A41" s="179" t="s">
        <v>778</v>
      </c>
      <c r="B41" s="915"/>
      <c r="C41" s="915"/>
      <c r="D41" s="915"/>
      <c r="E41" s="915"/>
      <c r="F41" s="915"/>
      <c r="G41" s="915"/>
      <c r="H41" s="915"/>
      <c r="I41" s="915"/>
      <c r="J41" s="175"/>
    </row>
    <row r="42" spans="1:11" ht="20.25" customHeight="1">
      <c r="A42" s="17" t="s">
        <v>780</v>
      </c>
      <c r="B42" s="177"/>
      <c r="C42" s="177"/>
      <c r="D42" s="177"/>
      <c r="E42" s="177"/>
      <c r="F42" s="177"/>
      <c r="G42" s="177"/>
      <c r="H42" s="177"/>
      <c r="I42" s="177"/>
    </row>
    <row r="43" spans="1:11" ht="20.25" customHeight="1">
      <c r="A43" s="17" t="s">
        <v>781</v>
      </c>
      <c r="B43" s="177"/>
      <c r="C43" s="177"/>
      <c r="D43" s="177"/>
      <c r="E43" s="177"/>
      <c r="F43" s="177"/>
      <c r="G43" s="177"/>
      <c r="H43" s="177"/>
      <c r="I43" s="177"/>
    </row>
    <row r="44" spans="1:11" ht="20.25" customHeight="1">
      <c r="A44" s="17" t="s">
        <v>782</v>
      </c>
      <c r="B44" s="177"/>
      <c r="C44" s="177"/>
      <c r="D44" s="177"/>
      <c r="E44" s="177"/>
      <c r="F44" s="177"/>
      <c r="G44" s="177"/>
      <c r="H44" s="177"/>
      <c r="I44" s="177"/>
    </row>
    <row r="45" spans="1:11" ht="20.25" customHeight="1">
      <c r="A45" s="17" t="s">
        <v>783</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S2zlZ9cjmW8NM4p1MTRAQNqwNOCzSAwpb7CxuMcmpL4TnHxZMr+nkcFiXxTwwcI0wMGxX5aiD4SJk0WY6vK5SA==" saltValue="NLnwx5/YNswGG8dd5+7fV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Lake-Sumter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9693.3956790354587</v>
      </c>
      <c r="E10" s="539">
        <v>0</v>
      </c>
      <c r="F10" s="540">
        <f t="shared" ref="F10:F15" si="0">+D10-E10</f>
        <v>9693.3956790354587</v>
      </c>
      <c r="G10" s="540">
        <f>'EXHIBIT B'!B14</f>
        <v>91.79</v>
      </c>
      <c r="H10" s="541">
        <f>ROUND(+F10*G10,0)</f>
        <v>889757</v>
      </c>
    </row>
    <row r="11" spans="1:9" ht="20.100000000000001" customHeight="1">
      <c r="A11" s="690" t="s">
        <v>194</v>
      </c>
      <c r="B11" s="690" t="s">
        <v>126</v>
      </c>
      <c r="C11" s="691" t="s">
        <v>221</v>
      </c>
      <c r="D11" s="689">
        <v>54804.72501647468</v>
      </c>
      <c r="E11" s="689">
        <v>0</v>
      </c>
      <c r="F11" s="692">
        <f t="shared" si="0"/>
        <v>54804.72501647468</v>
      </c>
      <c r="G11" s="692">
        <f>+'EXHIBIT B'!B15</f>
        <v>81.2</v>
      </c>
      <c r="H11" s="693">
        <f t="shared" ref="H11:H15" si="1">ROUND(+F11*G11,0)</f>
        <v>4450144</v>
      </c>
    </row>
    <row r="12" spans="1:9" ht="20.100000000000001" customHeight="1">
      <c r="A12" s="690" t="s">
        <v>194</v>
      </c>
      <c r="B12" s="690" t="s">
        <v>127</v>
      </c>
      <c r="C12" s="691" t="s">
        <v>222</v>
      </c>
      <c r="D12" s="689">
        <v>16185.271011165978</v>
      </c>
      <c r="E12" s="689">
        <v>0</v>
      </c>
      <c r="F12" s="692">
        <f t="shared" si="0"/>
        <v>16185.271011165978</v>
      </c>
      <c r="G12" s="692">
        <f>+'EXHIBIT B'!B15</f>
        <v>81.2</v>
      </c>
      <c r="H12" s="693">
        <f t="shared" si="1"/>
        <v>1314244</v>
      </c>
    </row>
    <row r="13" spans="1:9" ht="20.100000000000001" customHeight="1">
      <c r="A13" s="690" t="s">
        <v>194</v>
      </c>
      <c r="B13" s="690" t="s">
        <v>76</v>
      </c>
      <c r="C13" s="691" t="s">
        <v>223</v>
      </c>
      <c r="D13" s="694">
        <v>0</v>
      </c>
      <c r="E13" s="694">
        <v>0</v>
      </c>
      <c r="F13" s="692">
        <f t="shared" si="0"/>
        <v>0</v>
      </c>
      <c r="G13" s="692">
        <f>+'EXHIBIT B'!B16</f>
        <v>73.400000000000006</v>
      </c>
      <c r="H13" s="693">
        <f t="shared" si="1"/>
        <v>0</v>
      </c>
    </row>
    <row r="14" spans="1:9" ht="20.100000000000001" customHeight="1">
      <c r="A14" s="690" t="s">
        <v>194</v>
      </c>
      <c r="B14" s="690" t="s">
        <v>128</v>
      </c>
      <c r="C14" s="691" t="s">
        <v>224</v>
      </c>
      <c r="D14" s="689">
        <v>2169.9696204053421</v>
      </c>
      <c r="E14" s="689">
        <v>0</v>
      </c>
      <c r="F14" s="692">
        <f t="shared" si="0"/>
        <v>2169.9696204053421</v>
      </c>
      <c r="G14" s="692">
        <f>+'EXHIBIT B'!B15</f>
        <v>81.2</v>
      </c>
      <c r="H14" s="693">
        <f t="shared" si="1"/>
        <v>176202</v>
      </c>
    </row>
    <row r="15" spans="1:9" ht="20.100000000000001" customHeight="1" thickBot="1">
      <c r="A15" s="695" t="s">
        <v>194</v>
      </c>
      <c r="B15" s="695" t="s">
        <v>129</v>
      </c>
      <c r="C15" s="696">
        <v>40160</v>
      </c>
      <c r="D15" s="697">
        <v>0</v>
      </c>
      <c r="E15" s="697">
        <v>0</v>
      </c>
      <c r="F15" s="698">
        <f t="shared" si="0"/>
        <v>0</v>
      </c>
      <c r="G15" s="698">
        <f>+'EXHIBIT B'!B15</f>
        <v>81.2</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82853.361327081468</v>
      </c>
      <c r="E17" s="302">
        <f>SUM(E10:E15)</f>
        <v>0</v>
      </c>
      <c r="F17" s="303">
        <f>SUM(F10:F15)</f>
        <v>82853.361327081468</v>
      </c>
      <c r="G17" s="303"/>
      <c r="H17" s="304">
        <f>SUM(H10:H15)</f>
        <v>6830347</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49</v>
      </c>
      <c r="E19" s="701">
        <f>'EXHIBIT B'!C29</f>
        <v>275.37</v>
      </c>
      <c r="F19" s="702">
        <f t="shared" ref="F19:F25" si="2">ROUND(+D19*E19,0)</f>
        <v>13493</v>
      </c>
      <c r="G19" s="306"/>
      <c r="H19" s="306"/>
    </row>
    <row r="20" spans="1:9" ht="20.100000000000001" customHeight="1">
      <c r="A20" s="641" t="s">
        <v>209</v>
      </c>
      <c r="B20" s="641" t="s">
        <v>126</v>
      </c>
      <c r="C20" s="703" t="s">
        <v>228</v>
      </c>
      <c r="D20" s="710">
        <v>1158</v>
      </c>
      <c r="E20" s="704">
        <f>+'EXHIBIT B'!C30</f>
        <v>248.33</v>
      </c>
      <c r="F20" s="705">
        <f t="shared" si="2"/>
        <v>287566</v>
      </c>
      <c r="G20" s="48"/>
      <c r="H20" s="48"/>
    </row>
    <row r="21" spans="1:9" ht="20.100000000000001" customHeight="1">
      <c r="A21" s="641" t="s">
        <v>209</v>
      </c>
      <c r="B21" s="641" t="s">
        <v>127</v>
      </c>
      <c r="C21" s="703" t="s">
        <v>229</v>
      </c>
      <c r="D21" s="710">
        <v>164</v>
      </c>
      <c r="E21" s="704">
        <f>+'EXHIBIT B'!C30</f>
        <v>248.33</v>
      </c>
      <c r="F21" s="705">
        <f t="shared" si="2"/>
        <v>40726</v>
      </c>
      <c r="G21" s="48"/>
      <c r="H21" s="48"/>
    </row>
    <row r="22" spans="1:9" ht="20.100000000000001" customHeight="1">
      <c r="A22" s="641" t="s">
        <v>209</v>
      </c>
      <c r="B22" s="641" t="s">
        <v>76</v>
      </c>
      <c r="C22" s="703" t="s">
        <v>230</v>
      </c>
      <c r="D22" s="710">
        <v>0</v>
      </c>
      <c r="E22" s="704">
        <f>+'EXHIBIT B'!C31</f>
        <v>220.19</v>
      </c>
      <c r="F22" s="705">
        <f t="shared" si="2"/>
        <v>0</v>
      </c>
      <c r="G22" s="48"/>
      <c r="H22" s="48"/>
    </row>
    <row r="23" spans="1:9" ht="20.100000000000001" customHeight="1">
      <c r="A23" s="641" t="s">
        <v>209</v>
      </c>
      <c r="B23" s="641" t="s">
        <v>128</v>
      </c>
      <c r="C23" s="703" t="s">
        <v>231</v>
      </c>
      <c r="D23" s="710">
        <v>104</v>
      </c>
      <c r="E23" s="704">
        <f>+'EXHIBIT B'!C30</f>
        <v>248.33</v>
      </c>
      <c r="F23" s="705">
        <f t="shared" si="2"/>
        <v>25826</v>
      </c>
      <c r="G23" s="48"/>
      <c r="H23" s="48"/>
    </row>
    <row r="24" spans="1:9" ht="20.100000000000001" customHeight="1">
      <c r="A24" s="1056" t="s">
        <v>209</v>
      </c>
      <c r="B24" s="1056" t="s">
        <v>129</v>
      </c>
      <c r="C24" s="1152">
        <v>40360</v>
      </c>
      <c r="D24" s="1153">
        <v>0</v>
      </c>
      <c r="E24" s="1154">
        <f>+'EXHIBIT B'!C30</f>
        <v>248.33</v>
      </c>
      <c r="F24" s="1155">
        <f t="shared" si="2"/>
        <v>0</v>
      </c>
      <c r="G24" s="48"/>
      <c r="H24" s="48"/>
    </row>
    <row r="25" spans="1:9" ht="20.100000000000001" customHeight="1" thickBot="1">
      <c r="A25" s="383" t="s">
        <v>209</v>
      </c>
      <c r="B25" s="383" t="s">
        <v>776</v>
      </c>
      <c r="C25" s="1150" t="s">
        <v>777</v>
      </c>
      <c r="D25" s="1151">
        <v>0</v>
      </c>
      <c r="E25" s="1154">
        <f>+'EXHIBIT B'!H32</f>
        <v>0</v>
      </c>
      <c r="F25" s="1155">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1475</v>
      </c>
      <c r="E27" s="708"/>
      <c r="F27" s="709">
        <f>SUM(F19:F25)</f>
        <v>367611</v>
      </c>
      <c r="G27" s="310"/>
      <c r="H27" s="310"/>
    </row>
    <row r="28" spans="1:9" ht="20.100000000000001" customHeight="1" thickBot="1">
      <c r="A28" s="311" t="s">
        <v>232</v>
      </c>
      <c r="B28" s="311"/>
      <c r="C28" s="311"/>
      <c r="D28" s="311"/>
      <c r="E28" s="311"/>
      <c r="F28" s="312"/>
      <c r="G28" s="542"/>
      <c r="H28" s="313">
        <f>H17+F27</f>
        <v>7197958</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31.5</v>
      </c>
      <c r="H33" s="547">
        <f>ROUND(+F33*G33,0)</f>
        <v>0</v>
      </c>
    </row>
    <row r="34" spans="1:8" ht="20.100000000000001" customHeight="1">
      <c r="A34" s="641" t="s">
        <v>238</v>
      </c>
      <c r="B34" s="641" t="s">
        <v>241</v>
      </c>
      <c r="C34" s="703" t="s">
        <v>242</v>
      </c>
      <c r="D34" s="710">
        <v>0</v>
      </c>
      <c r="E34" s="710">
        <v>0</v>
      </c>
      <c r="F34" s="704">
        <f>D34-E34</f>
        <v>0</v>
      </c>
      <c r="G34" s="704">
        <f>'EXHIBIT B'!B20</f>
        <v>31.5</v>
      </c>
      <c r="H34" s="705">
        <f>ROUND(+F34*G34,0)</f>
        <v>0</v>
      </c>
    </row>
    <row r="35" spans="1:8" ht="20.100000000000001" customHeight="1">
      <c r="A35" s="641" t="s">
        <v>243</v>
      </c>
      <c r="B35" s="641" t="s">
        <v>239</v>
      </c>
      <c r="C35" s="703">
        <v>40180</v>
      </c>
      <c r="D35" s="710">
        <v>0</v>
      </c>
      <c r="E35" s="710">
        <v>0</v>
      </c>
      <c r="F35" s="704">
        <f>D35-E35</f>
        <v>0</v>
      </c>
      <c r="G35" s="704">
        <f>'EXHIBIT B'!B22</f>
        <v>47.25</v>
      </c>
      <c r="H35" s="705">
        <f>ROUND(+F35*G35,0)</f>
        <v>0</v>
      </c>
    </row>
    <row r="36" spans="1:8" ht="20.100000000000001" customHeight="1" thickBot="1">
      <c r="A36" s="642" t="s">
        <v>243</v>
      </c>
      <c r="B36" s="642" t="s">
        <v>241</v>
      </c>
      <c r="C36" s="711">
        <v>40190</v>
      </c>
      <c r="D36" s="712">
        <v>0</v>
      </c>
      <c r="E36" s="712">
        <v>0</v>
      </c>
      <c r="F36" s="713">
        <f>D36-E36</f>
        <v>0</v>
      </c>
      <c r="G36" s="713">
        <f>'EXHIBIT B'!B23</f>
        <v>47.25</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31.5</v>
      </c>
      <c r="F40" s="547">
        <f>D40*E40</f>
        <v>0</v>
      </c>
    </row>
    <row r="41" spans="1:8" ht="20.100000000000001" customHeight="1">
      <c r="A41" s="641" t="s">
        <v>238</v>
      </c>
      <c r="B41" s="641" t="s">
        <v>241</v>
      </c>
      <c r="C41" s="703">
        <v>40390</v>
      </c>
      <c r="D41" s="710">
        <v>0</v>
      </c>
      <c r="E41" s="704">
        <f>'EXHIBIT B'!B36</f>
        <v>31.5</v>
      </c>
      <c r="F41" s="705">
        <f>D41*E41</f>
        <v>0</v>
      </c>
    </row>
    <row r="42" spans="1:8" ht="20.100000000000001" customHeight="1">
      <c r="A42" s="641" t="s">
        <v>243</v>
      </c>
      <c r="B42" s="641" t="s">
        <v>239</v>
      </c>
      <c r="C42" s="703" t="s">
        <v>246</v>
      </c>
      <c r="D42" s="710">
        <v>0</v>
      </c>
      <c r="E42" s="704">
        <f>'EXHIBIT B'!B38</f>
        <v>47.25</v>
      </c>
      <c r="F42" s="705">
        <f>D42*E42</f>
        <v>0</v>
      </c>
    </row>
    <row r="43" spans="1:8" ht="20.100000000000001" customHeight="1" thickBot="1">
      <c r="A43" s="642" t="s">
        <v>243</v>
      </c>
      <c r="B43" s="642" t="s">
        <v>241</v>
      </c>
      <c r="C43" s="711" t="s">
        <v>247</v>
      </c>
      <c r="D43" s="712">
        <v>0</v>
      </c>
      <c r="E43" s="713">
        <f>'EXHIBIT B'!B39</f>
        <v>47.25</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7197958</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3" t="s">
        <v>716</v>
      </c>
      <c r="B51" s="1103"/>
      <c r="C51" s="1104"/>
      <c r="D51" s="1104"/>
      <c r="E51" s="1104"/>
      <c r="F51" s="1104"/>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2"/>
      <c r="D55" s="1133"/>
      <c r="E55" s="969"/>
      <c r="F55" s="970"/>
    </row>
    <row r="56" spans="1:10" ht="24.95" customHeight="1">
      <c r="A56" s="716"/>
      <c r="B56" s="710">
        <v>0</v>
      </c>
      <c r="C56" s="971"/>
      <c r="D56" s="972"/>
      <c r="E56" s="971"/>
      <c r="F56" s="972"/>
      <c r="J56" s="92"/>
    </row>
    <row r="57" spans="1:10" ht="24.95" customHeight="1">
      <c r="A57" s="716"/>
      <c r="B57" s="710">
        <v>0</v>
      </c>
      <c r="C57" s="971"/>
      <c r="D57" s="972"/>
      <c r="E57" s="971"/>
      <c r="F57" s="972"/>
    </row>
    <row r="58" spans="1:10" ht="24.95" customHeight="1">
      <c r="A58" s="716"/>
      <c r="B58" s="710">
        <v>0</v>
      </c>
      <c r="C58" s="971"/>
      <c r="D58" s="972"/>
      <c r="E58" s="971"/>
      <c r="F58" s="972"/>
    </row>
    <row r="59" spans="1:10" ht="24.95" customHeight="1">
      <c r="A59" s="716"/>
      <c r="B59" s="710">
        <v>0</v>
      </c>
      <c r="C59" s="971"/>
      <c r="D59" s="972"/>
      <c r="E59" s="971"/>
      <c r="F59" s="972"/>
    </row>
    <row r="60" spans="1:10" ht="24.95" customHeight="1" thickBot="1">
      <c r="A60" s="597"/>
      <c r="B60" s="598">
        <v>0</v>
      </c>
      <c r="C60" s="973"/>
      <c r="D60" s="974"/>
      <c r="E60" s="975"/>
      <c r="F60" s="976"/>
    </row>
    <row r="61" spans="1:10" ht="24.95" customHeight="1" thickBot="1">
      <c r="A61" s="290" t="s">
        <v>255</v>
      </c>
      <c r="B61" s="291">
        <f>SUM(B55:B60)</f>
        <v>0</v>
      </c>
      <c r="C61" s="977"/>
      <c r="D61" s="978"/>
      <c r="E61" s="977"/>
      <c r="F61" s="978"/>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1166">
        <v>150000</v>
      </c>
      <c r="C64" s="969" t="s">
        <v>786</v>
      </c>
      <c r="D64" s="970"/>
      <c r="E64" s="969" t="s">
        <v>784</v>
      </c>
      <c r="F64" s="970"/>
    </row>
    <row r="65" spans="1:6" ht="24.95" customHeight="1">
      <c r="A65" s="716" t="s">
        <v>785</v>
      </c>
      <c r="B65" s="1153">
        <v>400000</v>
      </c>
      <c r="C65" s="971" t="s">
        <v>787</v>
      </c>
      <c r="D65" s="972"/>
      <c r="E65" s="971" t="s">
        <v>784</v>
      </c>
      <c r="F65" s="972"/>
    </row>
    <row r="66" spans="1:6" ht="24.95" customHeight="1">
      <c r="A66" s="716"/>
      <c r="B66" s="1153">
        <v>450000</v>
      </c>
      <c r="C66" s="971" t="s">
        <v>787</v>
      </c>
      <c r="D66" s="972"/>
      <c r="E66" s="971" t="s">
        <v>784</v>
      </c>
      <c r="F66" s="972"/>
    </row>
    <row r="67" spans="1:6" ht="24.95" customHeight="1">
      <c r="A67" s="716"/>
      <c r="B67" s="710">
        <v>0</v>
      </c>
      <c r="C67" s="971"/>
      <c r="D67" s="972"/>
      <c r="E67" s="971"/>
      <c r="F67" s="972"/>
    </row>
    <row r="68" spans="1:6" ht="24.95" customHeight="1">
      <c r="A68" s="716"/>
      <c r="B68" s="710">
        <v>0</v>
      </c>
      <c r="C68" s="971"/>
      <c r="D68" s="972"/>
      <c r="E68" s="971"/>
      <c r="F68" s="972"/>
    </row>
    <row r="69" spans="1:6" ht="24.95" customHeight="1" thickBot="1">
      <c r="A69" s="597"/>
      <c r="B69" s="598">
        <v>0</v>
      </c>
      <c r="C69" s="975"/>
      <c r="D69" s="976"/>
      <c r="E69" s="975"/>
      <c r="F69" s="976"/>
    </row>
    <row r="70" spans="1:6" ht="24.95" customHeight="1" thickBot="1">
      <c r="A70" s="290" t="s">
        <v>256</v>
      </c>
      <c r="B70" s="291">
        <f>SUM(B64:B69)</f>
        <v>1000000</v>
      </c>
      <c r="C70" s="979"/>
      <c r="D70" s="980"/>
      <c r="E70" s="979"/>
      <c r="F70" s="980"/>
    </row>
    <row r="71" spans="1:6" ht="24.95" customHeight="1" thickBot="1">
      <c r="A71" s="290" t="s">
        <v>257</v>
      </c>
      <c r="B71" s="291">
        <f>+B70+B61</f>
        <v>1000000</v>
      </c>
      <c r="C71" s="979"/>
      <c r="D71" s="980"/>
      <c r="E71" s="981"/>
      <c r="F71" s="982"/>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9QWYe350d++HgyhyDbwU9C+Bt5SBShOLr9WlD+8gyW/ntJLVyd186B6zg3ODVcJFKyeWqlIVD7BjjfPxlj+7EQ==" saltValue="vEfMHy0IjM/w7ljQnx9GBA=="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Lake-Sumter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3"/>
      <c r="E19" s="984"/>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8" t="s">
        <v>209</v>
      </c>
      <c r="B27" s="599" t="s">
        <v>129</v>
      </c>
      <c r="C27" s="1159">
        <v>40360</v>
      </c>
      <c r="D27" s="1160">
        <v>0</v>
      </c>
      <c r="E27" s="1160">
        <v>0</v>
      </c>
    </row>
    <row r="28" spans="1:5" s="175" customFormat="1" ht="24.95" customHeight="1" thickBot="1">
      <c r="A28" s="1156" t="s">
        <v>209</v>
      </c>
      <c r="B28" s="1161" t="s">
        <v>776</v>
      </c>
      <c r="C28" s="420" t="s">
        <v>777</v>
      </c>
      <c r="D28" s="440">
        <v>0</v>
      </c>
      <c r="E28" s="1157">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w7ceVP+o646y2LqYm7y3tUpw6B1kOp2WQcsT0qmrIDQWbUBhz+Nc1u7QPtGAXAeXRjiGBMkfer1ys26rWQWcJw==" saltValue="iA52JTjIGu4WpSuQHzgXnw=="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Lake-Sumter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889757</v>
      </c>
    </row>
    <row r="13" spans="1:8" ht="20.100000000000001" customHeight="1">
      <c r="A13" s="492" t="s">
        <v>194</v>
      </c>
      <c r="B13" s="182"/>
      <c r="C13" s="175" t="s">
        <v>126</v>
      </c>
      <c r="D13" s="182"/>
      <c r="E13" s="182"/>
      <c r="F13" s="187" t="s">
        <v>221</v>
      </c>
      <c r="G13" s="186">
        <f>+'EXHIBIT C'!H11+'EXHIBIT C(2)'!E14</f>
        <v>4450144</v>
      </c>
    </row>
    <row r="14" spans="1:8" ht="20.100000000000001" customHeight="1">
      <c r="A14" s="492" t="s">
        <v>194</v>
      </c>
      <c r="B14" s="182"/>
      <c r="C14" s="182" t="s">
        <v>127</v>
      </c>
      <c r="D14" s="182"/>
      <c r="E14" s="182"/>
      <c r="F14" s="187" t="s">
        <v>222</v>
      </c>
      <c r="G14" s="513">
        <f>+'EXHIBIT C'!H12+'EXHIBIT C(2)'!E15</f>
        <v>1314244</v>
      </c>
    </row>
    <row r="15" spans="1:8" ht="20.100000000000001" customHeight="1">
      <c r="A15" s="492" t="s">
        <v>194</v>
      </c>
      <c r="B15" s="182"/>
      <c r="C15" s="188" t="s">
        <v>274</v>
      </c>
      <c r="D15" s="182"/>
      <c r="E15" s="182"/>
      <c r="F15" s="187" t="s">
        <v>223</v>
      </c>
      <c r="G15" s="513">
        <f>+'EXHIBIT C'!H13+'EXHIBIT C(2)'!E16</f>
        <v>0</v>
      </c>
    </row>
    <row r="16" spans="1:8" ht="20.100000000000001" customHeight="1">
      <c r="A16" s="492" t="s">
        <v>194</v>
      </c>
      <c r="B16" s="182"/>
      <c r="C16" s="188" t="s">
        <v>275</v>
      </c>
      <c r="D16" s="182"/>
      <c r="E16" s="182"/>
      <c r="F16" s="187" t="s">
        <v>224</v>
      </c>
      <c r="G16" s="514">
        <f>+'EXHIBIT C'!H14+'EXHIBIT C(2)'!E17</f>
        <v>176202</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6830347</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13493</v>
      </c>
    </row>
    <row r="22" spans="1:7" ht="20.100000000000001" customHeight="1">
      <c r="A22" s="492" t="s">
        <v>209</v>
      </c>
      <c r="B22" s="182"/>
      <c r="C22" s="175" t="s">
        <v>126</v>
      </c>
      <c r="D22" s="182"/>
      <c r="E22" s="182"/>
      <c r="F22" s="187" t="s">
        <v>228</v>
      </c>
      <c r="G22" s="191">
        <f>+'EXHIBIT C'!F20+'EXHIBIT C(2)'!E23</f>
        <v>287566</v>
      </c>
    </row>
    <row r="23" spans="1:7" ht="20.100000000000001" customHeight="1">
      <c r="A23" s="492" t="s">
        <v>209</v>
      </c>
      <c r="B23" s="182"/>
      <c r="C23" s="182" t="s">
        <v>127</v>
      </c>
      <c r="D23" s="182"/>
      <c r="E23" s="182"/>
      <c r="F23" s="187" t="s">
        <v>229</v>
      </c>
      <c r="G23" s="196">
        <f>+'EXHIBIT C'!F21+'EXHIBIT C(2)'!E24</f>
        <v>40726</v>
      </c>
    </row>
    <row r="24" spans="1:7" ht="20.100000000000001" customHeight="1">
      <c r="A24" s="492" t="s">
        <v>209</v>
      </c>
      <c r="B24" s="182"/>
      <c r="C24" s="188" t="s">
        <v>274</v>
      </c>
      <c r="D24" s="182"/>
      <c r="E24" s="182"/>
      <c r="F24" s="187" t="s">
        <v>230</v>
      </c>
      <c r="G24" s="196">
        <f>+'EXHIBIT C'!F22+'EXHIBIT C(2)'!E25</f>
        <v>0</v>
      </c>
    </row>
    <row r="25" spans="1:7" ht="20.100000000000001" customHeight="1">
      <c r="A25" s="492" t="s">
        <v>209</v>
      </c>
      <c r="B25" s="182"/>
      <c r="C25" s="188" t="s">
        <v>275</v>
      </c>
      <c r="D25" s="182"/>
      <c r="E25" s="182"/>
      <c r="F25" s="187" t="s">
        <v>231</v>
      </c>
      <c r="G25" s="196">
        <f>+'EXHIBIT C'!F23+'EXHIBIT C(2)'!E26</f>
        <v>25826</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776</v>
      </c>
      <c r="D27" s="182"/>
      <c r="E27" s="182"/>
      <c r="F27" s="185" t="s">
        <v>777</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367611</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7197958</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1127788</v>
      </c>
    </row>
    <row r="49" spans="1:7" ht="20.100000000000001" customHeight="1">
      <c r="A49" s="492" t="s">
        <v>289</v>
      </c>
      <c r="C49" s="197"/>
      <c r="D49" s="197"/>
      <c r="E49" s="197"/>
      <c r="F49" s="198" t="s">
        <v>290</v>
      </c>
      <c r="G49" s="442">
        <v>205000</v>
      </c>
    </row>
    <row r="50" spans="1:7" ht="20.100000000000001" customHeight="1">
      <c r="A50" s="492" t="s">
        <v>291</v>
      </c>
      <c r="B50" s="182"/>
      <c r="C50" s="182"/>
      <c r="D50" s="182"/>
      <c r="E50" s="182"/>
      <c r="F50" s="187" t="s">
        <v>292</v>
      </c>
      <c r="G50" s="442">
        <v>250000</v>
      </c>
    </row>
    <row r="51" spans="1:7" ht="20.100000000000001" customHeight="1">
      <c r="A51" s="492" t="s">
        <v>293</v>
      </c>
      <c r="B51" s="182"/>
      <c r="C51" s="182"/>
      <c r="D51" s="182"/>
      <c r="E51" s="182"/>
      <c r="F51" s="187" t="s">
        <v>294</v>
      </c>
      <c r="G51" s="442">
        <v>309126</v>
      </c>
    </row>
    <row r="52" spans="1:7" ht="20.100000000000001" customHeight="1">
      <c r="A52" s="492" t="s">
        <v>295</v>
      </c>
      <c r="B52" s="182"/>
      <c r="C52" s="182"/>
      <c r="D52" s="182"/>
      <c r="E52" s="182"/>
      <c r="F52" s="185">
        <v>40450</v>
      </c>
      <c r="G52" s="442">
        <v>804164</v>
      </c>
    </row>
    <row r="53" spans="1:7" ht="20.100000000000001" customHeight="1">
      <c r="A53" s="492" t="s">
        <v>296</v>
      </c>
      <c r="B53" s="182"/>
      <c r="C53" s="182"/>
      <c r="D53" s="182"/>
      <c r="E53" s="182"/>
      <c r="F53" s="187" t="s">
        <v>297</v>
      </c>
      <c r="G53" s="442">
        <v>60000</v>
      </c>
    </row>
    <row r="54" spans="1:7" ht="20.100000000000001" customHeight="1">
      <c r="A54" s="492" t="s">
        <v>298</v>
      </c>
      <c r="B54" s="182"/>
      <c r="C54" s="182"/>
      <c r="D54" s="182"/>
      <c r="E54" s="182"/>
      <c r="F54" s="198" t="s">
        <v>299</v>
      </c>
      <c r="G54" s="442">
        <v>800</v>
      </c>
    </row>
    <row r="55" spans="1:7" ht="20.100000000000001" customHeight="1">
      <c r="A55" s="492" t="s">
        <v>300</v>
      </c>
      <c r="B55" s="182"/>
      <c r="C55" s="182"/>
      <c r="D55" s="182"/>
      <c r="E55" s="182"/>
      <c r="F55" s="187" t="s">
        <v>301</v>
      </c>
      <c r="G55" s="442">
        <v>600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3100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377700</v>
      </c>
    </row>
    <row r="60" spans="1:7" ht="20.100000000000001" customHeight="1">
      <c r="A60" s="492" t="s">
        <v>310</v>
      </c>
      <c r="B60" s="182"/>
      <c r="C60" s="182"/>
      <c r="D60" s="182"/>
      <c r="E60" s="182"/>
      <c r="F60" s="187" t="s">
        <v>311</v>
      </c>
      <c r="G60" s="442">
        <v>238139</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10574375</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1993077</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1993077</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21135195.500593662</v>
      </c>
    </row>
    <row r="77" spans="1:7" ht="20.100000000000001" customHeight="1">
      <c r="A77" s="492" t="s">
        <v>697</v>
      </c>
      <c r="B77" s="182"/>
      <c r="C77" s="182"/>
      <c r="D77" s="182"/>
      <c r="E77" s="182"/>
      <c r="F77" s="185">
        <v>42130</v>
      </c>
      <c r="G77" s="516">
        <v>1203371</v>
      </c>
    </row>
    <row r="78" spans="1:7" ht="20.100000000000001" customHeight="1">
      <c r="A78" s="494" t="s">
        <v>328</v>
      </c>
      <c r="B78" s="495"/>
      <c r="C78" s="495"/>
      <c r="D78" s="495"/>
      <c r="E78" s="495"/>
      <c r="F78" s="201" t="s">
        <v>329</v>
      </c>
      <c r="G78" s="517">
        <v>334183</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715</v>
      </c>
      <c r="B81" s="182"/>
      <c r="C81" s="182"/>
      <c r="D81" s="182"/>
      <c r="E81" s="182"/>
      <c r="F81" s="187" t="s">
        <v>334</v>
      </c>
      <c r="G81" s="516">
        <v>0</v>
      </c>
    </row>
    <row r="82" spans="1:10" ht="20.100000000000001" customHeight="1">
      <c r="A82" s="492" t="s">
        <v>335</v>
      </c>
      <c r="B82" s="182"/>
      <c r="C82" s="182"/>
      <c r="D82" s="182"/>
      <c r="E82" s="182"/>
      <c r="F82" s="187" t="s">
        <v>336</v>
      </c>
      <c r="G82" s="515">
        <f>'CHECK SHEET'!D86</f>
        <v>3055669.4994063387</v>
      </c>
    </row>
    <row r="83" spans="1:10" ht="20.100000000000001" customHeight="1">
      <c r="A83" s="496" t="s">
        <v>337</v>
      </c>
      <c r="B83" s="497"/>
      <c r="C83" s="497"/>
      <c r="D83" s="497"/>
      <c r="E83" s="497"/>
      <c r="F83" s="200" t="s">
        <v>338</v>
      </c>
      <c r="G83" s="516">
        <v>426000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26154419</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5">
        <v>43518</v>
      </c>
      <c r="G91" s="518">
        <v>0</v>
      </c>
      <c r="J91" s="202"/>
    </row>
    <row r="92" spans="1:10" ht="20.100000000000001" customHeight="1">
      <c r="A92" s="492" t="s">
        <v>346</v>
      </c>
      <c r="B92" s="182"/>
      <c r="C92" s="182"/>
      <c r="D92" s="182"/>
      <c r="E92" s="182"/>
      <c r="F92" s="1005">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75000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75000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586868</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586868</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0</v>
      </c>
    </row>
    <row r="112" spans="1:7" ht="20.100000000000001" customHeight="1">
      <c r="A112" s="492" t="s">
        <v>364</v>
      </c>
      <c r="B112" s="182"/>
      <c r="C112" s="182"/>
      <c r="D112" s="182"/>
      <c r="E112" s="182"/>
      <c r="F112" s="187" t="s">
        <v>365</v>
      </c>
      <c r="G112" s="443">
        <v>24100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7">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24100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19200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19200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4" t="s">
        <v>386</v>
      </c>
      <c r="G133" s="445">
        <v>1000000</v>
      </c>
    </row>
    <row r="134" spans="1:7" ht="20.100000000000001" customHeight="1">
      <c r="A134" s="492" t="s">
        <v>699</v>
      </c>
      <c r="B134" s="182"/>
      <c r="C134" s="182"/>
      <c r="D134" s="501"/>
      <c r="E134" s="197"/>
      <c r="F134" s="1165">
        <v>49200</v>
      </c>
      <c r="G134" s="443">
        <v>0</v>
      </c>
    </row>
    <row r="135" spans="1:7" ht="20.100000000000001" customHeight="1">
      <c r="A135" s="492" t="s">
        <v>387</v>
      </c>
      <c r="B135" s="182"/>
      <c r="C135" s="182"/>
      <c r="D135" s="182"/>
      <c r="E135" s="182"/>
      <c r="F135" s="1051" t="s">
        <v>388</v>
      </c>
      <c r="G135" s="443">
        <v>0</v>
      </c>
    </row>
    <row r="136" spans="1:7" ht="20.100000000000001" customHeight="1">
      <c r="A136" s="492" t="s">
        <v>389</v>
      </c>
      <c r="B136" s="182"/>
      <c r="C136" s="182"/>
      <c r="D136" s="182"/>
      <c r="E136" s="182"/>
      <c r="F136" s="185">
        <v>49520</v>
      </c>
      <c r="G136" s="443">
        <v>0</v>
      </c>
    </row>
    <row r="137" spans="1:7" ht="20.100000000000001" customHeight="1">
      <c r="A137" s="1020" t="s">
        <v>691</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1000000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40427039</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1360700</v>
      </c>
    </row>
    <row r="148" spans="1:7" ht="20.100000000000001" customHeight="1">
      <c r="A148" s="492" t="s">
        <v>399</v>
      </c>
      <c r="F148" s="187" t="s">
        <v>400</v>
      </c>
      <c r="G148" s="447">
        <v>1287189</v>
      </c>
    </row>
    <row r="149" spans="1:7" ht="20.100000000000001" customHeight="1">
      <c r="A149" s="492" t="s">
        <v>401</v>
      </c>
      <c r="F149" s="187" t="s">
        <v>402</v>
      </c>
      <c r="G149" s="447">
        <v>3642914</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4495727</v>
      </c>
    </row>
    <row r="153" spans="1:7" ht="20.100000000000001" customHeight="1">
      <c r="A153" s="492" t="s">
        <v>409</v>
      </c>
      <c r="B153" s="182"/>
      <c r="C153" s="182"/>
      <c r="D153" s="182"/>
      <c r="E153" s="182"/>
      <c r="F153" s="187" t="s">
        <v>410</v>
      </c>
      <c r="G153" s="447">
        <v>799086</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4822360</v>
      </c>
    </row>
    <row r="163" spans="1:7" ht="20.100000000000001" customHeight="1">
      <c r="A163" s="492" t="s">
        <v>428</v>
      </c>
      <c r="B163" s="182"/>
      <c r="C163" s="182"/>
      <c r="D163" s="182"/>
      <c r="E163" s="182"/>
      <c r="F163" s="187" t="s">
        <v>429</v>
      </c>
      <c r="G163" s="447">
        <v>115585</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433587</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1882230</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509500</v>
      </c>
    </row>
    <row r="172" spans="1:7" ht="20.100000000000001" customHeight="1">
      <c r="A172" s="492" t="s">
        <v>446</v>
      </c>
      <c r="B172" s="182"/>
      <c r="C172" s="182"/>
      <c r="D172" s="182"/>
      <c r="E172" s="182"/>
      <c r="F172" s="185">
        <v>56001</v>
      </c>
      <c r="G172" s="447">
        <v>1665462</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431600</v>
      </c>
    </row>
    <row r="178" spans="1:7" ht="20.100000000000001" customHeight="1">
      <c r="A178" s="492" t="s">
        <v>455</v>
      </c>
      <c r="B178" s="182"/>
      <c r="C178" s="182"/>
      <c r="D178" s="182"/>
      <c r="E178" s="182"/>
      <c r="F178" s="187" t="s">
        <v>456</v>
      </c>
      <c r="G178" s="447">
        <v>86700</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485000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1679120</v>
      </c>
    </row>
    <row r="186" spans="1:7" ht="20.100000000000001" customHeight="1">
      <c r="A186" s="492" t="s">
        <v>471</v>
      </c>
      <c r="B186" s="182"/>
      <c r="C186" s="182"/>
      <c r="D186" s="182"/>
      <c r="E186" s="182"/>
      <c r="F186" s="187" t="s">
        <v>472</v>
      </c>
      <c r="G186" s="447">
        <v>2493549</v>
      </c>
    </row>
    <row r="187" spans="1:7" ht="20.100000000000001" customHeight="1">
      <c r="A187" s="492" t="s">
        <v>473</v>
      </c>
      <c r="B187" s="182"/>
      <c r="C187" s="182"/>
      <c r="D187" s="182"/>
      <c r="E187" s="182"/>
      <c r="F187" s="187" t="s">
        <v>474</v>
      </c>
      <c r="G187" s="447">
        <v>250000</v>
      </c>
    </row>
    <row r="188" spans="1:7" ht="20.100000000000001" customHeight="1">
      <c r="A188" s="492" t="s">
        <v>475</v>
      </c>
      <c r="B188" s="182"/>
      <c r="C188" s="182"/>
      <c r="D188" s="182"/>
      <c r="E188" s="182"/>
      <c r="F188" s="187" t="s">
        <v>476</v>
      </c>
      <c r="G188" s="447"/>
    </row>
    <row r="189" spans="1:7" ht="20.100000000000001" customHeight="1">
      <c r="A189" s="492" t="s">
        <v>477</v>
      </c>
      <c r="B189" s="182"/>
      <c r="C189" s="182"/>
      <c r="D189" s="182"/>
      <c r="E189" s="182"/>
      <c r="F189" s="187" t="s">
        <v>478</v>
      </c>
      <c r="G189" s="447"/>
    </row>
    <row r="190" spans="1:7" ht="20.100000000000001" customHeight="1">
      <c r="A190" s="492" t="s">
        <v>479</v>
      </c>
      <c r="B190" s="182"/>
      <c r="C190" s="182"/>
      <c r="D190" s="182"/>
      <c r="E190" s="182"/>
      <c r="F190" s="205">
        <v>59600</v>
      </c>
      <c r="G190" s="447"/>
    </row>
    <row r="191" spans="1:7" ht="20.100000000000001" customHeight="1">
      <c r="A191" s="492" t="s">
        <v>480</v>
      </c>
      <c r="B191" s="182"/>
      <c r="C191" s="182"/>
      <c r="D191" s="182"/>
      <c r="E191" s="182"/>
      <c r="F191" s="187" t="s">
        <v>481</v>
      </c>
      <c r="G191" s="447">
        <v>3335224</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29775533</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371780</v>
      </c>
    </row>
    <row r="200" spans="1:7" ht="20.100000000000001" customHeight="1">
      <c r="A200" s="492" t="s">
        <v>490</v>
      </c>
      <c r="B200" s="182"/>
      <c r="C200" s="182"/>
      <c r="D200" s="182"/>
      <c r="E200" s="182"/>
      <c r="F200" s="187" t="s">
        <v>491</v>
      </c>
      <c r="G200" s="447">
        <v>48805</v>
      </c>
    </row>
    <row r="201" spans="1:7" ht="20.100000000000001" customHeight="1">
      <c r="A201" s="492" t="s">
        <v>492</v>
      </c>
      <c r="B201" s="182"/>
      <c r="C201" s="182"/>
      <c r="D201" s="182"/>
      <c r="E201" s="182"/>
      <c r="F201" s="187" t="s">
        <v>493</v>
      </c>
      <c r="G201" s="447">
        <v>252100</v>
      </c>
    </row>
    <row r="202" spans="1:7" ht="20.100000000000001" customHeight="1">
      <c r="A202" s="492" t="s">
        <v>494</v>
      </c>
      <c r="B202" s="182"/>
      <c r="C202" s="182"/>
      <c r="D202" s="182"/>
      <c r="E202" s="182"/>
      <c r="F202" s="187" t="s">
        <v>495</v>
      </c>
      <c r="G202" s="447">
        <v>131740</v>
      </c>
    </row>
    <row r="203" spans="1:7" ht="20.100000000000001" customHeight="1">
      <c r="A203" s="492" t="s">
        <v>496</v>
      </c>
      <c r="B203" s="182"/>
      <c r="C203" s="182"/>
      <c r="D203" s="182"/>
      <c r="E203" s="182"/>
      <c r="F203" s="187" t="s">
        <v>497</v>
      </c>
      <c r="G203" s="447">
        <v>1070880</v>
      </c>
    </row>
    <row r="204" spans="1:7" ht="20.100000000000001" customHeight="1">
      <c r="A204" s="492" t="s">
        <v>498</v>
      </c>
      <c r="B204" s="182"/>
      <c r="C204" s="182"/>
      <c r="D204" s="182"/>
      <c r="E204" s="182"/>
      <c r="F204" s="187" t="s">
        <v>499</v>
      </c>
      <c r="G204" s="447">
        <v>146500</v>
      </c>
    </row>
    <row r="205" spans="1:7" ht="20.100000000000001" customHeight="1">
      <c r="A205" s="492" t="s">
        <v>690</v>
      </c>
      <c r="B205" s="182"/>
      <c r="C205" s="182"/>
      <c r="D205" s="182"/>
      <c r="E205" s="182"/>
      <c r="F205" s="1005">
        <v>63100</v>
      </c>
      <c r="G205" s="447">
        <v>66400</v>
      </c>
    </row>
    <row r="206" spans="1:7" ht="20.100000000000001" customHeight="1">
      <c r="A206" s="492" t="s">
        <v>500</v>
      </c>
      <c r="B206" s="182"/>
      <c r="C206" s="182"/>
      <c r="D206" s="182"/>
      <c r="E206" s="182"/>
      <c r="F206" s="187" t="s">
        <v>501</v>
      </c>
      <c r="G206" s="447">
        <v>811713</v>
      </c>
    </row>
    <row r="207" spans="1:7" ht="20.100000000000001" customHeight="1">
      <c r="A207" s="492" t="s">
        <v>502</v>
      </c>
      <c r="B207" s="182"/>
      <c r="C207" s="182"/>
      <c r="D207" s="182"/>
      <c r="E207" s="182"/>
      <c r="F207" s="187" t="s">
        <v>503</v>
      </c>
      <c r="G207" s="447">
        <v>1487320</v>
      </c>
    </row>
    <row r="208" spans="1:7" ht="20.100000000000001" customHeight="1">
      <c r="A208" s="492" t="s">
        <v>504</v>
      </c>
      <c r="B208" s="182"/>
      <c r="C208" s="182"/>
      <c r="D208" s="182"/>
      <c r="E208" s="182"/>
      <c r="F208" s="187" t="s">
        <v>505</v>
      </c>
      <c r="G208" s="447">
        <v>2415249</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349360</v>
      </c>
    </row>
    <row r="212" spans="1:7" ht="20.100000000000001" customHeight="1">
      <c r="A212" s="492" t="s">
        <v>511</v>
      </c>
      <c r="B212" s="182"/>
      <c r="C212" s="182"/>
      <c r="D212" s="182"/>
      <c r="E212" s="182"/>
      <c r="F212" s="187" t="s">
        <v>512</v>
      </c>
      <c r="G212" s="447">
        <v>454305</v>
      </c>
    </row>
    <row r="213" spans="1:7" ht="20.100000000000001" customHeight="1">
      <c r="A213" s="492" t="s">
        <v>513</v>
      </c>
      <c r="F213" s="205" t="s">
        <v>514</v>
      </c>
      <c r="G213" s="447">
        <v>1526400</v>
      </c>
    </row>
    <row r="214" spans="1:7" ht="20.100000000000001" customHeight="1">
      <c r="A214" s="492" t="s">
        <v>515</v>
      </c>
      <c r="B214" s="182"/>
      <c r="C214" s="182"/>
      <c r="D214" s="182"/>
      <c r="E214" s="182"/>
      <c r="F214" s="187" t="s">
        <v>516</v>
      </c>
      <c r="G214" s="447">
        <v>214000</v>
      </c>
    </row>
    <row r="215" spans="1:7" ht="20.100000000000001" customHeight="1">
      <c r="A215" s="492" t="s">
        <v>517</v>
      </c>
      <c r="B215" s="182"/>
      <c r="C215" s="182"/>
      <c r="D215" s="182"/>
      <c r="E215" s="182"/>
      <c r="F215" s="187" t="s">
        <v>518</v>
      </c>
      <c r="G215" s="447">
        <v>405215</v>
      </c>
    </row>
    <row r="216" spans="1:7" ht="20.100000000000001" customHeight="1">
      <c r="A216" s="492" t="s">
        <v>519</v>
      </c>
      <c r="B216" s="182"/>
      <c r="C216" s="182"/>
      <c r="D216" s="182"/>
      <c r="E216" s="182"/>
      <c r="F216" s="187" t="s">
        <v>520</v>
      </c>
      <c r="G216" s="447">
        <v>152400</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33000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6">
        <v>69100</v>
      </c>
      <c r="G223" s="447"/>
    </row>
    <row r="224" spans="1:7" ht="20.100000000000001" customHeight="1">
      <c r="A224" s="503" t="s">
        <v>701</v>
      </c>
      <c r="B224" s="212"/>
      <c r="C224" s="212"/>
      <c r="D224" s="213"/>
      <c r="E224" s="212"/>
      <c r="F224" s="1095">
        <v>69200</v>
      </c>
      <c r="G224" s="447">
        <v>0</v>
      </c>
    </row>
    <row r="225" spans="1:9" ht="20.100000000000001" customHeight="1">
      <c r="A225" s="492" t="s">
        <v>533</v>
      </c>
      <c r="B225" s="182"/>
      <c r="C225" s="182"/>
      <c r="D225" s="182"/>
      <c r="E225" s="182"/>
      <c r="F225" s="187" t="s">
        <v>534</v>
      </c>
      <c r="G225" s="447">
        <v>161250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8">
        <v>500000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10598417</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10000</v>
      </c>
    </row>
    <row r="234" spans="1:9" ht="20.100000000000001" customHeight="1">
      <c r="A234" s="492" t="s">
        <v>542</v>
      </c>
      <c r="B234" s="182"/>
      <c r="C234" s="182"/>
      <c r="D234" s="182"/>
      <c r="E234" s="182"/>
      <c r="F234" s="187" t="s">
        <v>543</v>
      </c>
      <c r="G234" s="447">
        <v>10000</v>
      </c>
    </row>
    <row r="235" spans="1:9" ht="20.100000000000001" customHeight="1">
      <c r="A235" s="492" t="s">
        <v>544</v>
      </c>
      <c r="B235" s="182"/>
      <c r="C235" s="182"/>
      <c r="D235" s="182"/>
      <c r="E235" s="182"/>
      <c r="F235" s="187" t="s">
        <v>545</v>
      </c>
      <c r="G235" s="447">
        <v>20000</v>
      </c>
    </row>
    <row r="236" spans="1:9" ht="20.100000000000001" customHeight="1">
      <c r="A236" s="492" t="s">
        <v>546</v>
      </c>
      <c r="B236" s="182"/>
      <c r="C236" s="182"/>
      <c r="D236" s="182"/>
      <c r="E236" s="182"/>
      <c r="F236" s="1051" t="s">
        <v>547</v>
      </c>
      <c r="G236" s="447">
        <v>0</v>
      </c>
    </row>
    <row r="237" spans="1:9" ht="20.100000000000001" customHeight="1">
      <c r="A237" s="492" t="s">
        <v>692</v>
      </c>
      <c r="B237" s="182"/>
      <c r="C237" s="182"/>
      <c r="D237" s="182"/>
      <c r="E237" s="182"/>
      <c r="F237" s="1051">
        <v>73001</v>
      </c>
      <c r="G237" s="447">
        <v>0</v>
      </c>
    </row>
    <row r="238" spans="1:9" ht="20.100000000000001" customHeight="1">
      <c r="A238" s="492" t="s">
        <v>693</v>
      </c>
      <c r="B238" s="182"/>
      <c r="C238" s="182"/>
      <c r="D238" s="182"/>
      <c r="E238" s="182"/>
      <c r="F238" s="1051">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40000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40413950</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115641</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500000</v>
      </c>
    </row>
    <row r="261" spans="1:12" ht="20.100000000000001" customHeight="1">
      <c r="A261" s="492" t="s">
        <v>569</v>
      </c>
      <c r="B261" s="182"/>
      <c r="C261" s="182"/>
      <c r="D261" s="182"/>
      <c r="E261" s="182"/>
      <c r="F261" s="199">
        <v>31100</v>
      </c>
      <c r="G261" s="611">
        <f>1838229</f>
        <v>1838229</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2453870</v>
      </c>
    </row>
    <row r="264" spans="1:12" ht="20.100000000000001" customHeight="1">
      <c r="A264" s="493"/>
      <c r="B264" s="182"/>
      <c r="C264" s="182"/>
      <c r="D264" s="182"/>
      <c r="E264" s="182"/>
      <c r="F264" s="199"/>
      <c r="G264" s="215"/>
    </row>
    <row r="265" spans="1:12" ht="20.100000000000001" customHeight="1" thickBot="1">
      <c r="A265" s="504" t="s">
        <v>774</v>
      </c>
      <c r="F265" s="205">
        <v>30800</v>
      </c>
      <c r="G265" s="448">
        <v>-13854486</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-11400616</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vR2eu1t4NQXlkaiCwA7l4Zsy4RcLovLp5VtT8302UHSQUFVPKsGRGOxjQaKVyuAOJDunwQ4aHwqbQeMzXxv1sQ==" saltValue="y6uQ/y5g6UYApa9W+GFS/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6: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3:F245 H243: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Discipliine_C2</vt:lpstr>
      <vt:lpstr>DISCIPLINE</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Stud_Tuition</vt:lpstr>
      <vt:lpstr>STUDENT_ACTIVITY_FEE__1</vt:lpstr>
      <vt:lpstr>STUDENT_FEES</vt:lpstr>
      <vt:lpstr>STUDENT_FINANCIAL_AID_FEE__1</vt:lpstr>
      <vt:lpstr>STUDENT_TUITION</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2024-06-20T20:14:20Z</cp:lastPrinted>
  <dcterms:created xsi:type="dcterms:W3CDTF">2005-03-22T15:46:43Z</dcterms:created>
  <dcterms:modified xsi:type="dcterms:W3CDTF">2024-08-19T20:26:47Z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