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Gulf Coast\"/>
    </mc:Choice>
  </mc:AlternateContent>
  <xr:revisionPtr revIDLastSave="0" documentId="8_{0659153A-C238-48D5-AAB3-97CD9AB7D820}"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8" i="15" l="1"/>
  <c r="B14" i="8" l="1"/>
  <c r="B20" i="8" l="1"/>
  <c r="B18" i="8"/>
  <c r="B17" i="8"/>
  <c r="B16" i="8"/>
  <c r="B10" i="8"/>
  <c r="B12" i="8"/>
  <c r="D17" i="8"/>
  <c r="D14" i="8"/>
  <c r="C14" i="8" l="1"/>
  <c r="C20" i="8" l="1"/>
  <c r="C18" i="8"/>
  <c r="C10" i="8"/>
  <c r="G234" i="7"/>
  <c r="G215" i="7"/>
  <c r="G213" i="7"/>
  <c r="G212" i="7"/>
  <c r="G211" i="7"/>
  <c r="G206" i="7"/>
  <c r="G203" i="7"/>
  <c r="G199" i="7"/>
  <c r="G185" i="7" l="1"/>
  <c r="G152" i="7"/>
  <c r="G52" i="7" l="1"/>
  <c r="G51" i="7"/>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H11" i="6"/>
  <c r="G13" i="7" s="1"/>
  <c r="F14" i="6"/>
  <c r="F15" i="6"/>
  <c r="E49" i="3"/>
  <c r="F10" i="6"/>
  <c r="E44" i="3" s="1"/>
  <c r="E47" i="3"/>
  <c r="H30" i="5" l="1"/>
  <c r="I30" i="5" s="1"/>
  <c r="E70" i="22"/>
  <c r="C93" i="3"/>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s="1"/>
  <c r="G38" i="7"/>
  <c r="G43" i="7" s="1"/>
  <c r="H17" i="6"/>
  <c r="H28"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126" i="3"/>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<sst xmlns="http://schemas.openxmlformats.org/spreadsheetml/2006/main" count="1308" uniqueCount="786">
  <si>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</si>
  <si>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</si>
  <si>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</si>
  <si>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</si>
  <si>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</si>
  <si>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</si>
  <si>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</si>
  <si>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</si>
  <si>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</si>
  <si>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</si>
  <si>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</si>
  <si>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</si>
  <si>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</si>
  <si>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</si>
  <si>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</si>
  <si>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</si>
  <si>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</si>
  <si>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</si>
  <si>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</si>
  <si>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</si>
  <si>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</si>
  <si>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</si>
  <si>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</si>
  <si>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</si>
  <si>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</si>
  <si>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</si>
  <si>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</si>
  <si>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</si>
  <si>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</si>
  <si>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</si>
  <si>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</si>
  <si>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</si>
  <si>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</si>
  <si>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</si>
  <si>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</si>
  <si>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</si>
  <si>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</si>
  <si>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</si>
  <si>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</si>
  <si>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</si>
  <si>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</si>
  <si>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</si>
  <si>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</si>
  <si>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</si>
  <si>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</si>
  <si>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</si>
  <si>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</si>
  <si>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</si>
  <si>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</si>
  <si>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</si>
  <si>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</si>
  <si>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</si>
  <si>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</si>
  <si>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</si>
  <si>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</si>
  <si>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</si>
  <si>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</si>
  <si>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</si>
  <si>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</si>
  <si>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</si>
  <si>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</si>
  <si>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</si>
  <si>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</si>
  <si>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</si>
  <si>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</si>
  <si>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</si>
  <si>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</si>
  <si>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</si>
  <si>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</si>
  <si>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</si>
  <si>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</si>
  <si>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</si>
  <si>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</si>
  <si>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</si>
  <si>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</si>
  <si>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</si>
  <si>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</si>
  <si>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</si>
  <si>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</si>
  <si>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</si>
  <si>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</si>
  <si>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</si>
  <si>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</si>
  <si>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</si>
  <si>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</si>
  <si>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</si>
  <si>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</si>
  <si>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</si>
  <si>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</si>
  <si>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</si>
  <si>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</si>
  <si>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</si>
  <si>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</si>
  <si>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</si>
  <si>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</si>
  <si>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</si>
  <si>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</si>
  <si>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</si>
  <si>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</si>
  <si>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</si>
  <si>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</si>
  <si>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</si>
  <si>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</si>
  <si>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</si>
  <si>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</si>
  <si>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</si>
  <si>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</si>
  <si>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</si>
  <si>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</si>
  <si>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</si>
  <si>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</si>
  <si>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</si>
  <si>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</si>
  <si>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</si>
  <si>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</si>
  <si>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</si>
  <si>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</si>
  <si>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</si>
  <si>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</si>
  <si>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</si>
  <si>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</si>
  <si>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</si>
  <si>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</si>
  <si>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</si>
  <si>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</si>
  <si>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</si>
  <si>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</si>
  <si>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</si>
  <si>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</si>
  <si>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</si>
  <si>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</si>
  <si>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</si>
  <si>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</si>
  <si>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</si>
  <si>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</si>
  <si>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</si>
  <si>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</si>
  <si>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</si>
  <si>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</si>
  <si>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</si>
  <si>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</si>
  <si>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</si>
  <si>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</si>
  <si>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</si>
  <si>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</si>
  <si>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</si>
  <si>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</si>
  <si>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</si>
  <si>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</si>
  <si>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</si>
  <si>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</si>
  <si>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</si>
  <si>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</si>
  <si>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</si>
  <si>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</si>
  <si>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</si>
  <si>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</si>
  <si>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</si>
  <si>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</si>
  <si>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</si>
  <si>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</si>
  <si>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</si>
  <si>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</si>
  <si>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</si>
  <si>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</si>
  <si>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</si>
  <si>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</si>
  <si>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</si>
  <si>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</si>
  <si>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</si>
  <si>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</si>
  <si>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</si>
  <si>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</si>
  <si>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</si>
  <si>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</si>
  <si>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</si>
  <si>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</si>
  <si>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</si>
  <si>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</si>
  <si>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</si>
  <si>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</si>
  <si>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</si>
  <si>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</si>
  <si>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</si>
  <si>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</si>
  <si>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</si>
  <si>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</si>
  <si>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</si>
  <si>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</si>
  <si>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</si>
  <si>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</si>
  <si>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</si>
  <si>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</si>
  <si>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</si>
  <si>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</si>
  <si>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</si>
  <si>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</si>
  <si>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</si>
  <si>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</si>
  <si>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</si>
  <si>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</si>
  <si>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</si>
  <si>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</si>
  <si>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</si>
  <si>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</si>
  <si>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</si>
  <si>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</si>
  <si>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</si>
  <si>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</si>
  <si>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</si>
  <si>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</si>
  <si>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</si>
  <si>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</si>
  <si>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</si>
  <si>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</si>
  <si>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</si>
  <si>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</si>
  <si>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</si>
  <si>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</si>
  <si>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</si>
  <si>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</si>
  <si>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</si>
  <si>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</si>
  <si>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</si>
  <si>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</si>
  <si>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</si>
  <si>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</si>
  <si>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</si>
  <si>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</si>
  <si>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</si>
  <si>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</si>
  <si>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</si>
  <si>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</si>
  <si>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</si>
  <si>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</si>
  <si>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</si>
  <si>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</si>
  <si>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</si>
  <si>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</si>
  <si>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</si>
  <si>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</si>
  <si>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</si>
  <si>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</si>
  <si>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</si>
  <si>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</si>
  <si>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</si>
  <si>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</si>
  <si>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</si>
  <si>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</si>
  <si>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</si>
  <si>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</si>
  <si>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</si>
  <si>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</si>
  <si>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</si>
  <si>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</si>
  <si>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</si>
  <si>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</si>
  <si>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</si>
  <si>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</si>
  <si>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</si>
  <si>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</si>
  <si>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</si>
  <si>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</si>
  <si>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</si>
  <si>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</si>
  <si>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</si>
  <si>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</si>
  <si>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</si>
  <si>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</si>
  <si>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</si>
  <si>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</si>
  <si>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</si>
  <si>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</si>
  <si>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</si>
  <si>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</si>
  <si>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</si>
  <si>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</si>
  <si>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</si>
  <si>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</si>
  <si>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</si>
  <si>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</si>
  <si>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</si>
  <si>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</si>
  <si>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</si>
  <si>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</si>
  <si>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</si>
  <si>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</si>
  <si>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</si>
  <si>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</si>
  <si>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</si>
  <si>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</si>
  <si>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</si>
  <si>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</si>
  <si>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</si>
  <si>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</si>
  <si>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</si>
  <si>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</si>
  <si>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</si>
  <si>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</si>
  <si>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</si>
  <si>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</si>
  <si>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</si>
  <si>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</si>
  <si>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</si>
  <si>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</si>
  <si>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</si>
  <si>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</si>
  <si>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</si>
  <si>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</si>
  <si>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</si>
  <si>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</si>
  <si>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</si>
  <si>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</si>
  <si>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</si>
  <si>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</si>
  <si>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</si>
  <si>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</si>
  <si>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</si>
  <si>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</si>
  <si>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</si>
  <si>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</si>
  <si>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</si>
  <si>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</si>
  <si>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</si>
  <si>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</si>
  <si>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</si>
  <si>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</si>
  <si>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</si>
  <si>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</si>
  <si>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</si>
  <si>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</si>
  <si>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</si>
  <si>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</si>
  <si>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</si>
  <si>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</si>
  <si>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</si>
  <si>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</si>
  <si>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</si>
  <si>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</si>
  <si>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</si>
  <si>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</si>
  <si>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</si>
  <si>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</si>
  <si>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</si>
  <si>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</si>
  <si>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</si>
  <si>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</si>
  <si>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</si>
  <si>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</si>
  <si>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</si>
  <si>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</si>
  <si>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</si>
  <si>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</si>
  <si>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</si>
  <si>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</si>
  <si>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</si>
  <si>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</si>
  <si>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</si>
  <si>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</si>
  <si>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</si>
  <si>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</si>
  <si>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</si>
  <si>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</si>
  <si>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</si>
  <si>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</si>
  <si>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</si>
  <si>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</si>
  <si>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</si>
  <si>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</si>
  <si>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</si>
  <si>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</si>
  <si>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</si>
  <si>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</si>
  <si>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</si>
  <si>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</si>
  <si>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</si>
  <si>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</si>
  <si>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</si>
  <si>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</si>
  <si>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</si>
  <si>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</si>
  <si>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</si>
  <si>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</si>
  <si>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</si>
  <si>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</si>
  <si>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</si>
  <si>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</si>
  <si>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</si>
  <si>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</si>
  <si>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</si>
  <si>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</si>
  <si>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</si>
  <si>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</si>
  <si>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</si>
  <si>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</si>
  <si>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</si>
  <si>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</si>
  <si>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</si>
  <si>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</si>
  <si>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</si>
  <si>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</si>
  <si>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</si>
  <si>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</si>
  <si>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</si>
  <si>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</si>
  <si>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</si>
  <si>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</si>
  <si>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</si>
  <si>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</si>
  <si>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</si>
  <si>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</si>
  <si>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</si>
  <si>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</si>
  <si>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</si>
  <si>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</si>
  <si>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</si>
  <si>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</si>
  <si>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</si>
  <si>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</si>
  <si>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</si>
  <si>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</si>
  <si>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</si>
  <si>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</si>
  <si>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</si>
  <si>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</si>
  <si>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</si>
  <si>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</si>
  <si>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</si>
  <si>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</si>
  <si>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</si>
  <si>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</si>
  <si>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</si>
  <si>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</si>
  <si>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</si>
  <si>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</si>
  <si>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</si>
  <si>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</si>
  <si>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</si>
  <si>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</si>
  <si>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</si>
  <si>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</si>
  <si>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</si>
  <si>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</si>
  <si>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</si>
  <si>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</si>
  <si>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</si>
  <si>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</si>
  <si>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</si>
  <si>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</si>
  <si>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</si>
  <si>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</si>
  <si>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</si>
  <si>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</si>
  <si>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</si>
  <si>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</si>
  <si>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</si>
  <si>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</si>
  <si>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</si>
  <si>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</si>
  <si>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</si>
  <si>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</si>
  <si>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</si>
  <si>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</si>
  <si>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</si>
  <si>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</si>
  <si>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</si>
  <si>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</si>
  <si>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</si>
  <si>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</si>
  <si>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</si>
  <si>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</si>
  <si>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</si>
  <si>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</si>
  <si>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</si>
  <si>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</si>
  <si>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</si>
  <si>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</si>
  <si>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</si>
  <si>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</si>
  <si>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</si>
  <si>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</si>
  <si>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</si>
  <si>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</si>
  <si>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</si>
  <si>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</si>
  <si>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</si>
  <si>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</si>
  <si>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</si>
  <si>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</si>
  <si>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</si>
  <si>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</si>
  <si>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</si>
  <si>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</si>
  <si>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</si>
  <si>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</si>
  <si>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</si>
  <si>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</si>
  <si>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</si>
  <si>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</si>
  <si>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</si>
  <si>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</si>
  <si>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</si>
  <si>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</si>
  <si>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</si>
  <si>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</si>
  <si>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</si>
  <si>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</si>
  <si>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</si>
  <si>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</si>
  <si>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</si>
  <si>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</si>
  <si>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</si>
  <si>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</si>
  <si>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</si>
  <si>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</si>
  <si>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</si>
  <si>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</si>
  <si>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</si>
  <si>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</si>
  <si>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</si>
  <si>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</si>
  <si>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</si>
  <si>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</si>
  <si>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</si>
  <si>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</si>
  <si>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</si>
  <si>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</si>
  <si>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</si>
  <si>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</si>
  <si>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</si>
  <si>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</si>
  <si>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</si>
  <si>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</si>
  <si>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</si>
  <si>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</si>
  <si>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</si>
  <si>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</si>
  <si>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</si>
  <si>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</si>
  <si>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</si>
  <si>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</si>
  <si>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</si>
  <si>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</si>
  <si>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</si>
  <si>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</si>
  <si>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</si>
  <si>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</si>
  <si>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</si>
  <si>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</si>
  <si>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</si>
  <si>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</si>
  <si>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</si>
  <si>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</si>
  <si>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</si>
  <si>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</si>
  <si>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</si>
  <si>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</si>
  <si>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</si>
  <si>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</si>
  <si>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</si>
  <si>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</si>
  <si>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</si>
  <si>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</si>
  <si>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</si>
  <si>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</si>
  <si>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</si>
  <si>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</si>
  <si>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</si>
  <si>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</si>
  <si>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</si>
  <si>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</si>
  <si>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</si>
  <si>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</si>
  <si>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</si>
  <si>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</si>
  <si>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</si>
  <si>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</si>
  <si>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</si>
  <si>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</si>
  <si>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</si>
  <si>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</si>
  <si>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</si>
  <si>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</si>
  <si>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</si>
  <si>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</si>
  <si>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</si>
  <si>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</si>
  <si>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</si>
  <si>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</si>
  <si>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</si>
  <si>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</si>
  <si>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</si>
  <si>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</si>
  <si>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</si>
  <si>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</si>
  <si>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</si>
  <si>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</si>
  <si>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</si>
  <si>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</si>
  <si>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</si>
  <si>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</si>
  <si>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</si>
  <si>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</si>
  <si>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</si>
  <si>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</si>
  <si>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</si>
  <si>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</si>
  <si>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</si>
  <si>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</si>
  <si>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</si>
  <si>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</si>
  <si>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</si>
  <si>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</si>
  <si>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</si>
  <si>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</si>
  <si>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</si>
  <si>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</si>
  <si>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</si>
  <si>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</si>
  <si>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</si>
  <si>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</si>
  <si>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</si>
  <si>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</si>
  <si>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</si>
  <si>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</si>
  <si>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</si>
  <si>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</si>
  <si>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</si>
  <si>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</si>
  <si>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</si>
  <si>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</si>
  <si>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</si>
  <si>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</si>
  <si>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</si>
  <si>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</si>
  <si>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</si>
  <si>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</si>
  <si>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</si>
  <si>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</si>
  <si>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</si>
  <si>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</si>
  <si>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</si>
  <si>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</si>
  <si>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</si>
  <si>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</si>
  <si>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</si>
  <si>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</si>
  <si>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</si>
  <si>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</si>
  <si>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</si>
  <si>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</si>
  <si>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</si>
  <si>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</si>
  <si>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</si>
  <si>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</si>
  <si>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</si>
  <si>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</si>
  <si>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</si>
  <si>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</si>
  <si>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</si>
  <si>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</si>
  <si>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</si>
  <si>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</si>
  <si>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</si>
  <si>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</si>
  <si>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</si>
  <si>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</si>
  <si>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</si>
  <si>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</si>
  <si>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</si>
  <si>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</si>
  <si>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</si>
  <si>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</si>
  <si>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</si>
  <si>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</si>
  <si>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</si>
  <si>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</si>
  <si>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</si>
  <si>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</si>
  <si>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</si>
  <si>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</si>
  <si>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</si>
  <si>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</si>
  <si>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</si>
  <si>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</si>
  <si>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</si>
  <si>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</si>
  <si>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</si>
  <si>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</si>
  <si>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</si>
  <si>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</si>
  <si>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</si>
  <si>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</si>
  <si>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</si>
  <si>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</si>
  <si>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</si>
  <si>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</si>
  <si>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</si>
  <si>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</si>
  <si>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</si>
  <si>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</si>
  <si>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</si>
  <si>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</si>
  <si>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</si>
  <si>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</si>
  <si>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</si>
  <si>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</si>
  <si>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</si>
  <si>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</si>
  <si>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</si>
  <si>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</si>
  <si>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</si>
  <si>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</si>
  <si>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</si>
  <si>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</si>
  <si>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</si>
  <si>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</si>
  <si>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</si>
  <si>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</si>
  <si>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</si>
  <si>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</si>
  <si>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</si>
  <si>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</si>
  <si>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</si>
  <si>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</si>
  <si>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</si>
  <si>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</si>
  <si>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</si>
  <si>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</si>
  <si>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</si>
  <si>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</si>
  <si>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</si>
  <si>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</si>
  <si>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</si>
  <si>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</si>
  <si>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</si>
  <si>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</si>
  <si>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</si>
  <si>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</si>
  <si>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</si>
  <si>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</si>
  <si>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</si>
  <si>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</si>
  <si>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</si>
  <si>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</si>
  <si>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</si>
  <si>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</si>
  <si>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</si>
  <si>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</si>
  <si>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</si>
  <si>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</si>
  <si>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</si>
  <si>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</si>
  <si>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</si>
  <si>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</si>
  <si>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</si>
  <si>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</si>
  <si>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</si>
  <si>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</si>
  <si>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</si>
  <si>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</si>
  <si>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</si>
  <si>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</si>
  <si>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</si>
  <si>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</si>
  <si>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</si>
  <si>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</si>
  <si>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</si>
  <si>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</si>
  <si>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</si>
  <si>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</si>
  <si>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</si>
  <si>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</si>
  <si>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</si>
  <si>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</si>
  <si>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</si>
  <si>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</si>
  <si>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</si>
  <si>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</si>
  <si>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</si>
  <si>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</si>
  <si>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</si>
  <si>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Business Hospitality</t>
  </si>
  <si>
    <t>Promotions-PR</t>
  </si>
  <si>
    <t>Credit hours were based on 23-24 actuals with an increase for the Gulf Coast Guarantee Scholarship program and pandemic recovery.</t>
  </si>
  <si>
    <t>Credit hours were based on 23-24 with an increase for the Gulf Coast Guarantee Scholarship program and pandemic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</si>
</sst>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Gulf Coast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f>16241248+1455950+57430</f>
        <v>17754628</v>
      </c>
      <c r="C10" s="450">
        <f>1153692+107369</f>
        <v>1261061</v>
      </c>
      <c r="D10" s="450">
        <v>2500</v>
      </c>
      <c r="E10" s="369">
        <f>SUM(B10:D10)</f>
        <v>19018189</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f>192850+0</f>
        <v>192850</v>
      </c>
      <c r="C12" s="440">
        <v>39500</v>
      </c>
      <c r="D12" s="440">
        <v>0</v>
      </c>
      <c r="E12" s="370">
        <f>SUM(B12:D12)</f>
        <v>232350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1334529+139181+5490-108303</f>
        <v>1370897</v>
      </c>
      <c r="C14" s="452">
        <f>684563-220365</f>
        <v>464198</v>
      </c>
      <c r="D14" s="452">
        <f>100000+0</f>
        <v>100000</v>
      </c>
      <c r="E14" s="370">
        <f t="shared" ref="E14:E20" si="0">SUM(B14:D14)</f>
        <v>1935095</v>
      </c>
      <c r="F14" s="352"/>
    </row>
    <row r="15" spans="1:8" s="17" customFormat="1" ht="20.100000000000001" customHeight="1">
      <c r="A15" s="368" t="s">
        <v>585</v>
      </c>
      <c r="B15" s="451">
        <v>108303</v>
      </c>
      <c r="C15" s="440">
        <v>220365</v>
      </c>
      <c r="D15" s="440">
        <v>0</v>
      </c>
      <c r="E15" s="370">
        <f>SUM(B15:D15)</f>
        <v>328668</v>
      </c>
      <c r="F15" s="352"/>
    </row>
    <row r="16" spans="1:8" s="17" customFormat="1" ht="20.100000000000001" customHeight="1">
      <c r="A16" s="368" t="s">
        <v>586</v>
      </c>
      <c r="B16" s="451">
        <f>2361535+258588+10200</f>
        <v>2630323</v>
      </c>
      <c r="C16" s="440">
        <v>348173</v>
      </c>
      <c r="D16" s="440">
        <v>0</v>
      </c>
      <c r="E16" s="370">
        <f t="shared" si="0"/>
        <v>2978496</v>
      </c>
      <c r="F16" s="352"/>
    </row>
    <row r="17" spans="1:6" s="17" customFormat="1" ht="20.100000000000001" customHeight="1">
      <c r="A17" s="368" t="s">
        <v>587</v>
      </c>
      <c r="B17" s="451">
        <f>4286773+488021+19250</f>
        <v>4794044</v>
      </c>
      <c r="C17" s="440">
        <v>2842603</v>
      </c>
      <c r="D17" s="440">
        <f>35025+40000+105000+50500</f>
        <v>230525</v>
      </c>
      <c r="E17" s="370">
        <f t="shared" si="0"/>
        <v>7867172</v>
      </c>
      <c r="F17" s="352"/>
    </row>
    <row r="18" spans="1:6" s="17" customFormat="1" ht="20.100000000000001" customHeight="1">
      <c r="A18" s="368" t="s">
        <v>588</v>
      </c>
      <c r="B18" s="451">
        <f>1756723+193433+7630</f>
        <v>1957786</v>
      </c>
      <c r="C18" s="440">
        <f>4016567+100000</f>
        <v>4116567</v>
      </c>
      <c r="D18" s="440">
        <v>25000</v>
      </c>
      <c r="E18" s="370">
        <f t="shared" si="0"/>
        <v>6099353</v>
      </c>
      <c r="F18" s="352"/>
    </row>
    <row r="19" spans="1:6" s="17" customFormat="1" ht="20.100000000000001" customHeight="1">
      <c r="A19" s="368" t="s">
        <v>589</v>
      </c>
      <c r="B19" s="451">
        <v>175000</v>
      </c>
      <c r="C19" s="440">
        <v>0</v>
      </c>
      <c r="D19" s="440">
        <v>0</v>
      </c>
      <c r="E19" s="370">
        <f t="shared" si="0"/>
        <v>175000</v>
      </c>
      <c r="F19" s="352"/>
    </row>
    <row r="20" spans="1:6" s="17" customFormat="1" ht="20.100000000000001" customHeight="1" thickBot="1">
      <c r="A20" s="368" t="s">
        <v>590</v>
      </c>
      <c r="B20" s="451">
        <f>3155012-2535173-175000-100000</f>
        <v>344839</v>
      </c>
      <c r="C20" s="441">
        <f>847038-107369-100000</f>
        <v>639669</v>
      </c>
      <c r="D20" s="441">
        <v>100000</v>
      </c>
      <c r="E20" s="370">
        <f t="shared" si="0"/>
        <v>1084508</v>
      </c>
      <c r="F20" s="352"/>
    </row>
    <row r="21" spans="1:6" s="17" customFormat="1" ht="24" customHeight="1" thickBot="1">
      <c r="A21" s="293" t="s">
        <v>49</v>
      </c>
      <c r="B21" s="353">
        <f>SUM(B10:B20)</f>
        <v>29328670</v>
      </c>
      <c r="C21" s="356">
        <f>SUM(C10:C20)</f>
        <v>9932136</v>
      </c>
      <c r="D21" s="356">
        <f>SUM(D10:D20)</f>
        <v>458025</v>
      </c>
      <c r="E21" s="355">
        <f>SUM(E10:E20)</f>
        <v>39718831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myoGaooNN86Zgxn1YDnrUQpDp2m+QmNvLFq2Cph/mRyPVEFFhDj7bMf3OpYdnIZnOAzwhM0X6LAQOfF92LN7/A==" saltValue="jOa9hHwOVChV3smVLV8eJ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Gulf Coast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349137</v>
      </c>
      <c r="E14" s="756">
        <v>0</v>
      </c>
      <c r="F14" s="757">
        <f t="shared" si="0"/>
        <v>349137</v>
      </c>
      <c r="I14" s="88"/>
      <c r="J14" s="29"/>
      <c r="K14" s="93"/>
      <c r="L14" s="93"/>
      <c r="M14" s="93"/>
      <c r="N14" s="93"/>
    </row>
    <row r="15" spans="1:224" s="17" customFormat="1" ht="30" customHeight="1">
      <c r="A15" s="753" t="s">
        <v>407</v>
      </c>
      <c r="B15" s="754"/>
      <c r="C15" s="755" t="s">
        <v>408</v>
      </c>
      <c r="D15" s="756">
        <v>0</v>
      </c>
      <c r="E15" s="756">
        <v>0</v>
      </c>
      <c r="F15" s="757">
        <f t="shared" si="0"/>
        <v>0</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0</v>
      </c>
      <c r="E25" s="756">
        <v>0</v>
      </c>
      <c r="F25" s="757">
        <f t="shared" si="0"/>
        <v>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11344</v>
      </c>
      <c r="E30" s="756">
        <v>0</v>
      </c>
      <c r="F30" s="757">
        <f t="shared" si="0"/>
        <v>11344</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53000</v>
      </c>
      <c r="E34" s="756">
        <v>0</v>
      </c>
      <c r="F34" s="757">
        <f t="shared" si="0"/>
        <v>53000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22349+5227</f>
        <v>27576</v>
      </c>
      <c r="E48" s="756">
        <v>0</v>
      </c>
      <c r="F48" s="757">
        <f t="shared" si="0"/>
        <v>27576</v>
      </c>
    </row>
    <row r="49" spans="1:6" s="17" customFormat="1" ht="30" customHeight="1">
      <c r="A49" s="753" t="s">
        <v>471</v>
      </c>
      <c r="B49" s="754"/>
      <c r="C49" s="755" t="s">
        <v>472</v>
      </c>
      <c r="D49" s="756">
        <v>41492</v>
      </c>
      <c r="E49" s="756">
        <v>0</v>
      </c>
      <c r="F49" s="757">
        <f t="shared" si="0"/>
        <v>41492</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35500</v>
      </c>
      <c r="E54" s="756">
        <v>0</v>
      </c>
      <c r="F54" s="757">
        <f t="shared" si="0"/>
        <v>35500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518049</v>
      </c>
      <c r="E57" s="268">
        <f>SUM(E10:E56)</f>
        <v>0</v>
      </c>
      <c r="F57" s="268">
        <f t="shared" si="0"/>
        <v>518049</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0</v>
      </c>
      <c r="E64" s="453">
        <v>0</v>
      </c>
      <c r="F64" s="234">
        <f t="shared" si="0"/>
        <v>0</v>
      </c>
    </row>
    <row r="65" spans="1:6" s="17" customFormat="1" ht="30" customHeight="1">
      <c r="A65" s="753" t="s">
        <v>490</v>
      </c>
      <c r="B65" s="754"/>
      <c r="C65" s="763" t="s">
        <v>491</v>
      </c>
      <c r="D65" s="756">
        <v>20</v>
      </c>
      <c r="E65" s="756">
        <v>0</v>
      </c>
      <c r="F65" s="757">
        <f t="shared" si="0"/>
        <v>20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125</v>
      </c>
      <c r="E67" s="756">
        <v>0</v>
      </c>
      <c r="F67" s="757">
        <f t="shared" si="0"/>
        <v>125</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621</v>
      </c>
      <c r="E71" s="756">
        <v>0</v>
      </c>
      <c r="F71" s="757">
        <f t="shared" si="0"/>
        <v>621</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550</v>
      </c>
      <c r="E73" s="756">
        <v>0</v>
      </c>
      <c r="F73" s="757">
        <f t="shared" si="0"/>
        <v>550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9355</v>
      </c>
      <c r="E76" s="756">
        <v>0</v>
      </c>
      <c r="F76" s="757">
        <f t="shared" si="1"/>
        <v>9355</v>
      </c>
    </row>
    <row r="77" spans="1:6" s="17" customFormat="1" ht="30" customHeight="1">
      <c r="A77" s="753" t="s">
        <v>511</v>
      </c>
      <c r="B77" s="754"/>
      <c r="C77" s="763" t="s">
        <v>512</v>
      </c>
      <c r="D77" s="756">
        <v>4615</v>
      </c>
      <c r="E77" s="756">
        <v>0</v>
      </c>
      <c r="F77" s="757">
        <f t="shared" si="1"/>
        <v>4615</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120</v>
      </c>
      <c r="E80" s="756">
        <v>0</v>
      </c>
      <c r="F80" s="757">
        <f t="shared" si="1"/>
        <v>120</v>
      </c>
    </row>
    <row r="81" spans="1:6" s="17" customFormat="1" ht="30" customHeight="1">
      <c r="A81" s="753" t="s">
        <v>519</v>
      </c>
      <c r="B81" s="754"/>
      <c r="C81" s="763" t="s">
        <v>520</v>
      </c>
      <c r="D81" s="756">
        <v>775</v>
      </c>
      <c r="E81" s="756">
        <v>0</v>
      </c>
      <c r="F81" s="757">
        <f t="shared" ref="F81:F86" si="2">+D81+E81</f>
        <v>775</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16181</v>
      </c>
      <c r="E93" s="264">
        <f>SUM(E64:E92)</f>
        <v>0</v>
      </c>
      <c r="F93" s="264">
        <f t="shared" si="1"/>
        <v>16181</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534230</v>
      </c>
      <c r="E113" s="264">
        <f>+E57+E93+E111</f>
        <v>0</v>
      </c>
      <c r="F113" s="264">
        <f>SUM(D113:E113)</f>
        <v>534230</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341000</v>
      </c>
      <c r="E118" s="756">
        <v>0</v>
      </c>
      <c r="F118" s="757">
        <f t="shared" ref="F118:F128" si="3">+D118+E118</f>
        <v>341000</v>
      </c>
    </row>
    <row r="119" spans="1:6" s="69" customFormat="1" ht="30" customHeight="1">
      <c r="A119" s="753" t="s">
        <v>611</v>
      </c>
      <c r="B119" s="602"/>
      <c r="C119" s="765"/>
      <c r="D119" s="1080">
        <f>'EXHIBIT C'!F19</f>
        <v>46744</v>
      </c>
      <c r="E119" s="756">
        <v>0</v>
      </c>
      <c r="F119" s="757">
        <f t="shared" si="3"/>
        <v>46744</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146486</v>
      </c>
      <c r="E123" s="756">
        <v>0</v>
      </c>
      <c r="F123" s="757">
        <f t="shared" si="3"/>
        <v>146486</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534230</v>
      </c>
      <c r="E129" s="258">
        <f>SUM(E117:E128)</f>
        <v>0</v>
      </c>
      <c r="F129" s="259">
        <f>SUM(F117:F128)</f>
        <v>534230</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AUqR4wAzK+qIckxyCK6wUDITDK8+nyRnZkTJO0YO5+J+P2OUkjGD4LY9UbpcRXi1Oeo3+IxVfIaSvwltRqoefQ==" saltValue="EwREM92DaZbiQeGZKqcVZ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9" sqref="A49"/>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773</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48" colorId="22" zoomScale="70" zoomScaleNormal="70" zoomScaleSheetLayoutView="51" zoomScalePageLayoutView="60" workbookViewId="0">
      <selection activeCell="C68" sqref="C68"/>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29</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5.0004922395973851E-2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3510</v>
      </c>
      <c r="E44" s="114">
        <f>+'EXHIBIT C'!F10</f>
        <v>3715</v>
      </c>
      <c r="F44" s="115">
        <f t="shared" ref="F44:F50" si="0">IF(D44=0,"0",(E44/D44-1))</f>
        <v>5.8404558404558493E-2</v>
      </c>
      <c r="G44" s="116" t="str">
        <f t="shared" ref="G44:G50" si="1">IF(OR(F44&gt;3%, F44&lt;-3%),"YES","NO")</f>
        <v>YES</v>
      </c>
      <c r="H44" s="88"/>
    </row>
    <row r="45" spans="1:8" ht="20.100000000000001" customHeight="1">
      <c r="C45" s="117" t="s">
        <v>126</v>
      </c>
      <c r="D45" s="650">
        <f>VLOOKUP($D$7,VLOOKUP!$A$109:$S$137,5)*30+D60</f>
        <v>59579.003001435471</v>
      </c>
      <c r="E45" s="118">
        <f>+'EXHIBIT C'!F11</f>
        <v>63040</v>
      </c>
      <c r="F45" s="651">
        <f t="shared" si="0"/>
        <v>5.8090884778336127E-2</v>
      </c>
      <c r="G45" s="652" t="str">
        <f t="shared" si="1"/>
        <v>YES</v>
      </c>
      <c r="H45" s="88"/>
    </row>
    <row r="46" spans="1:8" ht="20.100000000000001" customHeight="1">
      <c r="C46" s="653" t="s">
        <v>127</v>
      </c>
      <c r="D46" s="654">
        <f>VLOOKUP($D$7,VLOOKUP!$A$109:$S$137,8)*30</f>
        <v>15230.945330296125</v>
      </c>
      <c r="E46" s="655">
        <f>+'EXHIBIT C'!F12</f>
        <v>17208</v>
      </c>
      <c r="F46" s="651">
        <f t="shared" si="0"/>
        <v>0.12980511890954549</v>
      </c>
      <c r="G46" s="652" t="str">
        <f t="shared" si="1"/>
        <v>YES</v>
      </c>
      <c r="H46" s="88"/>
    </row>
    <row r="47" spans="1:8" ht="20.100000000000001" customHeight="1">
      <c r="C47" s="653" t="s">
        <v>76</v>
      </c>
      <c r="D47" s="654">
        <f>VLOOKUP($D$7,VLOOKUP!$A$109:$S$137,17)*30</f>
        <v>4790.5613818630472</v>
      </c>
      <c r="E47" s="655">
        <f>+'EXHIBIT C'!F13</f>
        <v>5252</v>
      </c>
      <c r="F47" s="651">
        <f t="shared" si="0"/>
        <v>9.632245187045263E-2</v>
      </c>
      <c r="G47" s="652" t="str">
        <f t="shared" si="1"/>
        <v>YES</v>
      </c>
      <c r="H47" s="88"/>
    </row>
    <row r="48" spans="1:8" ht="20.100000000000001" customHeight="1">
      <c r="C48" s="653" t="s">
        <v>128</v>
      </c>
      <c r="D48" s="654">
        <f>VLOOKUP($D$7,VLOOKUP!$A$109:$S$137,11)*30</f>
        <v>950.25380710659897</v>
      </c>
      <c r="E48" s="655">
        <f>+'EXHIBIT C'!F14</f>
        <v>1257</v>
      </c>
      <c r="F48" s="651">
        <f t="shared" si="0"/>
        <v>0.32280448717948729</v>
      </c>
      <c r="G48" s="652" t="str">
        <f t="shared" si="1"/>
        <v>YES</v>
      </c>
      <c r="H48" s="88"/>
    </row>
    <row r="49" spans="3:8" ht="20.100000000000001" customHeight="1" thickBot="1">
      <c r="C49" s="656" t="s">
        <v>129</v>
      </c>
      <c r="D49" s="657">
        <f>VLOOKUP($D$7,VLOOKUP!$A$109:$S$137,14)*30</f>
        <v>0</v>
      </c>
      <c r="E49" s="658">
        <f>+'EXHIBIT C'!F15</f>
        <v>0</v>
      </c>
      <c r="F49" s="659" t="str">
        <f t="shared" si="0"/>
        <v>0</v>
      </c>
      <c r="G49" s="660" t="str">
        <f t="shared" si="1"/>
        <v>NO</v>
      </c>
      <c r="H49" s="88"/>
    </row>
    <row r="50" spans="3:8" ht="20.100000000000001" customHeight="1" thickBot="1">
      <c r="C50" s="119" t="s">
        <v>49</v>
      </c>
      <c r="D50" s="120">
        <f>SUM(D44:D49)</f>
        <v>84060.763520701235</v>
      </c>
      <c r="E50" s="121">
        <f>+'EXHIBIT C'!F17</f>
        <v>90472</v>
      </c>
      <c r="F50" s="122">
        <f t="shared" si="0"/>
        <v>7.626907264195748E-2</v>
      </c>
      <c r="G50" s="123" t="str">
        <f t="shared" si="1"/>
        <v>YES</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784</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107</v>
      </c>
      <c r="F59" s="662" t="str">
        <f t="shared" ref="F59:F65" si="2">IF(D59=0,"0",(E59/D59-1))</f>
        <v>0</v>
      </c>
      <c r="G59" s="663" t="str">
        <f>IF(OR(F59&gt;5%, F59&lt;-5%),"YES","NO")</f>
        <v>NO</v>
      </c>
    </row>
    <row r="60" spans="3:8" ht="20.100000000000001" customHeight="1">
      <c r="C60" s="117" t="s">
        <v>126</v>
      </c>
      <c r="D60" s="661">
        <f>VLOOKUP($D$7,VLOOKUP!$A$109:$S$137,6)*30</f>
        <v>3727.5401278872505</v>
      </c>
      <c r="E60" s="131">
        <f>+'EXHIBIT C'!D20</f>
        <v>3913</v>
      </c>
      <c r="F60" s="662">
        <f t="shared" si="2"/>
        <v>4.9753957234490498E-2</v>
      </c>
      <c r="G60" s="663" t="str">
        <f t="shared" ref="G60:G65" si="3">IF(OR(F60&gt;5%, F60&lt;-5%),"YES","NO")</f>
        <v>NO</v>
      </c>
      <c r="H60" s="88"/>
    </row>
    <row r="61" spans="3:8" ht="20.100000000000001" customHeight="1">
      <c r="C61" s="653" t="s">
        <v>127</v>
      </c>
      <c r="D61" s="664">
        <f>VLOOKUP($D$7,VLOOKUP!$A$109:$S$137,9)*30</f>
        <v>997.82460136674274</v>
      </c>
      <c r="E61" s="665">
        <f>+'EXHIBIT C'!D21</f>
        <v>1073</v>
      </c>
      <c r="F61" s="662">
        <f t="shared" si="2"/>
        <v>7.5339291625289517E-2</v>
      </c>
      <c r="G61" s="663" t="str">
        <f t="shared" si="3"/>
        <v>YES</v>
      </c>
      <c r="H61" s="88"/>
    </row>
    <row r="62" spans="3:8" ht="20.100000000000001" customHeight="1">
      <c r="C62" s="653" t="s">
        <v>76</v>
      </c>
      <c r="D62" s="664">
        <f>VLOOKUP($D$7,VLOOKUP!$A$109:$S$137,18)*30</f>
        <v>219.4386181369525</v>
      </c>
      <c r="E62" s="665">
        <f>+'EXHIBIT C'!D22</f>
        <v>235</v>
      </c>
      <c r="F62" s="662">
        <f t="shared" si="2"/>
        <v>7.0914509010148619E-2</v>
      </c>
      <c r="G62" s="663" t="str">
        <f t="shared" si="3"/>
        <v>YES</v>
      </c>
      <c r="H62" s="88"/>
    </row>
    <row r="63" spans="3:8" ht="20.100000000000001" customHeight="1">
      <c r="C63" s="653" t="s">
        <v>128</v>
      </c>
      <c r="D63" s="664">
        <f>VLOOKUP($D$7,VLOOKUP!$A$109:$S$137,12)*30</f>
        <v>219.74619289340103</v>
      </c>
      <c r="E63" s="665">
        <f>+'EXHIBIT C'!D23</f>
        <v>235</v>
      </c>
      <c r="F63" s="662">
        <f t="shared" si="2"/>
        <v>6.9415569415569367E-2</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5164.5495402843471</v>
      </c>
      <c r="E65" s="133">
        <f>SUM(E59:E64)</f>
        <v>5563</v>
      </c>
      <c r="F65" s="134">
        <f t="shared" si="2"/>
        <v>7.7151057726849714E-2</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785</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22103920.083340969</v>
      </c>
      <c r="E84" s="1127">
        <f>+'EXHIBIT D'!G76</f>
        <v>22103920.083340969</v>
      </c>
      <c r="F84" s="1127">
        <f>D84-E84</f>
        <v>0</v>
      </c>
      <c r="G84" s="88"/>
      <c r="H84" s="88"/>
    </row>
    <row r="85" spans="1:8" ht="20.100000000000001" customHeight="1">
      <c r="A85" s="98"/>
      <c r="B85" s="98"/>
      <c r="C85" s="672" t="s">
        <v>150</v>
      </c>
      <c r="D85" s="671">
        <f>VLOOKUP($D$7,VLOOKUP!$A$150:$B$178,2)</f>
        <v>281214</v>
      </c>
      <c r="E85" s="1127">
        <f>'EXHIBIT D'!G78</f>
        <v>281214</v>
      </c>
      <c r="F85" s="1127">
        <f>D85-E85</f>
        <v>0</v>
      </c>
      <c r="G85" s="88"/>
      <c r="H85" s="88"/>
    </row>
    <row r="86" spans="1:8" ht="20.100000000000001" customHeight="1">
      <c r="A86" s="98"/>
      <c r="B86" s="98"/>
      <c r="C86" s="672" t="s">
        <v>151</v>
      </c>
      <c r="D86" s="671">
        <f>VLOOKUP($D$7,VLOOKUP!$A$7:$E$35,3)</f>
        <v>4970200.9166590301</v>
      </c>
      <c r="E86" s="1127">
        <f>'EXHIBIT D'!G82</f>
        <v>4970200.9166590301</v>
      </c>
      <c r="F86" s="1127">
        <f>D86-E86</f>
        <v>0</v>
      </c>
      <c r="G86" s="88"/>
      <c r="H86" s="88"/>
    </row>
    <row r="87" spans="1:8" ht="20.100000000000001" customHeight="1" thickBot="1">
      <c r="A87" s="97"/>
      <c r="B87" s="97"/>
      <c r="C87" s="143" t="s">
        <v>694</v>
      </c>
      <c r="D87" s="671">
        <f>VLOOKUP($D$7,VLOOKUP!$A$185:$B$213,2)</f>
        <v>1680100</v>
      </c>
      <c r="E87" s="1128">
        <f>'EXHIBIT D'!G77</f>
        <v>1680100</v>
      </c>
      <c r="F87" s="1127">
        <f>D87-E87</f>
        <v>0</v>
      </c>
      <c r="G87" s="88"/>
      <c r="H87" s="88"/>
    </row>
    <row r="88" spans="1:8" ht="20.100000000000001" customHeight="1" thickBot="1">
      <c r="A88" s="97"/>
      <c r="B88" s="97"/>
      <c r="C88" s="144" t="s">
        <v>152</v>
      </c>
      <c r="D88" s="145">
        <f>SUM(D84:D87)</f>
        <v>29035435</v>
      </c>
      <c r="E88" s="145">
        <f>SUM(E84:E87)</f>
        <v>29035435</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2145000</v>
      </c>
      <c r="D101" s="819" t="s">
        <v>739</v>
      </c>
      <c r="E101" s="819"/>
      <c r="F101" s="819"/>
      <c r="G101" s="88"/>
      <c r="H101" s="88"/>
    </row>
    <row r="102" spans="1:8" ht="20.100000000000001" customHeight="1">
      <c r="A102" s="95"/>
      <c r="B102" s="95"/>
      <c r="C102" s="674">
        <f>'EXHIBIT D'!G267-'EXHIBIT D'!G253-'EXHIBIT D'!G265</f>
        <v>2145000</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1108392</v>
      </c>
      <c r="D108" s="17" t="s">
        <v>741</v>
      </c>
    </row>
    <row r="109" spans="1:8" ht="26.25" customHeight="1">
      <c r="A109" s="151"/>
      <c r="B109" s="151"/>
      <c r="C109" s="676">
        <f>'EXHIBIT A'!E36</f>
        <v>1208392</v>
      </c>
      <c r="D109" s="17" t="s">
        <v>742</v>
      </c>
    </row>
    <row r="110" spans="1:8" ht="26.1" customHeight="1">
      <c r="A110" s="151"/>
      <c r="B110" s="151"/>
      <c r="C110" s="677">
        <f>C108-C109</f>
        <v>-100000</v>
      </c>
      <c r="D110" s="89" t="s">
        <v>160</v>
      </c>
      <c r="E110" s="89"/>
      <c r="F110" s="89"/>
      <c r="G110" s="89"/>
    </row>
    <row r="111" spans="1:8" ht="20.100000000000001" customHeight="1">
      <c r="A111" s="151"/>
      <c r="B111" s="151"/>
      <c r="C111" s="154"/>
    </row>
    <row r="112" spans="1:8" ht="26.1" customHeight="1">
      <c r="A112" s="151"/>
      <c r="B112" s="151"/>
      <c r="C112" s="675">
        <f>'EXHIBIT D'!G187</f>
        <v>100000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91.790040376850612</v>
      </c>
      <c r="D119" s="17" t="s">
        <v>81</v>
      </c>
    </row>
    <row r="120" spans="1:8" ht="20.100000000000001" customHeight="1">
      <c r="C120" s="157"/>
    </row>
    <row r="121" spans="1:8" ht="20.100000000000001" customHeight="1">
      <c r="C121" s="158">
        <f>IF('EXHIBIT G'!D119=0,"No Credit Hours or Not Applicable",('EXHIBIT G'!D119/'EXHIBIT C'!D19))</f>
        <v>436.85981308411215</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Gulf Coast State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v>2068554</v>
      </c>
    </row>
    <row r="14" spans="2:7" ht="25.35" customHeight="1">
      <c r="B14" s="17" t="s">
        <v>174</v>
      </c>
      <c r="D14" s="28"/>
      <c r="E14" s="1136">
        <v>1108392</v>
      </c>
    </row>
    <row r="15" spans="2:7" ht="25.35" customHeight="1">
      <c r="B15" s="28"/>
      <c r="D15" s="28"/>
      <c r="E15" s="162"/>
    </row>
    <row r="16" spans="2:7" ht="25.35" customHeight="1">
      <c r="B16" s="17" t="s">
        <v>730</v>
      </c>
      <c r="C16" s="28"/>
      <c r="D16" s="28"/>
      <c r="E16" s="578">
        <f>+E14+E13</f>
        <v>3176946</v>
      </c>
    </row>
    <row r="17" spans="2:7" ht="25.35" customHeight="1">
      <c r="B17" s="28"/>
      <c r="C17" s="28"/>
      <c r="D17" s="28"/>
      <c r="E17" s="163"/>
    </row>
    <row r="18" spans="2:7" ht="25.35" customHeight="1">
      <c r="B18" s="17" t="s">
        <v>175</v>
      </c>
      <c r="C18" s="28"/>
      <c r="D18" s="28"/>
      <c r="E18" s="173">
        <f>+'EXHIBIT D'!G143-SUM(+'EXHIBIT D'!G133+'EXHIBIT D'!G134)</f>
        <v>39665024</v>
      </c>
      <c r="G18" s="138"/>
    </row>
    <row r="19" spans="2:7" ht="25.35" customHeight="1">
      <c r="B19" s="17" t="s">
        <v>176</v>
      </c>
      <c r="D19" s="28"/>
      <c r="E19" s="578">
        <f>+'EXHIBIT D'!G133+'EXHIBIT D'!G134</f>
        <v>53807</v>
      </c>
    </row>
    <row r="20" spans="2:7" ht="25.35" customHeight="1">
      <c r="B20" s="28"/>
      <c r="D20" s="28"/>
      <c r="E20" s="168"/>
    </row>
    <row r="21" spans="2:7" ht="25.35" customHeight="1">
      <c r="B21" s="17" t="s">
        <v>177</v>
      </c>
      <c r="C21" s="28"/>
      <c r="D21" s="28"/>
      <c r="E21" s="579">
        <f>+E19+E18</f>
        <v>39718831</v>
      </c>
    </row>
    <row r="22" spans="2:7" ht="25.35" customHeight="1">
      <c r="B22" s="28"/>
      <c r="C22" s="28"/>
      <c r="D22" s="28"/>
      <c r="E22" s="168"/>
    </row>
    <row r="23" spans="2:7" ht="25.35" customHeight="1">
      <c r="B23" s="28" t="s">
        <v>178</v>
      </c>
      <c r="C23" s="28"/>
      <c r="D23" s="28"/>
      <c r="E23" s="579">
        <f>+E21+E16</f>
        <v>42895777</v>
      </c>
    </row>
    <row r="24" spans="2:7" ht="25.35" customHeight="1">
      <c r="B24" s="28"/>
      <c r="C24" s="28"/>
      <c r="D24" s="28"/>
      <c r="E24" s="168"/>
    </row>
    <row r="25" spans="2:7" ht="25.35" customHeight="1">
      <c r="B25" s="17" t="s">
        <v>179</v>
      </c>
      <c r="C25" s="28"/>
      <c r="D25" s="28"/>
      <c r="E25" s="174">
        <f>'EXHIBIT D'!G249-SUM(+'EXHIBIT D'!G223+'EXHIBIT D'!G224)</f>
        <v>39718831</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39718831</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3176946</v>
      </c>
      <c r="E32" s="164"/>
    </row>
    <row r="33" spans="2:10" ht="25.35" customHeight="1">
      <c r="B33" s="17" t="s">
        <v>183</v>
      </c>
      <c r="C33" s="28"/>
      <c r="D33" s="581">
        <f>+'EXHIBIT D'!G187</f>
        <v>100000</v>
      </c>
      <c r="E33" s="164"/>
    </row>
    <row r="34" spans="2:10" ht="25.35" customHeight="1">
      <c r="B34" s="28"/>
      <c r="D34" s="28"/>
      <c r="E34" s="164"/>
      <c r="J34" s="166"/>
    </row>
    <row r="35" spans="2:10" ht="25.35" customHeight="1">
      <c r="B35" s="17" t="s">
        <v>732</v>
      </c>
      <c r="C35" s="28"/>
      <c r="D35" s="28"/>
      <c r="E35" s="167">
        <f>+D32+D33</f>
        <v>3276946</v>
      </c>
    </row>
    <row r="36" spans="2:10" ht="25.35" customHeight="1">
      <c r="B36" s="17" t="s">
        <v>733</v>
      </c>
      <c r="C36" s="28"/>
      <c r="D36" s="28"/>
      <c r="E36" s="579">
        <f>-'EXHIBIT D'!G265</f>
        <v>1208392</v>
      </c>
      <c r="J36" s="48"/>
    </row>
    <row r="37" spans="2:10" ht="25.35" customHeight="1">
      <c r="D37" s="28"/>
      <c r="E37" s="167"/>
    </row>
    <row r="38" spans="2:10" ht="25.35" customHeight="1">
      <c r="B38" s="28" t="s">
        <v>734</v>
      </c>
      <c r="D38" s="28"/>
      <c r="E38" s="578">
        <f>+E35-E36</f>
        <v>2068554</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2145000</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5.0004922395973851E-2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fX8BU2j++MKN6zpMxMa/nDFVIwZl/Cn2/6TiP9hxJK4hAHWWL96DBRUvbFwWk6QYhzz8ZURAJbM09zLPNmD/YA==" saltValue="X4xHqO+g/OUGpEwPyCJZW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Gulf Coast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4.37</v>
      </c>
      <c r="D14" s="962">
        <v>4.37</v>
      </c>
      <c r="E14" s="962">
        <v>8.74</v>
      </c>
      <c r="F14" s="962">
        <v>4.37</v>
      </c>
      <c r="G14" s="679">
        <f>SUM(B14:F14)</f>
        <v>113.64000000000001</v>
      </c>
      <c r="H14" s="365">
        <f>G14*30</f>
        <v>3409.2000000000003</v>
      </c>
    </row>
    <row r="15" spans="1:18" s="17" customFormat="1" ht="20.100000000000001" customHeight="1">
      <c r="A15" s="28" t="s">
        <v>201</v>
      </c>
      <c r="B15" s="963">
        <v>72.92</v>
      </c>
      <c r="C15" s="963">
        <v>3.65</v>
      </c>
      <c r="D15" s="963">
        <v>7.29</v>
      </c>
      <c r="E15" s="963">
        <v>7.29</v>
      </c>
      <c r="F15" s="963">
        <v>3.65</v>
      </c>
      <c r="G15" s="679">
        <f>SUM(B15:F15)</f>
        <v>94.800000000000026</v>
      </c>
      <c r="H15" s="338">
        <f>G15*30</f>
        <v>2844.0000000000009</v>
      </c>
    </row>
    <row r="16" spans="1:18" s="17" customFormat="1" ht="20.100000000000001" customHeight="1" thickBot="1">
      <c r="A16" s="28" t="s">
        <v>76</v>
      </c>
      <c r="B16" s="964">
        <v>69.930000000000007</v>
      </c>
      <c r="C16" s="964">
        <v>6.99</v>
      </c>
      <c r="D16" s="965"/>
      <c r="E16" s="964">
        <v>3.5</v>
      </c>
      <c r="F16" s="964">
        <v>3.5</v>
      </c>
      <c r="G16" s="339">
        <f>SUM(B16:F16)</f>
        <v>83.92</v>
      </c>
      <c r="H16" s="680">
        <f>G16*30</f>
        <v>2517.6</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436.86</v>
      </c>
      <c r="D29" s="962">
        <v>26.21</v>
      </c>
      <c r="E29" s="536">
        <f>D14</f>
        <v>4.37</v>
      </c>
      <c r="F29" s="962">
        <v>34.950000000000003</v>
      </c>
      <c r="G29" s="962">
        <v>26.21</v>
      </c>
      <c r="H29" s="346">
        <f>SUM(B29:G29)</f>
        <v>620.3900000000001</v>
      </c>
      <c r="I29" s="359">
        <f>H29*30</f>
        <v>18611.700000000004</v>
      </c>
    </row>
    <row r="30" spans="1:11" s="17" customFormat="1" ht="20.100000000000001" customHeight="1">
      <c r="A30" s="28" t="str">
        <f t="shared" si="0"/>
        <v>LOWER LEVEL - CREDIT (A &amp; P, PSV, DEVELOPMENTAL EDUCATION AND EPI)</v>
      </c>
      <c r="B30" s="683">
        <f t="shared" si="0"/>
        <v>72.92</v>
      </c>
      <c r="C30" s="966">
        <v>221.42</v>
      </c>
      <c r="D30" s="966">
        <v>14.72</v>
      </c>
      <c r="E30" s="684">
        <f>D15</f>
        <v>7.29</v>
      </c>
      <c r="F30" s="966">
        <v>24.69</v>
      </c>
      <c r="G30" s="966">
        <v>14.72</v>
      </c>
      <c r="H30" s="679">
        <f>SUM(B30:G30)</f>
        <v>355.76000000000005</v>
      </c>
      <c r="I30" s="338">
        <f>H30*30</f>
        <v>10672.800000000001</v>
      </c>
    </row>
    <row r="31" spans="1:11" s="17" customFormat="1" ht="20.100000000000001" customHeight="1">
      <c r="A31" s="28" t="str">
        <f t="shared" si="0"/>
        <v>CAREER CERTIFICATE AND APPLIED TECHNOLOGY DIPLOMA</v>
      </c>
      <c r="B31" s="1148">
        <f t="shared" si="0"/>
        <v>69.930000000000007</v>
      </c>
      <c r="C31" s="963">
        <v>209.79</v>
      </c>
      <c r="D31" s="963">
        <v>27.97</v>
      </c>
      <c r="E31" s="1149"/>
      <c r="F31" s="963">
        <v>13.99</v>
      </c>
      <c r="G31" s="963">
        <v>13.99</v>
      </c>
      <c r="H31" s="1150">
        <f>SUM(B31:G31)</f>
        <v>335.67000000000007</v>
      </c>
      <c r="I31" s="1150">
        <f>H31*30</f>
        <v>10070.100000000002</v>
      </c>
    </row>
    <row r="32" spans="1:11" s="17" customFormat="1" ht="20.100000000000001" customHeight="1" thickBot="1">
      <c r="A32" s="28" t="s">
        <v>777</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776</v>
      </c>
      <c r="B41" s="915"/>
      <c r="C41" s="915"/>
      <c r="D41" s="915"/>
      <c r="E41" s="915"/>
      <c r="F41" s="915"/>
      <c r="G41" s="915"/>
      <c r="H41" s="915"/>
      <c r="I41" s="915"/>
      <c r="J41" s="175"/>
    </row>
    <row r="42" spans="1:11" ht="20.25" customHeight="1">
      <c r="A42" s="17" t="s">
        <v>778</v>
      </c>
      <c r="B42" s="177"/>
      <c r="C42" s="177"/>
      <c r="D42" s="177"/>
      <c r="E42" s="177"/>
      <c r="F42" s="177"/>
      <c r="G42" s="177"/>
      <c r="H42" s="177"/>
      <c r="I42" s="177"/>
    </row>
    <row r="43" spans="1:11" ht="20.25" customHeight="1">
      <c r="A43" s="17" t="s">
        <v>779</v>
      </c>
      <c r="B43" s="177"/>
      <c r="C43" s="177"/>
      <c r="D43" s="177"/>
      <c r="E43" s="177"/>
      <c r="F43" s="177"/>
      <c r="G43" s="177"/>
      <c r="H43" s="177"/>
      <c r="I43" s="177"/>
    </row>
    <row r="44" spans="1:11" ht="20.25" customHeight="1">
      <c r="A44" s="17" t="s">
        <v>780</v>
      </c>
      <c r="B44" s="177"/>
      <c r="C44" s="177"/>
      <c r="D44" s="177"/>
      <c r="E44" s="177"/>
      <c r="F44" s="177"/>
      <c r="G44" s="177"/>
      <c r="H44" s="177"/>
      <c r="I44" s="177"/>
    </row>
    <row r="45" spans="1:11" ht="20.25" customHeight="1">
      <c r="A45" s="17" t="s">
        <v>781</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n6+Vvq/OHAnsVvtTMlop1CktiLIdEpkGUDio5b5wPGzCKY9YvRaz/vZywjwr6NQGUQAKG6ABiBnoqBXOZnWUMQ==" saltValue="+Wnv7zE6/reVGTea2S/6lg=="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Gulf Coast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3715</v>
      </c>
      <c r="E10" s="539">
        <v>0</v>
      </c>
      <c r="F10" s="540">
        <f t="shared" ref="F10:F15" si="0">+D10-E10</f>
        <v>3715</v>
      </c>
      <c r="G10" s="540">
        <f>'EXHIBIT B'!B14</f>
        <v>91.79</v>
      </c>
      <c r="H10" s="541">
        <f>ROUND(+F10*G10,0)</f>
        <v>341000</v>
      </c>
    </row>
    <row r="11" spans="1:9" ht="20.100000000000001" customHeight="1">
      <c r="A11" s="690" t="s">
        <v>194</v>
      </c>
      <c r="B11" s="690" t="s">
        <v>126</v>
      </c>
      <c r="C11" s="691" t="s">
        <v>221</v>
      </c>
      <c r="D11" s="689">
        <v>79537</v>
      </c>
      <c r="E11" s="689">
        <v>16497</v>
      </c>
      <c r="F11" s="692">
        <f t="shared" si="0"/>
        <v>63040</v>
      </c>
      <c r="G11" s="692">
        <f>+'EXHIBIT B'!B15</f>
        <v>72.92</v>
      </c>
      <c r="H11" s="693">
        <f t="shared" ref="H11:H15" si="1">ROUND(+F11*G11,0)</f>
        <v>4596877</v>
      </c>
    </row>
    <row r="12" spans="1:9" ht="20.100000000000001" customHeight="1">
      <c r="A12" s="690" t="s">
        <v>194</v>
      </c>
      <c r="B12" s="690" t="s">
        <v>127</v>
      </c>
      <c r="C12" s="691" t="s">
        <v>222</v>
      </c>
      <c r="D12" s="689">
        <v>17208</v>
      </c>
      <c r="E12" s="689">
        <v>0</v>
      </c>
      <c r="F12" s="692">
        <f t="shared" si="0"/>
        <v>17208</v>
      </c>
      <c r="G12" s="692">
        <f>+'EXHIBIT B'!B15</f>
        <v>72.92</v>
      </c>
      <c r="H12" s="693">
        <f t="shared" si="1"/>
        <v>1254807</v>
      </c>
    </row>
    <row r="13" spans="1:9" ht="20.100000000000001" customHeight="1">
      <c r="A13" s="690" t="s">
        <v>194</v>
      </c>
      <c r="B13" s="690" t="s">
        <v>76</v>
      </c>
      <c r="C13" s="691" t="s">
        <v>223</v>
      </c>
      <c r="D13" s="694">
        <v>5252</v>
      </c>
      <c r="E13" s="694">
        <v>0</v>
      </c>
      <c r="F13" s="692">
        <f t="shared" si="0"/>
        <v>5252</v>
      </c>
      <c r="G13" s="692">
        <f>+'EXHIBIT B'!B16</f>
        <v>69.930000000000007</v>
      </c>
      <c r="H13" s="693">
        <f t="shared" si="1"/>
        <v>367272</v>
      </c>
    </row>
    <row r="14" spans="1:9" ht="20.100000000000001" customHeight="1">
      <c r="A14" s="690" t="s">
        <v>194</v>
      </c>
      <c r="B14" s="690" t="s">
        <v>128</v>
      </c>
      <c r="C14" s="691" t="s">
        <v>224</v>
      </c>
      <c r="D14" s="689">
        <v>1257</v>
      </c>
      <c r="E14" s="689">
        <v>0</v>
      </c>
      <c r="F14" s="692">
        <f t="shared" si="0"/>
        <v>1257</v>
      </c>
      <c r="G14" s="692">
        <f>+'EXHIBIT B'!B15</f>
        <v>72.92</v>
      </c>
      <c r="H14" s="693">
        <f t="shared" si="1"/>
        <v>91660</v>
      </c>
    </row>
    <row r="15" spans="1:9" ht="20.100000000000001" customHeight="1" thickBot="1">
      <c r="A15" s="695" t="s">
        <v>194</v>
      </c>
      <c r="B15" s="695" t="s">
        <v>129</v>
      </c>
      <c r="C15" s="696">
        <v>40160</v>
      </c>
      <c r="D15" s="697">
        <v>0</v>
      </c>
      <c r="E15" s="697">
        <v>0</v>
      </c>
      <c r="F15" s="698">
        <f t="shared" si="0"/>
        <v>0</v>
      </c>
      <c r="G15" s="698">
        <f>+'EXHIBIT B'!B15</f>
        <v>72.92</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106969</v>
      </c>
      <c r="E17" s="302">
        <f>SUM(E10:E15)</f>
        <v>16497</v>
      </c>
      <c r="F17" s="303">
        <f>SUM(F10:F15)</f>
        <v>90472</v>
      </c>
      <c r="G17" s="303"/>
      <c r="H17" s="304">
        <f>SUM(H10:H15)</f>
        <v>6651616</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107</v>
      </c>
      <c r="E19" s="701">
        <f>'EXHIBIT B'!C29</f>
        <v>436.86</v>
      </c>
      <c r="F19" s="702">
        <f t="shared" ref="F19:F25" si="2">ROUND(+D19*E19,0)</f>
        <v>46744</v>
      </c>
      <c r="G19" s="306"/>
      <c r="H19" s="306"/>
    </row>
    <row r="20" spans="1:9" ht="20.100000000000001" customHeight="1">
      <c r="A20" s="641" t="s">
        <v>209</v>
      </c>
      <c r="B20" s="641" t="s">
        <v>126</v>
      </c>
      <c r="C20" s="703" t="s">
        <v>228</v>
      </c>
      <c r="D20" s="710">
        <v>3913</v>
      </c>
      <c r="E20" s="704">
        <f>+'EXHIBIT B'!C30</f>
        <v>221.42</v>
      </c>
      <c r="F20" s="705">
        <f t="shared" si="2"/>
        <v>866416</v>
      </c>
      <c r="G20" s="48"/>
      <c r="H20" s="48"/>
    </row>
    <row r="21" spans="1:9" ht="20.100000000000001" customHeight="1">
      <c r="A21" s="641" t="s">
        <v>209</v>
      </c>
      <c r="B21" s="641" t="s">
        <v>127</v>
      </c>
      <c r="C21" s="703" t="s">
        <v>229</v>
      </c>
      <c r="D21" s="710">
        <v>1073</v>
      </c>
      <c r="E21" s="704">
        <f>+'EXHIBIT B'!C30</f>
        <v>221.42</v>
      </c>
      <c r="F21" s="705">
        <f t="shared" si="2"/>
        <v>237584</v>
      </c>
      <c r="G21" s="48"/>
      <c r="H21" s="48"/>
    </row>
    <row r="22" spans="1:9" ht="20.100000000000001" customHeight="1">
      <c r="A22" s="641" t="s">
        <v>209</v>
      </c>
      <c r="B22" s="641" t="s">
        <v>76</v>
      </c>
      <c r="C22" s="703" t="s">
        <v>230</v>
      </c>
      <c r="D22" s="710">
        <v>235</v>
      </c>
      <c r="E22" s="704">
        <f>+'EXHIBIT B'!C31</f>
        <v>209.79</v>
      </c>
      <c r="F22" s="705">
        <f t="shared" si="2"/>
        <v>49301</v>
      </c>
      <c r="G22" s="48"/>
      <c r="H22" s="48"/>
    </row>
    <row r="23" spans="1:9" ht="20.100000000000001" customHeight="1">
      <c r="A23" s="641" t="s">
        <v>209</v>
      </c>
      <c r="B23" s="641" t="s">
        <v>128</v>
      </c>
      <c r="C23" s="703" t="s">
        <v>231</v>
      </c>
      <c r="D23" s="710">
        <v>235</v>
      </c>
      <c r="E23" s="704">
        <f>+'EXHIBIT B'!C30</f>
        <v>221.42</v>
      </c>
      <c r="F23" s="705">
        <f t="shared" si="2"/>
        <v>52034</v>
      </c>
      <c r="G23" s="48"/>
      <c r="H23" s="48"/>
    </row>
    <row r="24" spans="1:9" ht="20.100000000000001" customHeight="1">
      <c r="A24" s="1057" t="s">
        <v>209</v>
      </c>
      <c r="B24" s="1057" t="s">
        <v>129</v>
      </c>
      <c r="C24" s="1153">
        <v>40360</v>
      </c>
      <c r="D24" s="1154">
        <v>0</v>
      </c>
      <c r="E24" s="1155">
        <f>+'EXHIBIT B'!C30</f>
        <v>221.42</v>
      </c>
      <c r="F24" s="1156">
        <f t="shared" si="2"/>
        <v>0</v>
      </c>
      <c r="G24" s="48"/>
      <c r="H24" s="48"/>
    </row>
    <row r="25" spans="1:9" ht="20.100000000000001" customHeight="1" thickBot="1">
      <c r="A25" s="383" t="s">
        <v>209</v>
      </c>
      <c r="B25" s="383" t="s">
        <v>774</v>
      </c>
      <c r="C25" s="1151" t="s">
        <v>775</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5563</v>
      </c>
      <c r="E27" s="708"/>
      <c r="F27" s="709">
        <f>SUM(F19:F25)</f>
        <v>1252079</v>
      </c>
      <c r="G27" s="310"/>
      <c r="H27" s="310"/>
    </row>
    <row r="28" spans="1:9" ht="20.100000000000001" customHeight="1" thickBot="1">
      <c r="A28" s="311" t="s">
        <v>232</v>
      </c>
      <c r="B28" s="311"/>
      <c r="C28" s="311"/>
      <c r="D28" s="311"/>
      <c r="E28" s="311"/>
      <c r="F28" s="312"/>
      <c r="G28" s="542"/>
      <c r="H28" s="313">
        <f>H17+F27</f>
        <v>7903695</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7903695</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10</v>
      </c>
      <c r="B55" s="968">
        <v>0</v>
      </c>
      <c r="C55" s="1133" t="s">
        <v>10</v>
      </c>
      <c r="D55" s="1134" t="s">
        <v>10</v>
      </c>
      <c r="E55" s="970" t="s">
        <v>10</v>
      </c>
      <c r="F55" s="971"/>
    </row>
    <row r="56" spans="1:10" ht="24.95" customHeight="1">
      <c r="A56" s="716" t="s">
        <v>10</v>
      </c>
      <c r="B56" s="710">
        <v>0</v>
      </c>
      <c r="C56" s="972"/>
      <c r="D56" s="973" t="s">
        <v>10</v>
      </c>
      <c r="E56" s="972" t="s">
        <v>10</v>
      </c>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782</v>
      </c>
      <c r="B64" s="969">
        <v>3807</v>
      </c>
      <c r="C64" s="970">
        <v>3</v>
      </c>
      <c r="D64" s="971"/>
      <c r="E64" s="970">
        <v>1</v>
      </c>
      <c r="F64" s="971"/>
    </row>
    <row r="65" spans="1:6" ht="24.95" customHeight="1">
      <c r="A65" s="716" t="s">
        <v>783</v>
      </c>
      <c r="B65" s="710">
        <v>50000</v>
      </c>
      <c r="C65" s="972">
        <v>3</v>
      </c>
      <c r="D65" s="973"/>
      <c r="E65" s="972">
        <v>1</v>
      </c>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53807</v>
      </c>
      <c r="C70" s="980"/>
      <c r="D70" s="981"/>
      <c r="E70" s="980"/>
      <c r="F70" s="981"/>
    </row>
    <row r="71" spans="1:6" ht="24.95" customHeight="1" thickBot="1">
      <c r="A71" s="290" t="s">
        <v>257</v>
      </c>
      <c r="B71" s="291">
        <f>+B70+B61</f>
        <v>53807</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btfvxYCpMxl4KPJydgGBhT6p1lGCPAva7Q2cUKo/ReF4TDiZyw/ncW5yhYqlIY5Jo9/cpXHGDb83VWvSQbPrfQ==" saltValue="vp2vETkDoRGcvNNFwRmw0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Gulf Coast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774</v>
      </c>
      <c r="C28" s="420" t="s">
        <v>775</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2Z4LpnScIjRpuqPbcF+/U11lttHQlx02GJNrGFmziPME0qrUOecxP/yOubtxA2B3sh9d29+YMAZ+gBbCGPXSng==" saltValue="FdUT73PPuTXckII222K4Ag=="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Gulf Coast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341000</v>
      </c>
    </row>
    <row r="13" spans="1:8" ht="20.100000000000001" customHeight="1">
      <c r="A13" s="492" t="s">
        <v>194</v>
      </c>
      <c r="B13" s="182"/>
      <c r="C13" s="175" t="s">
        <v>126</v>
      </c>
      <c r="D13" s="182"/>
      <c r="E13" s="182"/>
      <c r="F13" s="187" t="s">
        <v>221</v>
      </c>
      <c r="G13" s="186">
        <f>+'EXHIBIT C'!H11+'EXHIBIT C(2)'!E14</f>
        <v>4596877</v>
      </c>
    </row>
    <row r="14" spans="1:8" ht="20.100000000000001" customHeight="1">
      <c r="A14" s="492" t="s">
        <v>194</v>
      </c>
      <c r="B14" s="182"/>
      <c r="C14" s="182" t="s">
        <v>127</v>
      </c>
      <c r="D14" s="182"/>
      <c r="E14" s="182"/>
      <c r="F14" s="187" t="s">
        <v>222</v>
      </c>
      <c r="G14" s="513">
        <f>+'EXHIBIT C'!H12+'EXHIBIT C(2)'!E15</f>
        <v>1254807</v>
      </c>
    </row>
    <row r="15" spans="1:8" ht="20.100000000000001" customHeight="1">
      <c r="A15" s="492" t="s">
        <v>194</v>
      </c>
      <c r="B15" s="182"/>
      <c r="C15" s="188" t="s">
        <v>274</v>
      </c>
      <c r="D15" s="182"/>
      <c r="E15" s="182"/>
      <c r="F15" s="187" t="s">
        <v>223</v>
      </c>
      <c r="G15" s="513">
        <f>+'EXHIBIT C'!H13+'EXHIBIT C(2)'!E16</f>
        <v>367272</v>
      </c>
    </row>
    <row r="16" spans="1:8" ht="20.100000000000001" customHeight="1">
      <c r="A16" s="492" t="s">
        <v>194</v>
      </c>
      <c r="B16" s="182"/>
      <c r="C16" s="188" t="s">
        <v>275</v>
      </c>
      <c r="D16" s="182"/>
      <c r="E16" s="182"/>
      <c r="F16" s="187" t="s">
        <v>224</v>
      </c>
      <c r="G16" s="514">
        <f>+'EXHIBIT C'!H14+'EXHIBIT C(2)'!E17</f>
        <v>91660</v>
      </c>
    </row>
    <row r="17" spans="1:7" ht="20.100000000000001" customHeight="1">
      <c r="A17" s="492" t="s">
        <v>194</v>
      </c>
      <c r="B17" s="182"/>
      <c r="C17" s="175" t="s">
        <v>129</v>
      </c>
      <c r="D17" s="182"/>
      <c r="E17" s="182"/>
      <c r="F17" s="185">
        <v>40160</v>
      </c>
      <c r="G17" s="514">
        <f>+'EXHIBIT C'!H15+'EXHIBIT C(2)'!E18</f>
        <v>0</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6651616</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46744</v>
      </c>
    </row>
    <row r="22" spans="1:7" ht="20.100000000000001" customHeight="1">
      <c r="A22" s="492" t="s">
        <v>209</v>
      </c>
      <c r="B22" s="182"/>
      <c r="C22" s="175" t="s">
        <v>126</v>
      </c>
      <c r="D22" s="182"/>
      <c r="E22" s="182"/>
      <c r="F22" s="187" t="s">
        <v>228</v>
      </c>
      <c r="G22" s="191">
        <f>+'EXHIBIT C'!F20+'EXHIBIT C(2)'!E23</f>
        <v>866416</v>
      </c>
    </row>
    <row r="23" spans="1:7" ht="20.100000000000001" customHeight="1">
      <c r="A23" s="492" t="s">
        <v>209</v>
      </c>
      <c r="B23" s="182"/>
      <c r="C23" s="182" t="s">
        <v>127</v>
      </c>
      <c r="D23" s="182"/>
      <c r="E23" s="182"/>
      <c r="F23" s="187" t="s">
        <v>229</v>
      </c>
      <c r="G23" s="196">
        <f>+'EXHIBIT C'!F21+'EXHIBIT C(2)'!E24</f>
        <v>237584</v>
      </c>
    </row>
    <row r="24" spans="1:7" ht="20.100000000000001" customHeight="1">
      <c r="A24" s="492" t="s">
        <v>209</v>
      </c>
      <c r="B24" s="182"/>
      <c r="C24" s="188" t="s">
        <v>274</v>
      </c>
      <c r="D24" s="182"/>
      <c r="E24" s="182"/>
      <c r="F24" s="187" t="s">
        <v>230</v>
      </c>
      <c r="G24" s="196">
        <f>+'EXHIBIT C'!F22+'EXHIBIT C(2)'!E25</f>
        <v>49301</v>
      </c>
    </row>
    <row r="25" spans="1:7" ht="20.100000000000001" customHeight="1">
      <c r="A25" s="492" t="s">
        <v>209</v>
      </c>
      <c r="B25" s="182"/>
      <c r="C25" s="188" t="s">
        <v>275</v>
      </c>
      <c r="D25" s="182"/>
      <c r="E25" s="182"/>
      <c r="F25" s="187" t="s">
        <v>231</v>
      </c>
      <c r="G25" s="196">
        <f>+'EXHIBIT C'!F23+'EXHIBIT C(2)'!E26</f>
        <v>52034</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774</v>
      </c>
      <c r="D27" s="182"/>
      <c r="E27" s="182"/>
      <c r="F27" s="185" t="s">
        <v>775</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1252079</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7903695</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f>420287+10000</f>
        <v>430287</v>
      </c>
    </row>
    <row r="52" spans="1:7" ht="20.100000000000001" customHeight="1">
      <c r="A52" s="492" t="s">
        <v>295</v>
      </c>
      <c r="B52" s="182"/>
      <c r="C52" s="182"/>
      <c r="D52" s="182"/>
      <c r="E52" s="182"/>
      <c r="F52" s="185">
        <v>40450</v>
      </c>
      <c r="G52" s="442">
        <f>532319+10987</f>
        <v>543306</v>
      </c>
    </row>
    <row r="53" spans="1:7" ht="20.100000000000001" customHeight="1">
      <c r="A53" s="492" t="s">
        <v>296</v>
      </c>
      <c r="B53" s="182"/>
      <c r="C53" s="182"/>
      <c r="D53" s="182"/>
      <c r="E53" s="182"/>
      <c r="F53" s="187" t="s">
        <v>297</v>
      </c>
      <c r="G53" s="442">
        <v>33000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34431</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0</v>
      </c>
    </row>
    <row r="60" spans="1:7" ht="20.100000000000001" customHeight="1">
      <c r="A60" s="492" t="s">
        <v>310</v>
      </c>
      <c r="B60" s="182"/>
      <c r="C60" s="182"/>
      <c r="D60" s="182"/>
      <c r="E60" s="182"/>
      <c r="F60" s="187" t="s">
        <v>311</v>
      </c>
      <c r="G60" s="442">
        <v>342844</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9287563</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22103920.083340969</v>
      </c>
    </row>
    <row r="77" spans="1:7" ht="20.100000000000001" customHeight="1">
      <c r="A77" s="492" t="s">
        <v>695</v>
      </c>
      <c r="B77" s="182"/>
      <c r="C77" s="182"/>
      <c r="D77" s="182"/>
      <c r="E77" s="182"/>
      <c r="F77" s="185">
        <v>42130</v>
      </c>
      <c r="G77" s="516">
        <v>1680100</v>
      </c>
    </row>
    <row r="78" spans="1:7" ht="20.100000000000001" customHeight="1">
      <c r="A78" s="494" t="s">
        <v>328</v>
      </c>
      <c r="B78" s="495"/>
      <c r="C78" s="495"/>
      <c r="D78" s="495"/>
      <c r="E78" s="495"/>
      <c r="F78" s="201" t="s">
        <v>329</v>
      </c>
      <c r="G78" s="517">
        <v>281214</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v>400000</v>
      </c>
    </row>
    <row r="82" spans="1:10" ht="20.100000000000001" customHeight="1">
      <c r="A82" s="492" t="s">
        <v>335</v>
      </c>
      <c r="B82" s="182"/>
      <c r="C82" s="182"/>
      <c r="D82" s="182"/>
      <c r="E82" s="182"/>
      <c r="F82" s="187" t="s">
        <v>336</v>
      </c>
      <c r="G82" s="515">
        <f>'CHECK SHEET'!D86</f>
        <v>4970200.9166590301</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250000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29685435</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25000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200000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225000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4000</v>
      </c>
    </row>
    <row r="111" spans="1:7" ht="20.100000000000001" customHeight="1">
      <c r="A111" s="492" t="s">
        <v>362</v>
      </c>
      <c r="B111" s="182"/>
      <c r="C111" s="182"/>
      <c r="D111" s="182"/>
      <c r="E111" s="182"/>
      <c r="F111" s="187" t="s">
        <v>363</v>
      </c>
      <c r="G111" s="443">
        <v>100000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104000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231833</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131193</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363026</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6">
        <v>49200</v>
      </c>
      <c r="G134" s="443">
        <v>53807</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53807</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39718831</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1131744</v>
      </c>
    </row>
    <row r="148" spans="1:7" ht="20.100000000000001" customHeight="1">
      <c r="A148" s="492" t="s">
        <v>399</v>
      </c>
      <c r="F148" s="187" t="s">
        <v>400</v>
      </c>
      <c r="G148" s="447">
        <v>375656</v>
      </c>
    </row>
    <row r="149" spans="1:7" ht="20.100000000000001" customHeight="1">
      <c r="A149" s="492" t="s">
        <v>401</v>
      </c>
      <c r="F149" s="187" t="s">
        <v>402</v>
      </c>
      <c r="G149" s="447">
        <v>2069459</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88952+6742423+233201+574871+1314185</f>
        <v>8953632</v>
      </c>
    </row>
    <row r="153" spans="1:7" ht="20.100000000000001" customHeight="1">
      <c r="A153" s="492" t="s">
        <v>409</v>
      </c>
      <c r="B153" s="182"/>
      <c r="C153" s="182"/>
      <c r="D153" s="182"/>
      <c r="E153" s="182"/>
      <c r="F153" s="187" t="s">
        <v>410</v>
      </c>
      <c r="G153" s="447">
        <v>815205</v>
      </c>
    </row>
    <row r="154" spans="1:7" ht="20.100000000000001" customHeight="1">
      <c r="A154" s="492" t="s">
        <v>411</v>
      </c>
      <c r="B154" s="182"/>
      <c r="C154" s="182"/>
      <c r="D154" s="182"/>
      <c r="E154" s="182"/>
      <c r="F154" s="187" t="s">
        <v>412</v>
      </c>
      <c r="G154" s="447">
        <v>50202</v>
      </c>
    </row>
    <row r="155" spans="1:7" ht="20.100000000000001" customHeight="1">
      <c r="A155" s="492" t="s">
        <v>413</v>
      </c>
      <c r="B155" s="182"/>
      <c r="C155" s="182"/>
      <c r="D155" s="182"/>
      <c r="E155" s="182"/>
      <c r="F155" s="187" t="s">
        <v>414</v>
      </c>
      <c r="G155" s="447">
        <v>113261</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2697933</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3717792</v>
      </c>
    </row>
    <row r="168" spans="1:7" ht="20.100000000000001" customHeight="1">
      <c r="A168" s="492" t="s">
        <v>438</v>
      </c>
      <c r="B168" s="182"/>
      <c r="C168" s="182"/>
      <c r="D168" s="182"/>
      <c r="E168" s="182"/>
      <c r="F168" s="187" t="s">
        <v>439</v>
      </c>
      <c r="G168" s="447">
        <v>50000</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1765964</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12000</v>
      </c>
    </row>
    <row r="177" spans="1:7" ht="20.100000000000001" customHeight="1">
      <c r="A177" s="500" t="s">
        <v>453</v>
      </c>
      <c r="F177" s="205" t="s">
        <v>454</v>
      </c>
      <c r="G177" s="447">
        <v>0</v>
      </c>
    </row>
    <row r="178" spans="1:7" ht="20.100000000000001" customHeight="1">
      <c r="A178" s="492" t="s">
        <v>455</v>
      </c>
      <c r="B178" s="182"/>
      <c r="C178" s="182"/>
      <c r="D178" s="182"/>
      <c r="E178" s="182"/>
      <c r="F178" s="187" t="s">
        <v>456</v>
      </c>
      <c r="G178" s="447">
        <v>446397</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175000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f>1449068+286801</f>
        <v>1735869</v>
      </c>
    </row>
    <row r="186" spans="1:7" ht="20.100000000000001" customHeight="1">
      <c r="A186" s="492" t="s">
        <v>471</v>
      </c>
      <c r="B186" s="182"/>
      <c r="C186" s="182"/>
      <c r="D186" s="182"/>
      <c r="E186" s="182"/>
      <c r="F186" s="187" t="s">
        <v>472</v>
      </c>
      <c r="G186" s="447">
        <v>2483383</v>
      </c>
    </row>
    <row r="187" spans="1:7" ht="20.100000000000001" customHeight="1">
      <c r="A187" s="492" t="s">
        <v>473</v>
      </c>
      <c r="B187" s="182"/>
      <c r="C187" s="182"/>
      <c r="D187" s="182"/>
      <c r="E187" s="182"/>
      <c r="F187" s="187" t="s">
        <v>474</v>
      </c>
      <c r="G187" s="447">
        <v>100000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2535173</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100000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29328670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f>46961+172377+93144</f>
        <v>312482</v>
      </c>
    </row>
    <row r="200" spans="1:7" ht="20.100000000000001" customHeight="1">
      <c r="A200" s="492" t="s">
        <v>490</v>
      </c>
      <c r="B200" s="182"/>
      <c r="C200" s="182"/>
      <c r="D200" s="182"/>
      <c r="E200" s="182"/>
      <c r="F200" s="187" t="s">
        <v>491</v>
      </c>
      <c r="G200" s="447">
        <v>25305</v>
      </c>
    </row>
    <row r="201" spans="1:7" ht="20.100000000000001" customHeight="1">
      <c r="A201" s="492" t="s">
        <v>492</v>
      </c>
      <c r="B201" s="182"/>
      <c r="C201" s="182"/>
      <c r="D201" s="182"/>
      <c r="E201" s="182"/>
      <c r="F201" s="187" t="s">
        <v>493</v>
      </c>
      <c r="G201" s="447">
        <v>193888</v>
      </c>
    </row>
    <row r="202" spans="1:7" ht="20.100000000000001" customHeight="1">
      <c r="A202" s="492" t="s">
        <v>494</v>
      </c>
      <c r="B202" s="182"/>
      <c r="C202" s="182"/>
      <c r="D202" s="182"/>
      <c r="E202" s="182"/>
      <c r="F202" s="187" t="s">
        <v>495</v>
      </c>
      <c r="G202" s="447">
        <v>92084</v>
      </c>
    </row>
    <row r="203" spans="1:7" ht="20.100000000000001" customHeight="1">
      <c r="A203" s="492" t="s">
        <v>496</v>
      </c>
      <c r="B203" s="182"/>
      <c r="C203" s="182"/>
      <c r="D203" s="182"/>
      <c r="E203" s="182"/>
      <c r="F203" s="187" t="s">
        <v>497</v>
      </c>
      <c r="G203" s="447">
        <f>841547+8213</f>
        <v>849760</v>
      </c>
    </row>
    <row r="204" spans="1:7" ht="20.100000000000001" customHeight="1">
      <c r="A204" s="492" t="s">
        <v>498</v>
      </c>
      <c r="B204" s="182"/>
      <c r="C204" s="182"/>
      <c r="D204" s="182"/>
      <c r="E204" s="182"/>
      <c r="F204" s="187" t="s">
        <v>499</v>
      </c>
      <c r="G204" s="447">
        <v>185668</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f>1221085+26886</f>
        <v>1247971</v>
      </c>
    </row>
    <row r="207" spans="1:7" ht="20.100000000000001" customHeight="1">
      <c r="A207" s="492" t="s">
        <v>502</v>
      </c>
      <c r="B207" s="182"/>
      <c r="C207" s="182"/>
      <c r="D207" s="182"/>
      <c r="E207" s="182"/>
      <c r="F207" s="187" t="s">
        <v>503</v>
      </c>
      <c r="G207" s="447">
        <v>1966848</v>
      </c>
    </row>
    <row r="208" spans="1:7" ht="20.100000000000001" customHeight="1">
      <c r="A208" s="492" t="s">
        <v>504</v>
      </c>
      <c r="B208" s="182"/>
      <c r="C208" s="182"/>
      <c r="D208" s="182"/>
      <c r="E208" s="182"/>
      <c r="F208" s="187" t="s">
        <v>505</v>
      </c>
      <c r="G208" s="447">
        <v>1211744</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f>677718+146725</f>
        <v>824443</v>
      </c>
    </row>
    <row r="212" spans="1:7" ht="20.100000000000001" customHeight="1">
      <c r="A212" s="492" t="s">
        <v>511</v>
      </c>
      <c r="B212" s="182"/>
      <c r="C212" s="182"/>
      <c r="D212" s="182"/>
      <c r="E212" s="182"/>
      <c r="F212" s="187" t="s">
        <v>512</v>
      </c>
      <c r="G212" s="447">
        <f>291710+319621+41058+385066</f>
        <v>1037455</v>
      </c>
    </row>
    <row r="213" spans="1:7" ht="20.100000000000001" customHeight="1">
      <c r="A213" s="492" t="s">
        <v>513</v>
      </c>
      <c r="F213" s="205" t="s">
        <v>514</v>
      </c>
      <c r="G213" s="447">
        <f>734038+8271</f>
        <v>742309</v>
      </c>
    </row>
    <row r="214" spans="1:7" ht="20.100000000000001" customHeight="1">
      <c r="A214" s="492" t="s">
        <v>515</v>
      </c>
      <c r="B214" s="182"/>
      <c r="C214" s="182"/>
      <c r="D214" s="182"/>
      <c r="E214" s="182"/>
      <c r="F214" s="187" t="s">
        <v>516</v>
      </c>
      <c r="G214" s="447">
        <v>275</v>
      </c>
    </row>
    <row r="215" spans="1:7" ht="20.100000000000001" customHeight="1">
      <c r="A215" s="492" t="s">
        <v>517</v>
      </c>
      <c r="B215" s="182"/>
      <c r="C215" s="182"/>
      <c r="D215" s="182"/>
      <c r="E215" s="182"/>
      <c r="F215" s="187" t="s">
        <v>518</v>
      </c>
      <c r="G215" s="447">
        <f>656022+12455+8500</f>
        <v>676977</v>
      </c>
    </row>
    <row r="216" spans="1:7" ht="20.100000000000001" customHeight="1">
      <c r="A216" s="492" t="s">
        <v>519</v>
      </c>
      <c r="B216" s="182"/>
      <c r="C216" s="182"/>
      <c r="D216" s="182"/>
      <c r="E216" s="182"/>
      <c r="F216" s="187" t="s">
        <v>520</v>
      </c>
      <c r="G216" s="447">
        <v>167602</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0</v>
      </c>
    </row>
    <row r="224" spans="1:7" ht="20.100000000000001" customHeight="1">
      <c r="A224" s="503" t="s">
        <v>699</v>
      </c>
      <c r="B224" s="212"/>
      <c r="C224" s="212"/>
      <c r="D224" s="213"/>
      <c r="E224" s="212"/>
      <c r="F224" s="1096">
        <v>69200</v>
      </c>
      <c r="G224" s="447">
        <v>0</v>
      </c>
    </row>
    <row r="225" spans="1:9" ht="20.100000000000001" customHeight="1">
      <c r="A225" s="492" t="s">
        <v>533</v>
      </c>
      <c r="B225" s="182"/>
      <c r="C225" s="182"/>
      <c r="D225" s="182"/>
      <c r="E225" s="182"/>
      <c r="F225" s="187" t="s">
        <v>534</v>
      </c>
      <c r="G225" s="447">
        <v>15000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382325</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9932136</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2500</v>
      </c>
    </row>
    <row r="234" spans="1:9" ht="20.100000000000001" customHeight="1">
      <c r="A234" s="492" t="s">
        <v>542</v>
      </c>
      <c r="B234" s="182"/>
      <c r="C234" s="182"/>
      <c r="D234" s="182"/>
      <c r="E234" s="182"/>
      <c r="F234" s="187" t="s">
        <v>543</v>
      </c>
      <c r="G234" s="447">
        <f>30500+30000</f>
        <v>60500</v>
      </c>
    </row>
    <row r="235" spans="1:9" ht="20.100000000000001" customHeight="1">
      <c r="A235" s="492" t="s">
        <v>544</v>
      </c>
      <c r="B235" s="182"/>
      <c r="C235" s="182"/>
      <c r="D235" s="182"/>
      <c r="E235" s="182"/>
      <c r="F235" s="187" t="s">
        <v>545</v>
      </c>
      <c r="G235" s="447">
        <v>270025</v>
      </c>
    </row>
    <row r="236" spans="1:9" ht="20.100000000000001" customHeight="1">
      <c r="A236" s="492" t="s">
        <v>546</v>
      </c>
      <c r="B236" s="182"/>
      <c r="C236" s="182"/>
      <c r="D236" s="182"/>
      <c r="E236" s="182"/>
      <c r="F236" s="1052" t="s">
        <v>547</v>
      </c>
      <c r="G236" s="447">
        <v>0</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25000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100000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458025</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39718831</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100000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2145000</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2245000</v>
      </c>
    </row>
    <row r="264" spans="1:12" ht="20.100000000000001" customHeight="1">
      <c r="A264" s="493"/>
      <c r="B264" s="182"/>
      <c r="C264" s="182"/>
      <c r="D264" s="182"/>
      <c r="E264" s="182"/>
      <c r="F264" s="199"/>
      <c r="G264" s="215"/>
    </row>
    <row r="265" spans="1:12" ht="20.100000000000001" customHeight="1" thickBot="1">
      <c r="A265" s="504" t="s">
        <v>772</v>
      </c>
      <c r="F265" s="205">
        <v>30800</v>
      </c>
      <c r="G265" s="448">
        <v>-1208392</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1036608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Uy3ilDdOioiPOXw+KEffZbTxQ96/19iSvUNNUfbr4NCjGDWk8TBUviR8n7iI5H7tQwZfeeh+3yUZRmzh8np9EQ==" saltValue="FdZXYEGv2fhGXdaNbPX8A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purl.org/dc/elements/1.1/"/>
    <ds:schemaRef ds:uri="http://schemas.microsoft.com/office/infopath/2007/PartnerControls"/>
    <ds:schemaRef ds:uri="http://purl.org/dc/dcmitype/"/>
    <ds:schemaRef ds:uri="http://www.w3.org/XML/1998/namespace"/>
    <ds:schemaRef ds:uri="http://schemas.openxmlformats.org/package/2006/metadata/core-properties"/>
    <ds:schemaRef ds:uri="ee822479-6e51-4d14-b6b0-2c589e913e6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67</vt:i4>
      </vt:variant>
    </vt:vector>
  </HeadingPairs>
  <TitlesOfParts>
    <vt:vector size="81"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vt:lpstr>
      <vt:lpstr>GLCode_G</vt:lpstr>
      <vt:lpstr>PERSONNEL____GLC_500S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2024-06-27T00:28:28Z</cp:lastPrinted>
  <dcterms:created xsi:type="dcterms:W3CDTF">2005-03-22T15:46:43Z</dcterms:created>
  <dcterms:modified xsi:type="dcterms:W3CDTF">2024-08-19T19:34:58Z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