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Florida Southwestern\"/>
    </mc:Choice>
  </mc:AlternateContent>
  <xr:revisionPtr revIDLastSave="0" documentId="8_{094AB6C6-7651-43D2-AC6C-7B60D4FD54D2}"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1" i="7" l="1"/>
  <c r="D49" i="15" l="1"/>
  <c r="D48" i="15"/>
  <c r="D35" i="15"/>
  <c r="D16" i="15"/>
  <c r="D54" i="15"/>
  <c r="D52" i="15"/>
  <c r="D15" i="15"/>
  <c r="D11" i="15"/>
  <c r="C14" i="8"/>
  <c r="B14" i="8"/>
  <c r="G235" i="7" l="1"/>
  <c r="G186" i="7" l="1"/>
  <c r="G185" i="7"/>
  <c r="G152" i="7"/>
  <c r="G189" i="7"/>
  <c r="G112" i="7"/>
  <c r="G126" i="7"/>
  <c r="G60" i="7"/>
  <c r="G59" i="7"/>
  <c r="G57" i="7"/>
  <c r="G53" i="7"/>
  <c r="G49" i="7"/>
  <c r="E30" i="12" l="1"/>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AG109" i="23" l="1"/>
  <c r="AB109" i="23" s="1"/>
  <c r="Z109" i="23" s="1"/>
  <c r="G10" i="6" l="1"/>
  <c r="D10" i="6" s="1"/>
  <c r="G11" i="6"/>
  <c r="D11" i="6" s="1"/>
  <c r="G12" i="6"/>
  <c r="D12" i="6" s="1"/>
  <c r="G13" i="6"/>
  <c r="G14" i="6"/>
  <c r="D14" i="6" s="1"/>
  <c r="G15" i="6"/>
  <c r="F33" i="6"/>
  <c r="G33" i="6"/>
  <c r="F34" i="6"/>
  <c r="G34" i="6"/>
  <c r="F35" i="6"/>
  <c r="G35" i="6"/>
  <c r="F36" i="6"/>
  <c r="G36" i="6"/>
  <c r="E19" i="6"/>
  <c r="E20" i="6"/>
  <c r="E21" i="6"/>
  <c r="E22" i="6"/>
  <c r="E23" i="6"/>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s="1"/>
  <c r="G195" i="7"/>
  <c r="D21" i="8"/>
  <c r="C95" i="12"/>
  <c r="B31" i="5"/>
  <c r="H31" i="5" s="1"/>
  <c r="I31" i="5" s="1"/>
  <c r="B30" i="5"/>
  <c r="G16" i="5"/>
  <c r="H16" i="5" s="1"/>
  <c r="G15" i="5"/>
  <c r="H15" i="5" s="1"/>
  <c r="D96" i="8"/>
  <c r="C96" i="8"/>
  <c r="B70" i="6"/>
  <c r="C75" i="3" s="1"/>
  <c r="E64" i="3"/>
  <c r="B21" i="8"/>
  <c r="C21" i="8"/>
  <c r="E10" i="8"/>
  <c r="E12" i="8"/>
  <c r="E16" i="8"/>
  <c r="E17" i="8"/>
  <c r="E18" i="8"/>
  <c r="E19" i="8"/>
  <c r="E20" i="8"/>
  <c r="E36" i="4"/>
  <c r="C109" i="3" s="1"/>
  <c r="D33" i="4"/>
  <c r="B61" i="6"/>
  <c r="C78" i="3" s="1"/>
  <c r="E16" i="4"/>
  <c r="G263" i="7"/>
  <c r="G267" i="7" s="1"/>
  <c r="C102" i="3" s="1"/>
  <c r="E67" i="22"/>
  <c r="E14" i="8"/>
  <c r="G229" i="7"/>
  <c r="X137" i="23"/>
  <c r="H36" i="6"/>
  <c r="G34" i="7" s="1"/>
  <c r="F12" i="6"/>
  <c r="F11" i="6"/>
  <c r="E45" i="3" s="1"/>
  <c r="F14" i="6"/>
  <c r="F15" i="6"/>
  <c r="E49" i="3" s="1"/>
  <c r="F10" i="6"/>
  <c r="E44" i="3" s="1"/>
  <c r="H11" i="6" l="1"/>
  <c r="G13" i="7" s="1"/>
  <c r="E62" i="22"/>
  <c r="E60" i="22"/>
  <c r="E70" i="22"/>
  <c r="H34" i="6"/>
  <c r="G32" i="7" s="1"/>
  <c r="D23" i="6"/>
  <c r="E63" i="3" s="1"/>
  <c r="D22" i="6"/>
  <c r="E62" i="3" s="1"/>
  <c r="D21" i="6"/>
  <c r="E61" i="3" s="1"/>
  <c r="D20" i="6"/>
  <c r="E60" i="3" s="1"/>
  <c r="D13" i="6"/>
  <c r="D19" i="6"/>
  <c r="F19" i="6" s="1"/>
  <c r="C93" i="3"/>
  <c r="H30" i="5"/>
  <c r="I30" i="5" s="1"/>
  <c r="H36" i="5"/>
  <c r="I36" i="5" s="1"/>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B71" i="6"/>
  <c r="E21" i="8"/>
  <c r="C77" i="3"/>
  <c r="G76" i="7"/>
  <c r="G86" i="7" s="1"/>
  <c r="D88" i="3"/>
  <c r="F111" i="15"/>
  <c r="G249" i="7"/>
  <c r="C94" i="3"/>
  <c r="C103" i="3"/>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D49" i="3"/>
  <c r="F49" i="3" s="1"/>
  <c r="G49" i="3" s="1"/>
  <c r="F83" i="23"/>
  <c r="F91" i="23"/>
  <c r="D47" i="3"/>
  <c r="D46" i="3"/>
  <c r="F46" i="3" s="1"/>
  <c r="G46" i="3" s="1"/>
  <c r="F86" i="3"/>
  <c r="D35" i="23"/>
  <c r="F48" i="3" l="1"/>
  <c r="G48" i="3" s="1"/>
  <c r="D119" i="15"/>
  <c r="C121" i="3" s="1"/>
  <c r="G21" i="7"/>
  <c r="D27" i="6"/>
  <c r="E59" i="3"/>
  <c r="E65" i="3" s="1"/>
  <c r="F13" i="6"/>
  <c r="D17" i="6"/>
  <c r="F20" i="6"/>
  <c r="G22" i="7" s="1"/>
  <c r="F21" i="6"/>
  <c r="G23" i="7" s="1"/>
  <c r="F22" i="6"/>
  <c r="G24" i="7" s="1"/>
  <c r="G36" i="7"/>
  <c r="F62" i="3"/>
  <c r="G62" i="3" s="1"/>
  <c r="F23" i="6"/>
  <c r="G25" i="7" s="1"/>
  <c r="H37" i="6"/>
  <c r="H45" i="6" s="1"/>
  <c r="G38" i="7"/>
  <c r="G43" i="7" s="1"/>
  <c r="E25" i="4"/>
  <c r="E28" i="4" s="1"/>
  <c r="D68" i="22"/>
  <c r="D69" i="22"/>
  <c r="D70" i="22"/>
  <c r="G12" i="7"/>
  <c r="D118" i="15"/>
  <c r="D129" i="15" s="1"/>
  <c r="D131" i="15" s="1"/>
  <c r="E84" i="3"/>
  <c r="E88" i="3" s="1"/>
  <c r="F113" i="15"/>
  <c r="C96" i="3"/>
  <c r="C129" i="3"/>
  <c r="D50" i="3"/>
  <c r="AO109" i="23"/>
  <c r="AO112" i="23" s="1"/>
  <c r="AO115" i="23" s="1"/>
  <c r="AO116" i="23" s="1"/>
  <c r="AO118" i="23" s="1"/>
  <c r="D65" i="3"/>
  <c r="F65" i="3" s="1"/>
  <c r="G65" i="3" s="1"/>
  <c r="T137" i="23"/>
  <c r="F59" i="3"/>
  <c r="G59" i="3" s="1"/>
  <c r="F44" i="3"/>
  <c r="G44" i="3" s="1"/>
  <c r="F67" i="23"/>
  <c r="E95" i="23"/>
  <c r="F95" i="23" s="1"/>
  <c r="D95" i="23"/>
  <c r="F60" i="3"/>
  <c r="G60" i="3" s="1"/>
  <c r="F119" i="15" l="1"/>
  <c r="E47" i="3"/>
  <c r="F47" i="3" s="1"/>
  <c r="G47" i="3" s="1"/>
  <c r="F17" i="6"/>
  <c r="E50" i="3" s="1"/>
  <c r="F50" i="3" s="1"/>
  <c r="G50" i="3" s="1"/>
  <c r="H13" i="6"/>
  <c r="F27" i="6"/>
  <c r="G29" i="7"/>
  <c r="C126" i="3"/>
  <c r="F118" i="15"/>
  <c r="F129" i="15" s="1"/>
  <c r="C119" i="3"/>
  <c r="F84" i="3"/>
  <c r="F88" i="3" s="1"/>
  <c r="G15" i="7" l="1"/>
  <c r="G19" i="7" s="1"/>
  <c r="G45" i="7" s="1"/>
  <c r="G64" i="7" s="1"/>
  <c r="G143" i="7" s="1"/>
  <c r="E18" i="4" s="1"/>
  <c r="E21" i="4" s="1"/>
  <c r="E23" i="4" s="1"/>
  <c r="E44" i="4" s="1"/>
  <c r="C17" i="3" s="1"/>
  <c r="H17" i="6"/>
  <c r="H28" i="6" s="1"/>
  <c r="H47" i="6" s="1"/>
  <c r="F131" i="15"/>
  <c r="C135" i="3"/>
  <c r="C34" i="3"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<sst xmlns="http://schemas.openxmlformats.org/spreadsheetml/2006/main" count="1303" uniqueCount="787">
  <si>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</si>
  <si>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</si>
  <si>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</si>
  <si>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</si>
  <si>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</si>
  <si>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</si>
  <si>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</si>
  <si>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</si>
  <si>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</si>
  <si>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</si>
  <si>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</si>
  <si>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</si>
  <si>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</si>
  <si>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</si>
  <si>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</si>
  <si>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</si>
  <si>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</si>
  <si>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</si>
  <si>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</si>
  <si>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</si>
  <si>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</si>
  <si>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</si>
  <si>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</si>
  <si>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</si>
  <si>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</si>
  <si>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</si>
  <si>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</si>
  <si>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</si>
  <si>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</si>
  <si>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</si>
  <si>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</si>
  <si>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</si>
  <si>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</si>
  <si>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</si>
  <si>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</si>
  <si>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</si>
  <si>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</si>
  <si>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</si>
  <si>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</si>
  <si>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</si>
  <si>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</si>
  <si>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</si>
  <si>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</si>
  <si>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</si>
  <si>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</si>
  <si>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</si>
  <si>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</si>
  <si>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</si>
  <si>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</si>
  <si>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</si>
  <si>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</si>
  <si>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</si>
  <si>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</si>
  <si>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</si>
  <si>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</si>
  <si>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</si>
  <si>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</si>
  <si>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</si>
  <si>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</si>
  <si>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</si>
  <si>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</si>
  <si>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</si>
  <si>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</si>
  <si>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</si>
  <si>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</si>
  <si>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</si>
  <si>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</si>
  <si>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</si>
  <si>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</si>
  <si>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</si>
  <si>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</si>
  <si>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</si>
  <si>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</si>
  <si>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</si>
  <si>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</si>
  <si>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</si>
  <si>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</si>
  <si>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</si>
  <si>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</si>
  <si>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</si>
  <si>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</si>
  <si>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</si>
  <si>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</si>
  <si>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</si>
  <si>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</si>
  <si>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</si>
  <si>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</si>
  <si>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</si>
  <si>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</si>
  <si>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</si>
  <si>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</si>
  <si>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</si>
  <si>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</si>
  <si>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</si>
  <si>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</si>
  <si>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</si>
  <si>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</si>
  <si>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</si>
  <si>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</si>
  <si>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</si>
  <si>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</si>
  <si>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</si>
  <si>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</si>
  <si>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</si>
  <si>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</si>
  <si>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</si>
  <si>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</si>
  <si>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</si>
  <si>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</si>
  <si>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</si>
  <si>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</si>
  <si>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</si>
  <si>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</si>
  <si>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</si>
  <si>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</si>
  <si>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</si>
  <si>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</si>
  <si>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</si>
  <si>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</si>
  <si>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</si>
  <si>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</si>
  <si>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</si>
  <si>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</si>
  <si>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</si>
  <si>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</si>
  <si>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</si>
  <si>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</si>
  <si>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</si>
  <si>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</si>
  <si>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</si>
  <si>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</si>
  <si>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</si>
  <si>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</si>
  <si>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</si>
  <si>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</si>
  <si>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</si>
  <si>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</si>
  <si>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</si>
  <si>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</si>
  <si>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</si>
  <si>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</si>
  <si>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</si>
  <si>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</si>
  <si>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</si>
  <si>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</si>
  <si>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</si>
  <si>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</si>
  <si>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</si>
  <si>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</si>
  <si>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</si>
  <si>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</si>
  <si>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</si>
  <si>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</si>
  <si>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</si>
  <si>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</si>
  <si>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</si>
  <si>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</si>
  <si>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</si>
  <si>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</si>
  <si>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</si>
  <si>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</si>
  <si>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</si>
  <si>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</si>
  <si>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</si>
  <si>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</si>
  <si>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</si>
  <si>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</si>
  <si>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</si>
  <si>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</si>
  <si>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</si>
  <si>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</si>
  <si>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</si>
  <si>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</si>
  <si>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</si>
  <si>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</si>
  <si>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</si>
  <si>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</si>
  <si>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</si>
  <si>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</si>
  <si>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</si>
  <si>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</si>
  <si>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</si>
  <si>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</si>
  <si>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</si>
  <si>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</si>
  <si>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</si>
  <si>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</si>
  <si>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</si>
  <si>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</si>
  <si>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</si>
  <si>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</si>
  <si>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</si>
  <si>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</si>
  <si>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</si>
  <si>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</si>
  <si>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</si>
  <si>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</si>
  <si>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</si>
  <si>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</si>
  <si>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</si>
  <si>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</si>
  <si>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</si>
  <si>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</si>
  <si>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</si>
  <si>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</si>
  <si>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</si>
  <si>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</si>
  <si>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</si>
  <si>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</si>
  <si>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</si>
  <si>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</si>
  <si>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</si>
  <si>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</si>
  <si>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</si>
  <si>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</si>
  <si>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</si>
  <si>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</si>
  <si>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</si>
  <si>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</si>
  <si>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</si>
  <si>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</si>
  <si>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</si>
  <si>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</si>
  <si>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</si>
  <si>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</si>
  <si>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</si>
  <si>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</si>
  <si>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</si>
  <si>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</si>
  <si>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</si>
  <si>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</si>
  <si>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</si>
  <si>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</si>
  <si>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</si>
  <si>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</si>
  <si>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</si>
  <si>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</si>
  <si>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</si>
  <si>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</si>
  <si>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</si>
  <si>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</si>
  <si>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</si>
  <si>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</si>
  <si>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</si>
  <si>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</si>
  <si>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</si>
  <si>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</si>
  <si>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</si>
  <si>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</si>
  <si>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</si>
  <si>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</si>
  <si>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</si>
  <si>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</si>
  <si>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</si>
  <si>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</si>
  <si>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</si>
  <si>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</si>
  <si>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</si>
  <si>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</si>
  <si>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</si>
  <si>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</si>
  <si>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</si>
  <si>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</si>
  <si>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</si>
  <si>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</si>
  <si>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</si>
  <si>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</si>
  <si>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</si>
  <si>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</si>
  <si>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</si>
  <si>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</si>
  <si>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</si>
  <si>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</si>
  <si>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</si>
  <si>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</si>
  <si>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</si>
  <si>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</si>
  <si>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</si>
  <si>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</si>
  <si>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</si>
  <si>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</si>
  <si>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</si>
  <si>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</si>
  <si>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</si>
  <si>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</si>
  <si>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</si>
  <si>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</si>
  <si>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</si>
  <si>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</si>
  <si>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</si>
  <si>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</si>
  <si>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</si>
  <si>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</si>
  <si>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</si>
  <si>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</si>
  <si>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</si>
  <si>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</si>
  <si>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</si>
  <si>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</si>
  <si>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</si>
  <si>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</si>
  <si>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</si>
  <si>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</si>
  <si>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</si>
  <si>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</si>
  <si>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</si>
  <si>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</si>
  <si>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</si>
  <si>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</si>
  <si>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</si>
  <si>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</si>
  <si>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</si>
  <si>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</si>
  <si>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</si>
  <si>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</si>
  <si>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</si>
  <si>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</si>
  <si>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</si>
  <si>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</si>
  <si>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</si>
  <si>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</si>
  <si>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</si>
  <si>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</si>
  <si>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</si>
  <si>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</si>
  <si>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</si>
  <si>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</si>
  <si>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</si>
  <si>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</si>
  <si>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</si>
  <si>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</si>
  <si>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</si>
  <si>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</si>
  <si>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</si>
  <si>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</si>
  <si>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</si>
  <si>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</si>
  <si>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</si>
  <si>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</si>
  <si>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</si>
  <si>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</si>
  <si>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</si>
  <si>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</si>
  <si>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</si>
  <si>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</si>
  <si>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</si>
  <si>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</si>
  <si>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</si>
  <si>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</si>
  <si>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</si>
  <si>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</si>
  <si>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</si>
  <si>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</si>
  <si>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</si>
  <si>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</si>
  <si>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</si>
  <si>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</si>
  <si>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</si>
  <si>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</si>
  <si>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</si>
  <si>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</si>
  <si>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</si>
  <si>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</si>
  <si>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</si>
  <si>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</si>
  <si>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</si>
  <si>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</si>
  <si>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</si>
  <si>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</si>
  <si>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</si>
  <si>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</si>
  <si>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</si>
  <si>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</si>
  <si>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</si>
  <si>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</si>
  <si>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</si>
  <si>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</si>
  <si>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</si>
  <si>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</si>
  <si>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</si>
  <si>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</si>
  <si>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</si>
  <si>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</si>
  <si>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</si>
  <si>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</si>
  <si>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</si>
  <si>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</si>
  <si>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</si>
  <si>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</si>
  <si>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</si>
  <si>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</si>
  <si>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</si>
  <si>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</si>
  <si>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</si>
  <si>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</si>
  <si>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</si>
  <si>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</si>
  <si>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</si>
  <si>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</si>
  <si>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</si>
  <si>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</si>
  <si>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</si>
  <si>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</si>
  <si>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</si>
  <si>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</si>
  <si>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</si>
  <si>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</si>
  <si>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</si>
  <si>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</si>
  <si>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</si>
  <si>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</si>
  <si>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</si>
  <si>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</si>
  <si>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</si>
  <si>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</si>
  <si>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</si>
  <si>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</si>
  <si>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</si>
  <si>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</si>
  <si>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</si>
  <si>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</si>
  <si>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</si>
  <si>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</si>
  <si>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</si>
  <si>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</si>
  <si>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</si>
  <si>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</si>
  <si>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</si>
  <si>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</si>
  <si>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</si>
  <si>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</si>
  <si>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</si>
  <si>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</si>
  <si>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</si>
  <si>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</si>
  <si>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</si>
  <si>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</si>
  <si>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</si>
  <si>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</si>
  <si>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</si>
  <si>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</si>
  <si>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</si>
  <si>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</si>
  <si>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</si>
  <si>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</si>
  <si>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</si>
  <si>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</si>
  <si>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</si>
  <si>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</si>
  <si>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</si>
  <si>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</si>
  <si>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</si>
  <si>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</si>
  <si>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</si>
  <si>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</si>
  <si>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</si>
  <si>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</si>
  <si>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</si>
  <si>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</si>
  <si>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</si>
  <si>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</si>
  <si>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</si>
  <si>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</si>
  <si>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</si>
  <si>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</si>
  <si>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</si>
  <si>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</si>
  <si>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</si>
  <si>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</si>
  <si>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</si>
  <si>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</si>
  <si>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</si>
  <si>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</si>
  <si>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</si>
  <si>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</si>
  <si>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</si>
  <si>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</si>
  <si>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</si>
  <si>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</si>
  <si>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</si>
  <si>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</si>
  <si>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</si>
  <si>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</si>
  <si>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</si>
  <si>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</si>
  <si>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</si>
  <si>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</si>
  <si>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</si>
  <si>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</si>
  <si>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</si>
  <si>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</si>
  <si>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</si>
  <si>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</si>
  <si>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</si>
  <si>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</si>
  <si>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</si>
  <si>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</si>
  <si>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</si>
  <si>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</si>
  <si>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</si>
  <si>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</si>
  <si>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</si>
  <si>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</si>
  <si>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</si>
  <si>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</si>
  <si>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</si>
  <si>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</si>
  <si>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</si>
  <si>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</si>
  <si>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</si>
  <si>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</si>
  <si>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</si>
  <si>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</si>
  <si>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</si>
  <si>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</si>
  <si>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</si>
  <si>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</si>
  <si>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</si>
  <si>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</si>
  <si>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</si>
  <si>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</si>
  <si>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</si>
  <si>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</si>
  <si>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</si>
  <si>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</si>
  <si>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</si>
  <si>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</si>
  <si>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</si>
  <si>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</si>
  <si>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</si>
  <si>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</si>
  <si>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</si>
  <si>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</si>
  <si>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</si>
  <si>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</si>
  <si>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</si>
  <si>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</si>
  <si>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</si>
  <si>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</si>
  <si>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</si>
  <si>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</si>
  <si>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</si>
  <si>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</si>
  <si>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</si>
  <si>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</si>
  <si>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</si>
  <si>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</si>
  <si>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</si>
  <si>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</si>
  <si>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</si>
  <si>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</si>
  <si>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</si>
  <si>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</si>
  <si>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</si>
  <si>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</si>
  <si>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</si>
  <si>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</si>
  <si>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</si>
  <si>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</si>
  <si>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</si>
  <si>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</si>
  <si>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</si>
  <si>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</si>
  <si>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</si>
  <si>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</si>
  <si>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</si>
  <si>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</si>
  <si>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</si>
  <si>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</si>
  <si>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</si>
  <si>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</si>
  <si>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</si>
  <si>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</si>
  <si>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</si>
  <si>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</si>
  <si>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</si>
  <si>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</si>
  <si>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</si>
  <si>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</si>
  <si>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</si>
  <si>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</si>
  <si>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</si>
  <si>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</si>
  <si>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</si>
  <si>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</si>
  <si>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</si>
  <si>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</si>
  <si>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</si>
  <si>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</si>
  <si>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</si>
  <si>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</si>
  <si>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</si>
  <si>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</si>
  <si>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</si>
  <si>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</si>
  <si>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</si>
  <si>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</si>
  <si>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</si>
  <si>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</si>
  <si>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</si>
  <si>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</si>
  <si>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</si>
  <si>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</si>
  <si>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</si>
  <si>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</si>
  <si>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</si>
  <si>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</si>
  <si>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</si>
  <si>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</si>
  <si>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</si>
  <si>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</si>
  <si>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</si>
  <si>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</si>
  <si>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</si>
  <si>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</si>
  <si>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</si>
  <si>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</si>
  <si>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</si>
  <si>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</si>
  <si>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</si>
  <si>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</si>
  <si>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</si>
  <si>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</si>
  <si>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</si>
  <si>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</si>
  <si>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</si>
  <si>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</si>
  <si>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</si>
  <si>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</si>
  <si>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</si>
  <si>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</si>
  <si>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</si>
  <si>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</si>
  <si>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</si>
  <si>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</si>
  <si>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</si>
  <si>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</si>
  <si>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</si>
  <si>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</si>
  <si>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</si>
  <si>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</si>
  <si>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</si>
  <si>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</si>
  <si>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</si>
  <si>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</si>
  <si>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</si>
  <si>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</si>
  <si>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</si>
  <si>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</si>
  <si>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</si>
  <si>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</si>
  <si>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</si>
  <si>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</si>
  <si>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</si>
  <si>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</si>
  <si>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</si>
  <si>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</si>
  <si>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</si>
  <si>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</si>
  <si>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</si>
  <si>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</si>
  <si>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</si>
  <si>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</si>
  <si>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</si>
  <si>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</si>
  <si>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</si>
  <si>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</si>
  <si>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</si>
  <si>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</si>
  <si>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</si>
  <si>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</si>
  <si>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</si>
  <si>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</si>
  <si>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</si>
  <si>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</si>
  <si>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</si>
  <si>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</si>
  <si>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</si>
  <si>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</si>
  <si>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</si>
  <si>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</si>
  <si>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</si>
  <si>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</si>
  <si>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</si>
  <si>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</si>
  <si>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</si>
  <si>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</si>
  <si>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</si>
  <si>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</si>
  <si>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</si>
  <si>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</si>
  <si>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</si>
  <si>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</si>
  <si>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</si>
  <si>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</si>
  <si>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</si>
  <si>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</si>
  <si>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</si>
  <si>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</si>
  <si>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</si>
  <si>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</si>
  <si>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</si>
  <si>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</si>
  <si>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</si>
  <si>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</si>
  <si>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</si>
  <si>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</si>
  <si>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</si>
  <si>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</si>
  <si>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</si>
  <si>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</si>
  <si>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</si>
  <si>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</si>
  <si>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</si>
  <si>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</si>
  <si>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</si>
  <si>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</si>
  <si>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</si>
  <si>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</si>
  <si>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</si>
  <si>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</si>
  <si>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</si>
  <si>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</si>
  <si>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</si>
  <si>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</si>
  <si>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</si>
  <si>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</si>
  <si>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</si>
  <si>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</si>
  <si>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</si>
  <si>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</si>
  <si>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</si>
  <si>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</si>
  <si>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</si>
  <si>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</si>
  <si>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</si>
  <si>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</si>
  <si>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</si>
  <si>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</si>
  <si>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</si>
  <si>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</si>
  <si>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</si>
  <si>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</si>
  <si>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</si>
  <si>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</si>
  <si>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</si>
  <si>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</si>
  <si>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</si>
  <si>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</si>
  <si>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</si>
  <si>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</si>
  <si>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</si>
  <si>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</si>
  <si>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</si>
  <si>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</si>
  <si>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</si>
  <si>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</si>
  <si>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</si>
  <si>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</si>
  <si>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</si>
  <si>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</si>
  <si>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</si>
  <si>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</si>
  <si>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</si>
  <si>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</si>
  <si>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</si>
  <si>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</si>
  <si>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</si>
  <si>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</si>
  <si>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</si>
  <si>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</si>
  <si>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</si>
  <si>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</si>
  <si>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</si>
  <si>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</si>
  <si>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</si>
  <si>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</si>
  <si>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</si>
  <si>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</si>
  <si>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</si>
  <si>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</si>
  <si>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</si>
  <si>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</si>
  <si>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</si>
  <si>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Auxiliary Funds</t>
  </si>
  <si>
    <t>PR Funds</t>
  </si>
  <si>
    <t>The college bases its budget projections on past revenue and enrollment trends and not necessarily credit hours/FTE 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</si>
</sst>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Florida SouthWestern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32652781</v>
      </c>
      <c r="C10" s="450">
        <v>6614453</v>
      </c>
      <c r="D10" s="450">
        <v>808500</v>
      </c>
      <c r="E10" s="369">
        <f>SUM(B10:D10)</f>
        <v>40075734</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8610741-B15</f>
        <v>8256810</v>
      </c>
      <c r="C14" s="452">
        <f>1067810-C15</f>
        <v>825055</v>
      </c>
      <c r="D14" s="452">
        <v>0</v>
      </c>
      <c r="E14" s="370">
        <f t="shared" ref="E14:E20" si="0">SUM(B14:D14)</f>
        <v>9081865</v>
      </c>
      <c r="F14" s="352"/>
    </row>
    <row r="15" spans="1:8" s="17" customFormat="1" ht="20.100000000000001" customHeight="1">
      <c r="A15" s="368" t="s">
        <v>585</v>
      </c>
      <c r="B15" s="451">
        <v>353931</v>
      </c>
      <c r="C15" s="440">
        <v>242755</v>
      </c>
      <c r="D15" s="440">
        <v>0</v>
      </c>
      <c r="E15" s="370">
        <f>SUM(B15:D15)</f>
        <v>596686</v>
      </c>
      <c r="F15" s="352"/>
    </row>
    <row r="16" spans="1:8" s="17" customFormat="1" ht="20.100000000000001" customHeight="1">
      <c r="A16" s="368" t="s">
        <v>586</v>
      </c>
      <c r="B16" s="451">
        <v>10639528</v>
      </c>
      <c r="C16" s="440">
        <v>4686540</v>
      </c>
      <c r="D16" s="440">
        <v>0</v>
      </c>
      <c r="E16" s="370">
        <f t="shared" si="0"/>
        <v>15326068</v>
      </c>
      <c r="F16" s="352"/>
    </row>
    <row r="17" spans="1:6" s="17" customFormat="1" ht="20.100000000000001" customHeight="1">
      <c r="A17" s="368" t="s">
        <v>587</v>
      </c>
      <c r="B17" s="451">
        <v>12052466</v>
      </c>
      <c r="C17" s="440">
        <v>5598756</v>
      </c>
      <c r="D17" s="440">
        <v>0</v>
      </c>
      <c r="E17" s="370">
        <f t="shared" si="0"/>
        <v>17651222</v>
      </c>
      <c r="F17" s="352"/>
    </row>
    <row r="18" spans="1:6" s="17" customFormat="1" ht="20.100000000000001" customHeight="1">
      <c r="A18" s="368" t="s">
        <v>588</v>
      </c>
      <c r="B18" s="451">
        <v>5102369</v>
      </c>
      <c r="C18" s="440">
        <v>6649707</v>
      </c>
      <c r="D18" s="440">
        <v>0</v>
      </c>
      <c r="E18" s="370">
        <f t="shared" si="0"/>
        <v>11752076</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2150000</v>
      </c>
      <c r="D20" s="441">
        <v>0</v>
      </c>
      <c r="E20" s="370">
        <f t="shared" si="0"/>
        <v>2150000</v>
      </c>
      <c r="F20" s="352"/>
    </row>
    <row r="21" spans="1:6" s="17" customFormat="1" ht="24" customHeight="1" thickBot="1">
      <c r="A21" s="293" t="s">
        <v>49</v>
      </c>
      <c r="B21" s="353">
        <f>SUM(B10:B20)</f>
        <v>69057885</v>
      </c>
      <c r="C21" s="356">
        <f>SUM(C10:C20)</f>
        <v>26767266</v>
      </c>
      <c r="D21" s="356">
        <f>SUM(D10:D20)</f>
        <v>808500</v>
      </c>
      <c r="E21" s="355">
        <f>SUM(E10:E20)</f>
        <v>96633651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c/g3BIQL9H171n9Dxy5CwBC89FI8dQr2RIXppVIk7Vu/71lqkD7RAQEPew7vO/iAQDwJ1bXVhg4RoV/pfhdjHA==" saltValue="8eqxRCcLU/9z/fDNVlMgy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J35" sqref="J35"/>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Florida SouthWestern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f>116864/2</f>
        <v>58432</v>
      </c>
      <c r="E11" s="756">
        <v>0</v>
      </c>
      <c r="F11" s="757">
        <f t="shared" si="0"/>
        <v>58432</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f>1171913-100976</f>
        <v>1070937</v>
      </c>
      <c r="E15" s="756">
        <v>0</v>
      </c>
      <c r="F15" s="757">
        <f t="shared" si="0"/>
        <v>1070937</v>
      </c>
      <c r="I15" s="88"/>
      <c r="J15" s="29"/>
      <c r="K15" s="93"/>
      <c r="L15" s="93"/>
      <c r="M15" s="93"/>
      <c r="N15" s="93"/>
    </row>
    <row r="16" spans="1:224" s="17" customFormat="1" ht="30" customHeight="1">
      <c r="A16" s="753" t="s">
        <v>409</v>
      </c>
      <c r="B16" s="754"/>
      <c r="C16" s="755" t="s">
        <v>410</v>
      </c>
      <c r="D16" s="756">
        <f>237783-20000</f>
        <v>217783</v>
      </c>
      <c r="E16" s="756">
        <v>0</v>
      </c>
      <c r="F16" s="757">
        <f t="shared" si="0"/>
        <v>217783</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f>34094-10000</f>
        <v>24094</v>
      </c>
      <c r="E35" s="756">
        <v>0</v>
      </c>
      <c r="F35" s="757">
        <f>+D35+E35</f>
        <v>24094</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117277-6261-1464-1530-145</f>
        <v>107877</v>
      </c>
      <c r="E48" s="756">
        <v>0</v>
      </c>
      <c r="F48" s="757">
        <f t="shared" si="0"/>
        <v>107877</v>
      </c>
    </row>
    <row r="49" spans="1:6" s="17" customFormat="1" ht="30" customHeight="1">
      <c r="A49" s="753" t="s">
        <v>471</v>
      </c>
      <c r="B49" s="754"/>
      <c r="C49" s="755" t="s">
        <v>472</v>
      </c>
      <c r="D49" s="756">
        <f>208071-13763-2726+630</f>
        <v>192212</v>
      </c>
      <c r="E49" s="756">
        <v>0</v>
      </c>
      <c r="F49" s="757">
        <f t="shared" si="0"/>
        <v>192212</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f>6535-3029</f>
        <v>3506</v>
      </c>
      <c r="E52" s="756">
        <v>0</v>
      </c>
      <c r="F52" s="757">
        <f t="shared" si="0"/>
        <v>3506</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f>145373-404-8052-40</f>
        <v>136877</v>
      </c>
      <c r="E54" s="756">
        <v>0</v>
      </c>
      <c r="F54" s="757">
        <f t="shared" si="0"/>
        <v>136877</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1811718</v>
      </c>
      <c r="E57" s="268">
        <f>SUM(E10:E56)</f>
        <v>0</v>
      </c>
      <c r="F57" s="268">
        <f t="shared" si="0"/>
        <v>1811718</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1610</v>
      </c>
      <c r="E67" s="756">
        <v>0</v>
      </c>
      <c r="F67" s="757">
        <f t="shared" si="0"/>
        <v>1610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12381</v>
      </c>
      <c r="E77" s="756">
        <v>0</v>
      </c>
      <c r="F77" s="757">
        <f t="shared" si="1"/>
        <v>12381</v>
      </c>
    </row>
    <row r="78" spans="1:6" s="17" customFormat="1" ht="30" customHeight="1">
      <c r="A78" s="753" t="s">
        <v>513</v>
      </c>
      <c r="B78" s="754"/>
      <c r="C78" s="763" t="s">
        <v>514</v>
      </c>
      <c r="D78" s="756">
        <v>54117</v>
      </c>
      <c r="E78" s="756">
        <v>0</v>
      </c>
      <c r="F78" s="757">
        <f t="shared" si="1"/>
        <v>54117</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18712</v>
      </c>
      <c r="E80" s="756">
        <v>0</v>
      </c>
      <c r="F80" s="757">
        <f t="shared" si="1"/>
        <v>18712</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86820</v>
      </c>
      <c r="E93" s="264">
        <f>SUM(E64:E92)</f>
        <v>0</v>
      </c>
      <c r="F93" s="264">
        <f t="shared" si="1"/>
        <v>86820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1898538</v>
      </c>
      <c r="E113" s="264">
        <f>+E57+E93+E111</f>
        <v>0</v>
      </c>
      <c r="F113" s="264">
        <f>SUM(D113:E113)</f>
        <v>1898538</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1576861</v>
      </c>
      <c r="E118" s="756">
        <v>0</v>
      </c>
      <c r="F118" s="757">
        <f t="shared" ref="F118:F128" si="3">+D118+E118</f>
        <v>1576861</v>
      </c>
    </row>
    <row r="119" spans="1:6" s="69" customFormat="1" ht="30" customHeight="1">
      <c r="A119" s="753" t="s">
        <v>611</v>
      </c>
      <c r="B119" s="602"/>
      <c r="C119" s="765"/>
      <c r="D119" s="1080">
        <f>'EXHIBIT C'!F19</f>
        <v>321677</v>
      </c>
      <c r="E119" s="756">
        <v>0</v>
      </c>
      <c r="F119" s="757">
        <f t="shared" si="3"/>
        <v>321677</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1898538</v>
      </c>
      <c r="E129" s="258">
        <f>SUM(E117:E128)</f>
        <v>0</v>
      </c>
      <c r="F129" s="259">
        <f>SUM(F117:F128)</f>
        <v>1898538</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nyBSVQRBQol1C0ng8m7t1QFJogGlY0PZuK+E0HnnZisF0Vz+43IdgB/ZBmqQYpyEf5oSVxHLcU6ZwNEfaAB/w==" saltValue="pcQzRLsO6/wM/RCeVJzr0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7" zoomScale="80" zoomScaleNormal="80" zoomScaleSheetLayoutView="90" zoomScalePageLayoutView="70" workbookViewId="0">
      <selection activeCell="M42" sqref="M42"/>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E16" sqref="E16"/>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31" colorId="22" zoomScale="70" zoomScaleNormal="70" zoomScaleSheetLayoutView="51" zoomScalePageLayoutView="60" workbookViewId="0">
      <selection activeCell="L53" sqref="L5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26</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0.12961424518476941</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15930</v>
      </c>
      <c r="E44" s="114">
        <f>+'EXHIBIT C'!F10</f>
        <v>17179.006427715438</v>
      </c>
      <c r="F44" s="115">
        <f t="shared" ref="F44:F50" si="0">IF(D44=0,"0",(E44/D44-1))</f>
        <v>7.8405927665752495E-2</v>
      </c>
      <c r="G44" s="116" t="str">
        <f t="shared" ref="G44:G50" si="1">IF(OR(F44&gt;3%, F44&lt;-3%),"YES","NO")</f>
        <v>YES</v>
      </c>
      <c r="H44" s="88"/>
    </row>
    <row r="45" spans="1:8" ht="20.100000000000001" customHeight="1">
      <c r="C45" s="117" t="s">
        <v>126</v>
      </c>
      <c r="D45" s="650">
        <f>VLOOKUP($D$7,VLOOKUP!$A$109:$S$137,5)*30+D60</f>
        <v>196897.21875342319</v>
      </c>
      <c r="E45" s="118">
        <f>+'EXHIBIT C'!F11</f>
        <v>207755.30107129665</v>
      </c>
      <c r="F45" s="651">
        <f t="shared" si="0"/>
        <v>5.5145940540029414E-2</v>
      </c>
      <c r="G45" s="652" t="str">
        <f t="shared" si="1"/>
        <v>YES</v>
      </c>
      <c r="H45" s="88"/>
    </row>
    <row r="46" spans="1:8" ht="20.100000000000001" customHeight="1">
      <c r="C46" s="653" t="s">
        <v>127</v>
      </c>
      <c r="D46" s="654">
        <f>VLOOKUP($D$7,VLOOKUP!$A$109:$S$137,8)*30</f>
        <v>7957.5170842824609</v>
      </c>
      <c r="E46" s="655">
        <f>+'EXHIBIT C'!F12</f>
        <v>14345.930304149737</v>
      </c>
      <c r="F46" s="651">
        <f t="shared" si="0"/>
        <v>0.8028148921584537</v>
      </c>
      <c r="G46" s="652" t="str">
        <f t="shared" si="1"/>
        <v>YES</v>
      </c>
      <c r="H46" s="88"/>
    </row>
    <row r="47" spans="1:8" ht="20.100000000000001" customHeight="1">
      <c r="C47" s="653" t="s">
        <v>76</v>
      </c>
      <c r="D47" s="654">
        <f>VLOOKUP($D$7,VLOOKUP!$A$109:$S$137,17)*30</f>
        <v>1110.3061224489795</v>
      </c>
      <c r="E47" s="655">
        <f>+'EXHIBIT C'!F13</f>
        <v>1414.0080522004721</v>
      </c>
      <c r="F47" s="651">
        <f t="shared" si="0"/>
        <v>0.27352990640241037</v>
      </c>
      <c r="G47" s="652" t="str">
        <f t="shared" si="1"/>
        <v>YES</v>
      </c>
      <c r="H47" s="88"/>
    </row>
    <row r="48" spans="1:8" ht="20.100000000000001" customHeight="1">
      <c r="C48" s="653" t="s">
        <v>128</v>
      </c>
      <c r="D48" s="654">
        <f>VLOOKUP($D$7,VLOOKUP!$A$109:$S$137,11)*30</f>
        <v>3317.875</v>
      </c>
      <c r="E48" s="655">
        <f>+'EXHIBIT C'!F14</f>
        <v>3918.4213766777493</v>
      </c>
      <c r="F48" s="651">
        <f t="shared" si="0"/>
        <v>0.1810033158807216</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225212.91696015466</v>
      </c>
      <c r="E50" s="121">
        <f>+'EXHIBIT C'!F17</f>
        <v>244612.66723204008</v>
      </c>
      <c r="F50" s="122">
        <f t="shared" si="0"/>
        <v>8.6139598623988789E-2</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786</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629.00021509160945</v>
      </c>
      <c r="F59" s="662" t="str">
        <f t="shared" ref="F59:F65" si="2">IF(D59=0,"0",(E59/D59-1))</f>
        <v>0</v>
      </c>
      <c r="G59" s="663" t="str">
        <f>IF(OR(F59&gt;5%, F59&lt;-5%),"YES","NO")</f>
        <v>NO</v>
      </c>
    </row>
    <row r="60" spans="3:8" ht="20.100000000000001" customHeight="1">
      <c r="C60" s="117" t="s">
        <v>126</v>
      </c>
      <c r="D60" s="661">
        <f>VLOOKUP($D$7,VLOOKUP!$A$109:$S$137,6)*30</f>
        <v>9497.3206265746521</v>
      </c>
      <c r="E60" s="131">
        <f>+'EXHIBIT C'!D20</f>
        <v>13555.999015546167</v>
      </c>
      <c r="F60" s="662">
        <f t="shared" si="2"/>
        <v>0.42734983355356482</v>
      </c>
      <c r="G60" s="663" t="str">
        <f t="shared" ref="G60:G65" si="3">IF(OR(F60&gt;5%, F60&lt;-5%),"YES","NO")</f>
        <v>YES</v>
      </c>
      <c r="H60" s="88"/>
    </row>
    <row r="61" spans="3:8" ht="20.100000000000001" customHeight="1">
      <c r="C61" s="653" t="s">
        <v>127</v>
      </c>
      <c r="D61" s="664">
        <f>VLOOKUP($D$7,VLOOKUP!$A$109:$S$137,9)*30</f>
        <v>200.9111617312073</v>
      </c>
      <c r="E61" s="665">
        <f>+'EXHIBIT C'!D21</f>
        <v>691.32039870380243</v>
      </c>
      <c r="F61" s="662">
        <f t="shared" si="2"/>
        <v>2.4409257940019189</v>
      </c>
      <c r="G61" s="663" t="str">
        <f t="shared" si="3"/>
        <v>YES</v>
      </c>
      <c r="H61" s="88"/>
    </row>
    <row r="62" spans="3:8" ht="20.100000000000001" customHeight="1">
      <c r="C62" s="653" t="s">
        <v>76</v>
      </c>
      <c r="D62" s="664">
        <f>VLOOKUP($D$7,VLOOKUP!$A$109:$S$137,18)*30</f>
        <v>59.693877551020407</v>
      </c>
      <c r="E62" s="665">
        <f>+'EXHIBIT C'!D22</f>
        <v>101.99925953350611</v>
      </c>
      <c r="F62" s="662">
        <f t="shared" si="2"/>
        <v>0.70870554432198274</v>
      </c>
      <c r="G62" s="663" t="str">
        <f t="shared" si="3"/>
        <v>YES</v>
      </c>
      <c r="H62" s="88"/>
    </row>
    <row r="63" spans="3:8" ht="20.100000000000001" customHeight="1">
      <c r="C63" s="653" t="s">
        <v>128</v>
      </c>
      <c r="D63" s="664">
        <f>VLOOKUP($D$7,VLOOKUP!$A$109:$S$137,12)*30</f>
        <v>492.12500000000006</v>
      </c>
      <c r="E63" s="665">
        <f>+'EXHIBIT C'!D23</f>
        <v>462.95172074326268</v>
      </c>
      <c r="F63" s="662">
        <f t="shared" si="2"/>
        <v>-5.9280222010134387E-2</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10250.050665856879</v>
      </c>
      <c r="E65" s="133">
        <f>SUM(E59:E64)</f>
        <v>15441.270609618348</v>
      </c>
      <c r="F65" s="134">
        <f t="shared" si="2"/>
        <v>0.50645797889112143</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786</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46221977.178284936</v>
      </c>
      <c r="E84" s="1127">
        <f>+'EXHIBIT D'!G76</f>
        <v>46221977.178284936</v>
      </c>
      <c r="F84" s="1127">
        <f>D84-E84</f>
        <v>0</v>
      </c>
      <c r="G84" s="88"/>
      <c r="H84" s="88"/>
    </row>
    <row r="85" spans="1:8" ht="20.100000000000001" customHeight="1">
      <c r="A85" s="98"/>
      <c r="B85" s="98"/>
      <c r="C85" s="672" t="s">
        <v>150</v>
      </c>
      <c r="D85" s="671">
        <f>VLOOKUP($D$7,VLOOKUP!$A$150:$B$178,2)</f>
        <v>831927</v>
      </c>
      <c r="E85" s="1127">
        <f>'EXHIBIT D'!G78</f>
        <v>831927</v>
      </c>
      <c r="F85" s="1127">
        <f>D85-E85</f>
        <v>0</v>
      </c>
      <c r="G85" s="88"/>
      <c r="H85" s="88"/>
    </row>
    <row r="86" spans="1:8" ht="20.100000000000001" customHeight="1">
      <c r="A86" s="98"/>
      <c r="B86" s="98"/>
      <c r="C86" s="672" t="s">
        <v>151</v>
      </c>
      <c r="D86" s="671">
        <f>VLOOKUP($D$7,VLOOKUP!$A$7:$E$35,3)</f>
        <v>7423501.8217150643</v>
      </c>
      <c r="E86" s="1127">
        <f>'EXHIBIT D'!G82</f>
        <v>7423501.8217150643</v>
      </c>
      <c r="F86" s="1127">
        <f>D86-E86</f>
        <v>0</v>
      </c>
      <c r="G86" s="88"/>
      <c r="H86" s="88"/>
    </row>
    <row r="87" spans="1:8" ht="20.100000000000001" customHeight="1" thickBot="1">
      <c r="A87" s="97"/>
      <c r="B87" s="97"/>
      <c r="C87" s="143" t="s">
        <v>696</v>
      </c>
      <c r="D87" s="671">
        <f>VLOOKUP($D$7,VLOOKUP!$A$185:$B$213,2)</f>
        <v>1383615</v>
      </c>
      <c r="E87" s="1128">
        <f>'EXHIBIT D'!G77</f>
        <v>1383615</v>
      </c>
      <c r="F87" s="1127">
        <f>D87-E87</f>
        <v>0</v>
      </c>
      <c r="G87" s="88"/>
      <c r="H87" s="88"/>
    </row>
    <row r="88" spans="1:8" ht="20.100000000000001" customHeight="1" thickBot="1">
      <c r="A88" s="97"/>
      <c r="B88" s="97"/>
      <c r="C88" s="144" t="s">
        <v>152</v>
      </c>
      <c r="D88" s="145">
        <f>SUM(D84:D87)</f>
        <v>55861021</v>
      </c>
      <c r="E88" s="145">
        <f>SUM(E84:E87)</f>
        <v>55861021</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19663215</v>
      </c>
      <c r="D101" s="819" t="s">
        <v>741</v>
      </c>
      <c r="E101" s="819"/>
      <c r="F101" s="819"/>
      <c r="G101" s="88"/>
      <c r="H101" s="88"/>
    </row>
    <row r="102" spans="1:8" ht="20.100000000000001" customHeight="1">
      <c r="A102" s="95"/>
      <c r="B102" s="95"/>
      <c r="C102" s="674">
        <f>'EXHIBIT D'!G267-'EXHIBIT D'!G253-'EXHIBIT D'!G265</f>
        <v>19663215</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35408797</v>
      </c>
      <c r="D108" s="17" t="s">
        <v>743</v>
      </c>
    </row>
    <row r="109" spans="1:8" ht="26.25" customHeight="1">
      <c r="A109" s="151"/>
      <c r="B109" s="151"/>
      <c r="C109" s="676">
        <f>'EXHIBIT A'!E36</f>
        <v>35408797</v>
      </c>
      <c r="D109" s="17" t="s">
        <v>744</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91.789999999999992</v>
      </c>
      <c r="D119" s="17" t="s">
        <v>81</v>
      </c>
    </row>
    <row r="120" spans="1:8" ht="20.100000000000001" customHeight="1">
      <c r="C120" s="157"/>
    </row>
    <row r="121" spans="1:8" ht="20.100000000000001" customHeight="1">
      <c r="C121" s="158">
        <f>IF('EXHIBIT G'!D119=0,"No Credit Hours or Not Applicable",('EXHIBIT G'!D119/'EXHIBIT C'!D19))</f>
        <v>511.41</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Florida SouthWestern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22626635</v>
      </c>
    </row>
    <row r="14" spans="2:7" ht="25.35" customHeight="1">
      <c r="B14" s="17" t="s">
        <v>174</v>
      </c>
      <c r="D14" s="28"/>
      <c r="E14" s="1136">
        <v>35408797</v>
      </c>
    </row>
    <row r="15" spans="2:7" ht="25.35" customHeight="1">
      <c r="B15" s="28"/>
      <c r="D15" s="28"/>
      <c r="E15" s="162"/>
    </row>
    <row r="16" spans="2:7" ht="25.35" customHeight="1">
      <c r="B16" s="17" t="s">
        <v>732</v>
      </c>
      <c r="C16" s="28"/>
      <c r="D16" s="28"/>
      <c r="E16" s="578">
        <f>+E14+E13</f>
        <v>58035432</v>
      </c>
    </row>
    <row r="17" spans="2:7" ht="25.35" customHeight="1">
      <c r="B17" s="28"/>
      <c r="C17" s="28"/>
      <c r="D17" s="28"/>
      <c r="E17" s="163"/>
    </row>
    <row r="18" spans="2:7" ht="25.35" customHeight="1">
      <c r="B18" s="17" t="s">
        <v>175</v>
      </c>
      <c r="C18" s="28"/>
      <c r="D18" s="28"/>
      <c r="E18" s="173">
        <f>+'EXHIBIT D'!G143-SUM(+'EXHIBIT D'!G133+'EXHIBIT D'!G134)</f>
        <v>93560231</v>
      </c>
      <c r="G18" s="138"/>
    </row>
    <row r="19" spans="2:7" ht="25.35" customHeight="1">
      <c r="B19" s="17" t="s">
        <v>176</v>
      </c>
      <c r="D19" s="28"/>
      <c r="E19" s="578">
        <f>+'EXHIBIT D'!G133+'EXHIBIT D'!G134</f>
        <v>110000</v>
      </c>
    </row>
    <row r="20" spans="2:7" ht="25.35" customHeight="1">
      <c r="B20" s="28"/>
      <c r="D20" s="28"/>
      <c r="E20" s="168"/>
    </row>
    <row r="21" spans="2:7" ht="25.35" customHeight="1">
      <c r="B21" s="17" t="s">
        <v>177</v>
      </c>
      <c r="C21" s="28"/>
      <c r="D21" s="28"/>
      <c r="E21" s="579">
        <f>+E19+E18</f>
        <v>93670231</v>
      </c>
    </row>
    <row r="22" spans="2:7" ht="25.35" customHeight="1">
      <c r="B22" s="28"/>
      <c r="C22" s="28"/>
      <c r="D22" s="28"/>
      <c r="E22" s="168"/>
    </row>
    <row r="23" spans="2:7" ht="25.35" customHeight="1">
      <c r="B23" s="28" t="s">
        <v>178</v>
      </c>
      <c r="C23" s="28"/>
      <c r="D23" s="28"/>
      <c r="E23" s="579">
        <f>+E21+E16</f>
        <v>151705663</v>
      </c>
    </row>
    <row r="24" spans="2:7" ht="25.35" customHeight="1">
      <c r="B24" s="28"/>
      <c r="C24" s="28"/>
      <c r="D24" s="28"/>
      <c r="E24" s="168"/>
    </row>
    <row r="25" spans="2:7" ht="25.35" customHeight="1">
      <c r="B25" s="17" t="s">
        <v>179</v>
      </c>
      <c r="C25" s="28"/>
      <c r="D25" s="28"/>
      <c r="E25" s="174">
        <f>'EXHIBIT D'!G249-SUM(+'EXHIBIT D'!G223+'EXHIBIT D'!G224)</f>
        <v>96633651</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96633651</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55072012</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734</v>
      </c>
      <c r="C35" s="28"/>
      <c r="D35" s="28"/>
      <c r="E35" s="167">
        <f>+D32+D33</f>
        <v>55072012</v>
      </c>
    </row>
    <row r="36" spans="2:10" ht="25.35" customHeight="1">
      <c r="B36" s="17" t="s">
        <v>735</v>
      </c>
      <c r="C36" s="28"/>
      <c r="D36" s="28"/>
      <c r="E36" s="579">
        <f>-'EXHIBIT D'!G265</f>
        <v>35408797</v>
      </c>
      <c r="J36" s="48"/>
    </row>
    <row r="37" spans="2:10" ht="25.35" customHeight="1">
      <c r="D37" s="28"/>
      <c r="E37" s="167"/>
    </row>
    <row r="38" spans="2:10" ht="25.35" customHeight="1">
      <c r="B38" s="28" t="s">
        <v>736</v>
      </c>
      <c r="D38" s="28"/>
      <c r="E38" s="578">
        <f>+E35-E36</f>
        <v>19663215</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19663215</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0.12961424518476941</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iG4CMUWQU2gMc0/UYirMsgXizg1f+XQN/k0OaDURbs5fK7IhylK9IvpQ2gTkYPxvFY7uiLl0rhqHnNyVoOwY0A==" saltValue="lSbYPHbnpkNS02S5NBsH7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Florida SouthWestern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13.56</v>
      </c>
      <c r="F14" s="962">
        <v>4.59</v>
      </c>
      <c r="G14" s="679">
        <f>SUM(B14:F14)</f>
        <v>123.71000000000001</v>
      </c>
      <c r="H14" s="365">
        <f>G14*30</f>
        <v>3711.3</v>
      </c>
    </row>
    <row r="15" spans="1:18" s="17" customFormat="1" ht="20.100000000000001" customHeight="1">
      <c r="A15" s="28" t="s">
        <v>201</v>
      </c>
      <c r="B15" s="963">
        <v>81.209999999999994</v>
      </c>
      <c r="C15" s="963">
        <v>4.07</v>
      </c>
      <c r="D15" s="963">
        <v>8.1300000000000008</v>
      </c>
      <c r="E15" s="963">
        <v>13.88</v>
      </c>
      <c r="F15" s="963">
        <v>4.07</v>
      </c>
      <c r="G15" s="679">
        <f>SUM(B15:F15)</f>
        <v>111.35999999999999</v>
      </c>
      <c r="H15" s="338">
        <f>G15*30</f>
        <v>3340.7999999999997</v>
      </c>
    </row>
    <row r="16" spans="1:18" s="17" customFormat="1" ht="20.100000000000001" customHeight="1" thickBot="1">
      <c r="A16" s="28" t="s">
        <v>76</v>
      </c>
      <c r="B16" s="964">
        <v>72.03</v>
      </c>
      <c r="C16" s="964">
        <v>7.21</v>
      </c>
      <c r="D16" s="965"/>
      <c r="E16" s="964">
        <v>0</v>
      </c>
      <c r="F16" s="964">
        <v>3.61</v>
      </c>
      <c r="G16" s="339">
        <f>SUM(B16:F16)</f>
        <v>82.85</v>
      </c>
      <c r="H16" s="680">
        <f>G16*30</f>
        <v>2485.5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511.41</v>
      </c>
      <c r="D29" s="962">
        <v>30.16</v>
      </c>
      <c r="E29" s="536">
        <f>D14</f>
        <v>9.18</v>
      </c>
      <c r="F29" s="962">
        <v>120.64</v>
      </c>
      <c r="G29" s="962">
        <v>30.16</v>
      </c>
      <c r="H29" s="346">
        <f>SUM(B29:G29)</f>
        <v>793.33999999999992</v>
      </c>
      <c r="I29" s="359">
        <f>H29*30</f>
        <v>23800.199999999997</v>
      </c>
    </row>
    <row r="30" spans="1:11" s="17" customFormat="1" ht="20.100000000000001" customHeight="1">
      <c r="A30" s="28" t="str">
        <f t="shared" si="0"/>
        <v>LOWER LEVEL - CREDIT (A &amp; P, PSV, DEVELOPMENTAL EDUCATION AND EPI)</v>
      </c>
      <c r="B30" s="683">
        <f t="shared" si="0"/>
        <v>81.209999999999994</v>
      </c>
      <c r="C30" s="966">
        <v>243.79</v>
      </c>
      <c r="D30" s="966">
        <v>16.25</v>
      </c>
      <c r="E30" s="684">
        <f>D15</f>
        <v>8.1300000000000008</v>
      </c>
      <c r="F30" s="966">
        <v>65</v>
      </c>
      <c r="G30" s="966">
        <v>16.25</v>
      </c>
      <c r="H30" s="679">
        <f>SUM(B30:G30)</f>
        <v>430.63</v>
      </c>
      <c r="I30" s="338">
        <f>H30*30</f>
        <v>12918.9</v>
      </c>
    </row>
    <row r="31" spans="1:11" s="17" customFormat="1" ht="20.100000000000001" customHeight="1">
      <c r="A31" s="28" t="str">
        <f t="shared" si="0"/>
        <v>CAREER CERTIFICATE AND APPLIED TECHNOLOGY DIPLOMA</v>
      </c>
      <c r="B31" s="1148">
        <f t="shared" si="0"/>
        <v>72.03</v>
      </c>
      <c r="C31" s="963">
        <v>216.08</v>
      </c>
      <c r="D31" s="963">
        <v>28.82</v>
      </c>
      <c r="E31" s="1149"/>
      <c r="F31" s="963">
        <v>0</v>
      </c>
      <c r="G31" s="963">
        <v>14.41</v>
      </c>
      <c r="H31" s="1150">
        <f>SUM(B31:G31)</f>
        <v>331.34000000000003</v>
      </c>
      <c r="I31" s="1150">
        <f>H31*30</f>
        <v>9940.2000000000007</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26w/hE1J+wpcUzHPGzjhfnEv2gTiC8xahsZ0vrEzDTQx7Zzx7H8IhbTorMnQSYEibqGUUlyS8pBbQzcYbTCf7A==" saltValue="bO8r+nKPxbNCRV8dxRVvA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Florida SouthWestern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f>(615177+605814+355870)/G10</f>
        <v>17179.006427715438</v>
      </c>
      <c r="E10" s="539">
        <v>0</v>
      </c>
      <c r="F10" s="540">
        <f t="shared" ref="F10:F15" si="0">+D10-E10</f>
        <v>17179.006427715438</v>
      </c>
      <c r="G10" s="540">
        <f>'EXHIBIT B'!B14</f>
        <v>91.79</v>
      </c>
      <c r="H10" s="541">
        <f>ROUND(+F10*G10,0)</f>
        <v>1576861</v>
      </c>
    </row>
    <row r="11" spans="1:9" ht="20.100000000000001" customHeight="1">
      <c r="A11" s="690" t="s">
        <v>194</v>
      </c>
      <c r="B11" s="690" t="s">
        <v>126</v>
      </c>
      <c r="C11" s="691" t="s">
        <v>221</v>
      </c>
      <c r="D11" s="689">
        <f>(7315672+6569736+2986400)/G11</f>
        <v>207755.30107129665</v>
      </c>
      <c r="E11" s="689">
        <v>0</v>
      </c>
      <c r="F11" s="692">
        <f t="shared" si="0"/>
        <v>207755.30107129665</v>
      </c>
      <c r="G11" s="692">
        <f>+'EXHIBIT B'!B15</f>
        <v>81.209999999999994</v>
      </c>
      <c r="H11" s="693">
        <f t="shared" ref="H11:H15" si="1">ROUND(+F11*G11,0)</f>
        <v>16871808</v>
      </c>
    </row>
    <row r="12" spans="1:9" ht="20.100000000000001" customHeight="1">
      <c r="A12" s="690" t="s">
        <v>194</v>
      </c>
      <c r="B12" s="690" t="s">
        <v>127</v>
      </c>
      <c r="C12" s="691" t="s">
        <v>222</v>
      </c>
      <c r="D12" s="689">
        <f>(507319+510486+147228)/G12</f>
        <v>14345.930304149737</v>
      </c>
      <c r="E12" s="689">
        <v>0</v>
      </c>
      <c r="F12" s="692">
        <f t="shared" si="0"/>
        <v>14345.930304149737</v>
      </c>
      <c r="G12" s="692">
        <f>+'EXHIBIT B'!B15</f>
        <v>81.209999999999994</v>
      </c>
      <c r="H12" s="693">
        <f t="shared" si="1"/>
        <v>1165033</v>
      </c>
    </row>
    <row r="13" spans="1:9" ht="20.100000000000001" customHeight="1">
      <c r="A13" s="690" t="s">
        <v>194</v>
      </c>
      <c r="B13" s="690" t="s">
        <v>76</v>
      </c>
      <c r="C13" s="691" t="s">
        <v>223</v>
      </c>
      <c r="D13" s="694">
        <f>(23050+55463+23338)/G13</f>
        <v>1414.0080522004721</v>
      </c>
      <c r="E13" s="694">
        <v>0</v>
      </c>
      <c r="F13" s="692">
        <f t="shared" si="0"/>
        <v>1414.0080522004721</v>
      </c>
      <c r="G13" s="692">
        <f>+'EXHIBIT B'!B16</f>
        <v>72.03</v>
      </c>
      <c r="H13" s="693">
        <f t="shared" si="1"/>
        <v>101851</v>
      </c>
    </row>
    <row r="14" spans="1:9" ht="20.100000000000001" customHeight="1">
      <c r="A14" s="690" t="s">
        <v>194</v>
      </c>
      <c r="B14" s="690" t="s">
        <v>128</v>
      </c>
      <c r="C14" s="691" t="s">
        <v>224</v>
      </c>
      <c r="D14" s="689">
        <f>(161770+123439+33006)/G14</f>
        <v>3918.4213766777493</v>
      </c>
      <c r="E14" s="689">
        <v>0</v>
      </c>
      <c r="F14" s="692">
        <f t="shared" si="0"/>
        <v>3918.4213766777493</v>
      </c>
      <c r="G14" s="692">
        <f>+'EXHIBIT B'!B15</f>
        <v>81.209999999999994</v>
      </c>
      <c r="H14" s="693">
        <f t="shared" si="1"/>
        <v>318215</v>
      </c>
    </row>
    <row r="15" spans="1:9" ht="20.100000000000001" customHeight="1" thickBot="1">
      <c r="A15" s="695" t="s">
        <v>194</v>
      </c>
      <c r="B15" s="695" t="s">
        <v>129</v>
      </c>
      <c r="C15" s="696">
        <v>40160</v>
      </c>
      <c r="D15" s="697">
        <v>0</v>
      </c>
      <c r="E15" s="697">
        <v>0</v>
      </c>
      <c r="F15" s="698">
        <f t="shared" si="0"/>
        <v>0</v>
      </c>
      <c r="G15" s="698">
        <f>+'EXHIBIT B'!B15</f>
        <v>81.209999999999994</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244612.66723204008</v>
      </c>
      <c r="E17" s="302">
        <f>SUM(E10:E15)</f>
        <v>0</v>
      </c>
      <c r="F17" s="303">
        <f>SUM(F10:F15)</f>
        <v>244612.66723204008</v>
      </c>
      <c r="G17" s="303"/>
      <c r="H17" s="304">
        <f>SUM(H10:H15)</f>
        <v>20033768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f>(140126+131944+49607)/E19</f>
        <v>629.00021509160945</v>
      </c>
      <c r="E19" s="701">
        <f>'EXHIBIT B'!C29</f>
        <v>511.41</v>
      </c>
      <c r="F19" s="702">
        <f t="shared" ref="F19:F25" si="2">ROUND(+D19*E19,0)</f>
        <v>321677</v>
      </c>
      <c r="G19" s="306"/>
      <c r="H19" s="306"/>
    </row>
    <row r="20" spans="1:9" ht="20.100000000000001" customHeight="1">
      <c r="A20" s="641" t="s">
        <v>209</v>
      </c>
      <c r="B20" s="641" t="s">
        <v>126</v>
      </c>
      <c r="C20" s="703" t="s">
        <v>228</v>
      </c>
      <c r="D20" s="710">
        <f>(1447869+1362786+494162)/E20</f>
        <v>13555.999015546167</v>
      </c>
      <c r="E20" s="704">
        <f>+'EXHIBIT B'!C30</f>
        <v>243.79</v>
      </c>
      <c r="F20" s="705">
        <f t="shared" si="2"/>
        <v>3304817</v>
      </c>
      <c r="G20" s="48"/>
      <c r="H20" s="48"/>
    </row>
    <row r="21" spans="1:9" ht="20.100000000000001" customHeight="1">
      <c r="A21" s="641" t="s">
        <v>209</v>
      </c>
      <c r="B21" s="641" t="s">
        <v>127</v>
      </c>
      <c r="C21" s="703" t="s">
        <v>229</v>
      </c>
      <c r="D21" s="710">
        <f>(78500+76794+13243)/E21</f>
        <v>691.32039870380243</v>
      </c>
      <c r="E21" s="704">
        <f>+'EXHIBIT B'!C30</f>
        <v>243.79</v>
      </c>
      <c r="F21" s="705">
        <f t="shared" si="2"/>
        <v>168537</v>
      </c>
      <c r="G21" s="48"/>
      <c r="H21" s="48"/>
    </row>
    <row r="22" spans="1:9" ht="20.100000000000001" customHeight="1">
      <c r="A22" s="641" t="s">
        <v>209</v>
      </c>
      <c r="B22" s="641" t="s">
        <v>76</v>
      </c>
      <c r="C22" s="703" t="s">
        <v>230</v>
      </c>
      <c r="D22" s="710">
        <f>(4322+3457+14261)/E22</f>
        <v>101.99925953350611</v>
      </c>
      <c r="E22" s="704">
        <f>+'EXHIBIT B'!C31</f>
        <v>216.08</v>
      </c>
      <c r="F22" s="705">
        <f t="shared" si="2"/>
        <v>22040</v>
      </c>
      <c r="G22" s="48"/>
      <c r="H22" s="48"/>
    </row>
    <row r="23" spans="1:9" ht="20.100000000000001" customHeight="1">
      <c r="A23" s="641" t="s">
        <v>209</v>
      </c>
      <c r="B23" s="641" t="s">
        <v>128</v>
      </c>
      <c r="C23" s="703" t="s">
        <v>231</v>
      </c>
      <c r="D23" s="710">
        <f>(66067+38519+8277)/E23</f>
        <v>462.95172074326268</v>
      </c>
      <c r="E23" s="704">
        <f>+'EXHIBIT B'!C30</f>
        <v>243.79</v>
      </c>
      <c r="F23" s="705">
        <f t="shared" si="2"/>
        <v>112863</v>
      </c>
      <c r="G23" s="48"/>
      <c r="H23" s="48"/>
    </row>
    <row r="24" spans="1:9" ht="20.100000000000001" customHeight="1">
      <c r="A24" s="1057" t="s">
        <v>209</v>
      </c>
      <c r="B24" s="1057" t="s">
        <v>129</v>
      </c>
      <c r="C24" s="1153">
        <v>40360</v>
      </c>
      <c r="D24" s="1154">
        <v>0</v>
      </c>
      <c r="E24" s="1155">
        <f>+'EXHIBIT B'!C30</f>
        <v>243.79</v>
      </c>
      <c r="F24" s="1156">
        <f t="shared" si="2"/>
        <v>0</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15441.270609618348</v>
      </c>
      <c r="E27" s="708"/>
      <c r="F27" s="709">
        <f>SUM(F19:F25)</f>
        <v>3929934</v>
      </c>
      <c r="G27" s="310"/>
      <c r="H27" s="310"/>
    </row>
    <row r="28" spans="1:9" ht="20.100000000000001" customHeight="1" thickBot="1">
      <c r="A28" s="311" t="s">
        <v>232</v>
      </c>
      <c r="B28" s="311"/>
      <c r="C28" s="311"/>
      <c r="D28" s="311"/>
      <c r="E28" s="311"/>
      <c r="F28" s="312"/>
      <c r="G28" s="542"/>
      <c r="H28" s="313">
        <f>H17+F27</f>
        <v>23963702</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23963702</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110000</v>
      </c>
      <c r="C64" s="970" t="s">
        <v>784</v>
      </c>
      <c r="D64" s="971"/>
      <c r="E64" s="970" t="s">
        <v>785</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110000</v>
      </c>
      <c r="C70" s="980"/>
      <c r="D70" s="981"/>
      <c r="E70" s="980"/>
      <c r="F70" s="981"/>
    </row>
    <row r="71" spans="1:6" ht="24.95" customHeight="1" thickBot="1">
      <c r="A71" s="290" t="s">
        <v>257</v>
      </c>
      <c r="B71" s="291">
        <f>+B70+B61</f>
        <v>110000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BIZtVouOsEQ5r3F5VT2LpHA/2ORN6eHSMAZgKKDxzXATreiT84JvGMolStmwlw0BTfy5IAAor92a26SQShDKmw==" saltValue="N8hWnlzEjsecl+iuBK9iWw=="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Florida SouthWestern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Wh31B51N94ehz5btzsYTqQH7RjAEhom/xau2Jh8k3BSsplEzKuA26XCceD8CcgyF7xxe5OVkjjkPE95KRyTm9A==" saltValue="ymC8CPNs8pwQQvbOXG2Iy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Florida SouthWestern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1576861</v>
      </c>
    </row>
    <row r="13" spans="1:8" ht="20.100000000000001" customHeight="1">
      <c r="A13" s="492" t="s">
        <v>194</v>
      </c>
      <c r="B13" s="182"/>
      <c r="C13" s="175" t="s">
        <v>126</v>
      </c>
      <c r="D13" s="182"/>
      <c r="E13" s="182"/>
      <c r="F13" s="187" t="s">
        <v>221</v>
      </c>
      <c r="G13" s="186">
        <f>+'EXHIBIT C'!H11+'EXHIBIT C(2)'!E14</f>
        <v>16871808</v>
      </c>
    </row>
    <row r="14" spans="1:8" ht="20.100000000000001" customHeight="1">
      <c r="A14" s="492" t="s">
        <v>194</v>
      </c>
      <c r="B14" s="182"/>
      <c r="C14" s="182" t="s">
        <v>127</v>
      </c>
      <c r="D14" s="182"/>
      <c r="E14" s="182"/>
      <c r="F14" s="187" t="s">
        <v>222</v>
      </c>
      <c r="G14" s="513">
        <f>+'EXHIBIT C'!H12+'EXHIBIT C(2)'!E15</f>
        <v>1165033</v>
      </c>
    </row>
    <row r="15" spans="1:8" ht="20.100000000000001" customHeight="1">
      <c r="A15" s="492" t="s">
        <v>194</v>
      </c>
      <c r="B15" s="182"/>
      <c r="C15" s="188" t="s">
        <v>274</v>
      </c>
      <c r="D15" s="182"/>
      <c r="E15" s="182"/>
      <c r="F15" s="187" t="s">
        <v>223</v>
      </c>
      <c r="G15" s="513">
        <f>+'EXHIBIT C'!H13+'EXHIBIT C(2)'!E16</f>
        <v>101851</v>
      </c>
    </row>
    <row r="16" spans="1:8" ht="20.100000000000001" customHeight="1">
      <c r="A16" s="492" t="s">
        <v>194</v>
      </c>
      <c r="B16" s="182"/>
      <c r="C16" s="188" t="s">
        <v>275</v>
      </c>
      <c r="D16" s="182"/>
      <c r="E16" s="182"/>
      <c r="F16" s="187" t="s">
        <v>224</v>
      </c>
      <c r="G16" s="514">
        <f>+'EXHIBIT C'!H14+'EXHIBIT C(2)'!E17</f>
        <v>318215</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20033768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321677</v>
      </c>
    </row>
    <row r="22" spans="1:7" ht="20.100000000000001" customHeight="1">
      <c r="A22" s="492" t="s">
        <v>209</v>
      </c>
      <c r="B22" s="182"/>
      <c r="C22" s="175" t="s">
        <v>126</v>
      </c>
      <c r="D22" s="182"/>
      <c r="E22" s="182"/>
      <c r="F22" s="187" t="s">
        <v>228</v>
      </c>
      <c r="G22" s="191">
        <f>+'EXHIBIT C'!F20+'EXHIBIT C(2)'!E23</f>
        <v>3304817</v>
      </c>
    </row>
    <row r="23" spans="1:7" ht="20.100000000000001" customHeight="1">
      <c r="A23" s="492" t="s">
        <v>209</v>
      </c>
      <c r="B23" s="182"/>
      <c r="C23" s="182" t="s">
        <v>127</v>
      </c>
      <c r="D23" s="182"/>
      <c r="E23" s="182"/>
      <c r="F23" s="187" t="s">
        <v>229</v>
      </c>
      <c r="G23" s="196">
        <f>+'EXHIBIT C'!F21+'EXHIBIT C(2)'!E24</f>
        <v>168537</v>
      </c>
    </row>
    <row r="24" spans="1:7" ht="20.100000000000001" customHeight="1">
      <c r="A24" s="492" t="s">
        <v>209</v>
      </c>
      <c r="B24" s="182"/>
      <c r="C24" s="188" t="s">
        <v>274</v>
      </c>
      <c r="D24" s="182"/>
      <c r="E24" s="182"/>
      <c r="F24" s="187" t="s">
        <v>230</v>
      </c>
      <c r="G24" s="196">
        <f>+'EXHIBIT C'!F22+'EXHIBIT C(2)'!E25</f>
        <v>22040</v>
      </c>
    </row>
    <row r="25" spans="1:7" ht="20.100000000000001" customHeight="1">
      <c r="A25" s="492" t="s">
        <v>209</v>
      </c>
      <c r="B25" s="182"/>
      <c r="C25" s="188" t="s">
        <v>275</v>
      </c>
      <c r="D25" s="182"/>
      <c r="E25" s="182"/>
      <c r="F25" s="187" t="s">
        <v>231</v>
      </c>
      <c r="G25" s="196">
        <f>+'EXHIBIT C'!F23+'EXHIBIT C(2)'!E26</f>
        <v>112863</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3929934</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23963702</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f>579754-209448</f>
        <v>370306</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2886746</v>
      </c>
    </row>
    <row r="52" spans="1:7" ht="20.100000000000001" customHeight="1">
      <c r="A52" s="492" t="s">
        <v>295</v>
      </c>
      <c r="B52" s="182"/>
      <c r="C52" s="182"/>
      <c r="D52" s="182"/>
      <c r="E52" s="182"/>
      <c r="F52" s="185">
        <v>40450</v>
      </c>
      <c r="G52" s="442">
        <v>2040000</v>
      </c>
    </row>
    <row r="53" spans="1:7" ht="20.100000000000001" customHeight="1">
      <c r="A53" s="492" t="s">
        <v>296</v>
      </c>
      <c r="B53" s="182"/>
      <c r="C53" s="182"/>
      <c r="D53" s="182"/>
      <c r="E53" s="182"/>
      <c r="F53" s="187" t="s">
        <v>297</v>
      </c>
      <c r="G53" s="442">
        <f>329183+88123-150761</f>
        <v>266545</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f>41804-15103</f>
        <v>26701</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f>501323+453433+211789-421439</f>
        <v>745106</v>
      </c>
    </row>
    <row r="60" spans="1:7" ht="20.100000000000001" customHeight="1">
      <c r="A60" s="492" t="s">
        <v>310</v>
      </c>
      <c r="B60" s="182"/>
      <c r="C60" s="182"/>
      <c r="D60" s="182"/>
      <c r="E60" s="182"/>
      <c r="F60" s="187" t="s">
        <v>311</v>
      </c>
      <c r="G60" s="442">
        <f>1100532+15664-403249+386909</f>
        <v>1099856</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31398962</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2811328</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2811328</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46221977.178284936</v>
      </c>
    </row>
    <row r="77" spans="1:7" ht="20.100000000000001" customHeight="1">
      <c r="A77" s="492" t="s">
        <v>697</v>
      </c>
      <c r="B77" s="182"/>
      <c r="C77" s="182"/>
      <c r="D77" s="182"/>
      <c r="E77" s="182"/>
      <c r="F77" s="185">
        <v>42130</v>
      </c>
      <c r="G77" s="516">
        <v>1383615</v>
      </c>
    </row>
    <row r="78" spans="1:7" ht="20.100000000000001" customHeight="1">
      <c r="A78" s="494" t="s">
        <v>328</v>
      </c>
      <c r="B78" s="495"/>
      <c r="C78" s="495"/>
      <c r="D78" s="495"/>
      <c r="E78" s="495"/>
      <c r="F78" s="201" t="s">
        <v>329</v>
      </c>
      <c r="G78" s="517">
        <v>831927</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5000</v>
      </c>
    </row>
    <row r="81" spans="1:10" ht="20.100000000000001" customHeight="1">
      <c r="A81" s="492" t="s">
        <v>715</v>
      </c>
      <c r="B81" s="182"/>
      <c r="C81" s="182"/>
      <c r="D81" s="182"/>
      <c r="E81" s="182"/>
      <c r="F81" s="187" t="s">
        <v>334</v>
      </c>
      <c r="G81" s="516">
        <v>600000</v>
      </c>
    </row>
    <row r="82" spans="1:10" ht="20.100000000000001" customHeight="1">
      <c r="A82" s="492" t="s">
        <v>335</v>
      </c>
      <c r="B82" s="182"/>
      <c r="C82" s="182"/>
      <c r="D82" s="182"/>
      <c r="E82" s="182"/>
      <c r="F82" s="187" t="s">
        <v>336</v>
      </c>
      <c r="G82" s="515">
        <f>'CHECK SHEET'!D86</f>
        <v>7423501.8217150643</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10000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56476021</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110933</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110933</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1250000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1250000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0</v>
      </c>
    </row>
    <row r="112" spans="1:7" ht="20.100000000000001" customHeight="1">
      <c r="A112" s="492" t="s">
        <v>364</v>
      </c>
      <c r="B112" s="182"/>
      <c r="C112" s="182"/>
      <c r="D112" s="182"/>
      <c r="E112" s="182"/>
      <c r="F112" s="187" t="s">
        <v>365</v>
      </c>
      <c r="G112" s="443">
        <f>411860+295368+95000</f>
        <v>802228</v>
      </c>
    </row>
    <row r="113" spans="1:7" ht="20.100000000000001" customHeight="1">
      <c r="A113" s="492" t="s">
        <v>366</v>
      </c>
      <c r="B113" s="182"/>
      <c r="C113" s="182"/>
      <c r="D113" s="182"/>
      <c r="E113" s="182"/>
      <c r="F113" s="187" t="s">
        <v>367</v>
      </c>
      <c r="G113" s="443">
        <v>14200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816428</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250000</v>
      </c>
    </row>
    <row r="125" spans="1:7" ht="20.100000000000001" customHeight="1">
      <c r="A125" s="492" t="s">
        <v>377</v>
      </c>
      <c r="B125" s="182"/>
      <c r="C125" s="182"/>
      <c r="D125" s="182"/>
      <c r="E125" s="182"/>
      <c r="F125" s="187" t="s">
        <v>378</v>
      </c>
      <c r="G125" s="443">
        <v>170000</v>
      </c>
    </row>
    <row r="126" spans="1:7" ht="20.100000000000001" customHeight="1">
      <c r="A126" s="492" t="s">
        <v>379</v>
      </c>
      <c r="B126" s="182"/>
      <c r="C126" s="182"/>
      <c r="D126" s="182"/>
      <c r="E126" s="182"/>
      <c r="F126" s="187" t="s">
        <v>380</v>
      </c>
      <c r="G126" s="443">
        <f>73065+7500</f>
        <v>80565</v>
      </c>
    </row>
    <row r="127" spans="1:7" ht="20.100000000000001" customHeight="1">
      <c r="A127" s="492" t="s">
        <v>381</v>
      </c>
      <c r="B127" s="182"/>
      <c r="C127" s="182"/>
      <c r="D127" s="182"/>
      <c r="E127" s="182"/>
      <c r="F127" s="187" t="s">
        <v>382</v>
      </c>
      <c r="G127" s="443">
        <v>74651</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575216</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110000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121343</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231343</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93670231</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2044785</v>
      </c>
    </row>
    <row r="148" spans="1:7" ht="20.100000000000001" customHeight="1">
      <c r="A148" s="492" t="s">
        <v>399</v>
      </c>
      <c r="F148" s="187" t="s">
        <v>400</v>
      </c>
      <c r="G148" s="447">
        <v>1396874</v>
      </c>
    </row>
    <row r="149" spans="1:7" ht="20.100000000000001" customHeight="1">
      <c r="A149" s="492" t="s">
        <v>401</v>
      </c>
      <c r="F149" s="187" t="s">
        <v>402</v>
      </c>
      <c r="G149" s="447">
        <v>3400451</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13988186+2245995+237132</f>
        <v>16471313</v>
      </c>
    </row>
    <row r="153" spans="1:7" ht="20.100000000000001" customHeight="1">
      <c r="A153" s="492" t="s">
        <v>409</v>
      </c>
      <c r="B153" s="182"/>
      <c r="C153" s="182"/>
      <c r="D153" s="182"/>
      <c r="E153" s="182"/>
      <c r="F153" s="187" t="s">
        <v>410</v>
      </c>
      <c r="G153" s="447">
        <v>3305934</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649848</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166098</v>
      </c>
    </row>
    <row r="162" spans="1:7" ht="20.100000000000001" customHeight="1">
      <c r="A162" s="492" t="s">
        <v>426</v>
      </c>
      <c r="B162" s="182"/>
      <c r="C162" s="182"/>
      <c r="D162" s="182"/>
      <c r="E162" s="182"/>
      <c r="F162" s="187" t="s">
        <v>427</v>
      </c>
      <c r="G162" s="447">
        <v>13419844</v>
      </c>
    </row>
    <row r="163" spans="1:7" ht="20.100000000000001" customHeight="1">
      <c r="A163" s="492" t="s">
        <v>428</v>
      </c>
      <c r="B163" s="182"/>
      <c r="C163" s="182"/>
      <c r="D163" s="182"/>
      <c r="E163" s="182"/>
      <c r="F163" s="187" t="s">
        <v>429</v>
      </c>
      <c r="G163" s="447">
        <v>465082</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90057</v>
      </c>
    </row>
    <row r="167" spans="1:7" ht="20.100000000000001" customHeight="1">
      <c r="A167" s="492" t="s">
        <v>436</v>
      </c>
      <c r="B167" s="182"/>
      <c r="C167" s="182"/>
      <c r="D167" s="182"/>
      <c r="E167" s="182"/>
      <c r="F167" s="187" t="s">
        <v>437</v>
      </c>
      <c r="G167" s="447">
        <v>5184736</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184806</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3887353</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1342052</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103984</v>
      </c>
    </row>
    <row r="178" spans="1:7" ht="20.100000000000001" customHeight="1">
      <c r="A178" s="492" t="s">
        <v>455</v>
      </c>
      <c r="B178" s="182"/>
      <c r="C178" s="182"/>
      <c r="D178" s="182"/>
      <c r="E178" s="182"/>
      <c r="F178" s="187" t="s">
        <v>456</v>
      </c>
      <c r="G178" s="447">
        <v>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68265</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f>3597587+18141</f>
        <v>3615728</v>
      </c>
    </row>
    <row r="186" spans="1:7" ht="20.100000000000001" customHeight="1">
      <c r="A186" s="492" t="s">
        <v>471</v>
      </c>
      <c r="B186" s="182"/>
      <c r="C186" s="182"/>
      <c r="D186" s="182"/>
      <c r="E186" s="182"/>
      <c r="F186" s="187" t="s">
        <v>472</v>
      </c>
      <c r="G186" s="447">
        <f>6677258+33171</f>
        <v>6710429</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f>478385+546393+30000</f>
        <v>1054778</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5495468</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69057885</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629381</v>
      </c>
    </row>
    <row r="200" spans="1:7" ht="20.100000000000001" customHeight="1">
      <c r="A200" s="492" t="s">
        <v>490</v>
      </c>
      <c r="B200" s="182"/>
      <c r="C200" s="182"/>
      <c r="D200" s="182"/>
      <c r="E200" s="182"/>
      <c r="F200" s="187" t="s">
        <v>491</v>
      </c>
      <c r="G200" s="447">
        <v>24524</v>
      </c>
    </row>
    <row r="201" spans="1:7" ht="20.100000000000001" customHeight="1">
      <c r="A201" s="492" t="s">
        <v>492</v>
      </c>
      <c r="B201" s="182"/>
      <c r="C201" s="182"/>
      <c r="D201" s="182"/>
      <c r="E201" s="182"/>
      <c r="F201" s="187" t="s">
        <v>493</v>
      </c>
      <c r="G201" s="447">
        <v>720705</v>
      </c>
    </row>
    <row r="202" spans="1:7" ht="20.100000000000001" customHeight="1">
      <c r="A202" s="492" t="s">
        <v>494</v>
      </c>
      <c r="B202" s="182"/>
      <c r="C202" s="182"/>
      <c r="D202" s="182"/>
      <c r="E202" s="182"/>
      <c r="F202" s="187" t="s">
        <v>495</v>
      </c>
      <c r="G202" s="447">
        <v>278358</v>
      </c>
    </row>
    <row r="203" spans="1:7" ht="20.100000000000001" customHeight="1">
      <c r="A203" s="492" t="s">
        <v>496</v>
      </c>
      <c r="B203" s="182"/>
      <c r="C203" s="182"/>
      <c r="D203" s="182"/>
      <c r="E203" s="182"/>
      <c r="F203" s="187" t="s">
        <v>497</v>
      </c>
      <c r="G203" s="447">
        <v>1603320</v>
      </c>
    </row>
    <row r="204" spans="1:7" ht="20.100000000000001" customHeight="1">
      <c r="A204" s="492" t="s">
        <v>498</v>
      </c>
      <c r="B204" s="182"/>
      <c r="C204" s="182"/>
      <c r="D204" s="182"/>
      <c r="E204" s="182"/>
      <c r="F204" s="187" t="s">
        <v>499</v>
      </c>
      <c r="G204" s="447">
        <v>500257</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2184540</v>
      </c>
    </row>
    <row r="207" spans="1:7" ht="20.100000000000001" customHeight="1">
      <c r="A207" s="492" t="s">
        <v>502</v>
      </c>
      <c r="B207" s="182"/>
      <c r="C207" s="182"/>
      <c r="D207" s="182"/>
      <c r="E207" s="182"/>
      <c r="F207" s="187" t="s">
        <v>503</v>
      </c>
      <c r="G207" s="447">
        <v>2751306</v>
      </c>
    </row>
    <row r="208" spans="1:7" ht="20.100000000000001" customHeight="1">
      <c r="A208" s="492" t="s">
        <v>504</v>
      </c>
      <c r="B208" s="182"/>
      <c r="C208" s="182"/>
      <c r="D208" s="182"/>
      <c r="E208" s="182"/>
      <c r="F208" s="187" t="s">
        <v>505</v>
      </c>
      <c r="G208" s="447">
        <v>9057161</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551676</v>
      </c>
    </row>
    <row r="212" spans="1:7" ht="20.100000000000001" customHeight="1">
      <c r="A212" s="492" t="s">
        <v>511</v>
      </c>
      <c r="B212" s="182"/>
      <c r="C212" s="182"/>
      <c r="D212" s="182"/>
      <c r="E212" s="182"/>
      <c r="F212" s="187" t="s">
        <v>512</v>
      </c>
      <c r="G212" s="447">
        <v>977139</v>
      </c>
    </row>
    <row r="213" spans="1:7" ht="20.100000000000001" customHeight="1">
      <c r="A213" s="492" t="s">
        <v>513</v>
      </c>
      <c r="F213" s="205" t="s">
        <v>514</v>
      </c>
      <c r="G213" s="447">
        <v>2842059</v>
      </c>
    </row>
    <row r="214" spans="1:7" ht="20.100000000000001" customHeight="1">
      <c r="A214" s="492" t="s">
        <v>515</v>
      </c>
      <c r="B214" s="182"/>
      <c r="C214" s="182"/>
      <c r="D214" s="182"/>
      <c r="E214" s="182"/>
      <c r="F214" s="187" t="s">
        <v>516</v>
      </c>
      <c r="G214" s="447">
        <v>146612</v>
      </c>
    </row>
    <row r="215" spans="1:7" ht="20.100000000000001" customHeight="1">
      <c r="A215" s="492" t="s">
        <v>517</v>
      </c>
      <c r="B215" s="182"/>
      <c r="C215" s="182"/>
      <c r="D215" s="182"/>
      <c r="E215" s="182"/>
      <c r="F215" s="187" t="s">
        <v>518</v>
      </c>
      <c r="G215" s="447">
        <v>575228</v>
      </c>
    </row>
    <row r="216" spans="1:7" ht="20.100000000000001" customHeight="1">
      <c r="A216" s="492" t="s">
        <v>519</v>
      </c>
      <c r="B216" s="182"/>
      <c r="C216" s="182"/>
      <c r="D216" s="182"/>
      <c r="E216" s="182"/>
      <c r="F216" s="187" t="s">
        <v>520</v>
      </c>
      <c r="G216" s="447">
        <v>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1775000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2150000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26767266</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504531</v>
      </c>
    </row>
    <row r="235" spans="1:9" ht="20.100000000000001" customHeight="1">
      <c r="A235" s="492" t="s">
        <v>544</v>
      </c>
      <c r="B235" s="182"/>
      <c r="C235" s="182"/>
      <c r="D235" s="182"/>
      <c r="E235" s="182"/>
      <c r="F235" s="187" t="s">
        <v>545</v>
      </c>
      <c r="G235" s="447">
        <f>89631+76565</f>
        <v>166196</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74538</v>
      </c>
    </row>
    <row r="241" spans="1:7" ht="20.100000000000001" customHeight="1">
      <c r="A241" s="492" t="s">
        <v>549</v>
      </c>
      <c r="B241" s="182"/>
      <c r="C241" s="182"/>
      <c r="D241" s="182"/>
      <c r="E241" s="182"/>
      <c r="F241" s="187" t="s">
        <v>550</v>
      </c>
      <c r="G241" s="447">
        <v>63235</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808500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96633651</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3009618</v>
      </c>
    </row>
    <row r="261" spans="1:12" ht="20.100000000000001" customHeight="1">
      <c r="A261" s="492" t="s">
        <v>569</v>
      </c>
      <c r="B261" s="182"/>
      <c r="C261" s="182"/>
      <c r="D261" s="182"/>
      <c r="E261" s="182"/>
      <c r="F261" s="199">
        <v>31100</v>
      </c>
      <c r="G261" s="611">
        <f>19663215-G260</f>
        <v>16653597</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19663215</v>
      </c>
    </row>
    <row r="264" spans="1:12" ht="20.100000000000001" customHeight="1">
      <c r="A264" s="493"/>
      <c r="B264" s="182"/>
      <c r="C264" s="182"/>
      <c r="D264" s="182"/>
      <c r="E264" s="182"/>
      <c r="F264" s="199"/>
      <c r="G264" s="215"/>
    </row>
    <row r="265" spans="1:12" ht="20.100000000000001" customHeight="1" thickBot="1">
      <c r="A265" s="504" t="s">
        <v>774</v>
      </c>
      <c r="F265" s="205">
        <v>30800</v>
      </c>
      <c r="G265" s="448">
        <v>-35408797</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-15745582</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yXC+QJmLmySMhXz/Pj9Ap4JyJ/30JUWjB+SF+vP5aWC3eqnaRW2mZ72zGwnoYDQcnZPZf4CHxmsom9VGyPstiw==" saltValue="QvmhaNZEq10p57e/bvmlh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purl.org/dc/dcmitype/"/>
    <ds:schemaRef ds:uri="http://purl.org/dc/terms/"/>
    <ds:schemaRef ds:uri="http://purl.org/dc/elements/1.1/"/>
    <ds:schemaRef ds:uri="ee822479-6e51-4d14-b6b0-2c589e913e66"/>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2024-06-17T20:48:01Z</cp:lastPrinted>
  <dcterms:created xsi:type="dcterms:W3CDTF">2005-03-22T15:46:43Z</dcterms:created>
  <dcterms:modified xsi:type="dcterms:W3CDTF">2024-08-19T19:01:58Z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21.3</vt:lpwstr>
  </property>
</Properties>
</file>