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Gateway\"/>
    </mc:Choice>
  </mc:AlternateContent>
  <xr:revisionPtr revIDLastSave="0" documentId="8_{E70658B3-A39B-4181-AEDD-2A5E704130CB}"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1" i="7" l="1"/>
  <c r="D77" i="15"/>
  <c r="D76" i="15"/>
  <c r="D73" i="15"/>
  <c r="D68" i="15"/>
  <c r="D67" i="15"/>
  <c r="D64" i="15"/>
  <c r="D15" i="15"/>
  <c r="D16" i="15"/>
  <c r="B14" i="8" l="1"/>
  <c r="C14" i="8"/>
  <c r="B18" i="8"/>
  <c r="B17" i="8"/>
  <c r="B16" i="8"/>
  <c r="B10" i="8"/>
  <c r="G193" i="7"/>
  <c r="G189" i="7"/>
  <c r="G191" i="7"/>
  <c r="G186" i="7"/>
  <c r="G185" i="7"/>
  <c r="G177" i="7"/>
  <c r="G167" i="7"/>
  <c r="G165" i="7"/>
  <c r="G155" i="7"/>
  <c r="G153" i="7"/>
  <c r="G152" i="7"/>
  <c r="G225" i="7" l="1"/>
  <c r="G192" i="7"/>
  <c r="G178" i="7"/>
  <c r="G172" i="7"/>
  <c r="G127" i="7"/>
  <c r="G111" i="7"/>
  <c r="G126" i="7"/>
  <c r="G81" i="7"/>
  <c r="G60" i="7"/>
  <c r="G51" i="7"/>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30" i="5"/>
  <c r="I30" i="5" s="1"/>
  <c r="H11" i="6"/>
  <c r="G13" i="7" s="1"/>
  <c r="H36" i="5"/>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H37" i="6" l="1"/>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<sst xmlns="http://schemas.openxmlformats.org/spreadsheetml/2006/main" count="1300" uniqueCount="785">
  <si>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</si>
  <si>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</si>
  <si>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</si>
  <si>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</si>
  <si>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</si>
  <si>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</si>
  <si>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</si>
  <si>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</si>
  <si>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</si>
  <si>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</si>
  <si>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</si>
  <si>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</si>
  <si>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</si>
  <si>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</si>
  <si>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</si>
  <si>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</si>
  <si>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</si>
  <si>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</si>
  <si>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</si>
  <si>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</si>
  <si>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</si>
  <si>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</si>
  <si>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</si>
  <si>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</si>
  <si>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</si>
  <si>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</si>
  <si>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</si>
  <si>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</si>
  <si>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</si>
  <si>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</si>
  <si>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</si>
  <si>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</si>
  <si>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</si>
  <si>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</si>
  <si>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</si>
  <si>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</si>
  <si>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</si>
  <si>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</si>
  <si>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</si>
  <si>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</si>
  <si>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</si>
  <si>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</si>
  <si>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</si>
  <si>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</si>
  <si>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</si>
  <si>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</si>
  <si>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</si>
  <si>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</si>
  <si>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</si>
  <si>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</si>
  <si>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</si>
  <si>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</si>
  <si>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</si>
  <si>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</si>
  <si>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</si>
  <si>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</si>
  <si>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</si>
  <si>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</si>
  <si>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</si>
  <si>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</si>
  <si>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</si>
  <si>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</si>
  <si>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</si>
  <si>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</si>
  <si>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</si>
  <si>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</si>
  <si>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</si>
  <si>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</si>
  <si>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</si>
  <si>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</si>
  <si>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</si>
  <si>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</si>
  <si>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</si>
  <si>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</si>
  <si>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</si>
  <si>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</si>
  <si>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</si>
  <si>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</si>
  <si>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</si>
  <si>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</si>
  <si>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</si>
  <si>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</si>
  <si>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</si>
  <si>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</si>
  <si>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</si>
  <si>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</si>
  <si>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</si>
  <si>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</si>
  <si>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</si>
  <si>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</si>
  <si>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</si>
  <si>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</si>
  <si>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</si>
  <si>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</si>
  <si>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</si>
  <si>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</si>
  <si>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</si>
  <si>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</si>
  <si>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</si>
  <si>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</si>
  <si>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</si>
  <si>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</si>
  <si>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</si>
  <si>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</si>
  <si>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</si>
  <si>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</si>
  <si>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</si>
  <si>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</si>
  <si>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</si>
  <si>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</si>
  <si>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</si>
  <si>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</si>
  <si>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</si>
  <si>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</si>
  <si>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</si>
  <si>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</si>
  <si>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</si>
  <si>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</si>
  <si>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</si>
  <si>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</si>
  <si>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</si>
  <si>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</si>
  <si>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</si>
  <si>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</si>
  <si>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</si>
  <si>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</si>
  <si>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</si>
  <si>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</si>
  <si>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</si>
  <si>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</si>
  <si>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</si>
  <si>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</si>
  <si>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</si>
  <si>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</si>
  <si>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</si>
  <si>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</si>
  <si>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</si>
  <si>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</si>
  <si>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</si>
  <si>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</si>
  <si>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</si>
  <si>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</si>
  <si>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</si>
  <si>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</si>
  <si>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</si>
  <si>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</si>
  <si>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</si>
  <si>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</si>
  <si>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</si>
  <si>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</si>
  <si>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</si>
  <si>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</si>
  <si>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</si>
  <si>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</si>
  <si>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</si>
  <si>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</si>
  <si>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</si>
  <si>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</si>
  <si>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</si>
  <si>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</si>
  <si>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</si>
  <si>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</si>
  <si>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</si>
  <si>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</si>
  <si>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</si>
  <si>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</si>
  <si>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</si>
  <si>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</si>
  <si>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</si>
  <si>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</si>
  <si>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</si>
  <si>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</si>
  <si>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</si>
  <si>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</si>
  <si>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</si>
  <si>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</si>
  <si>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</si>
  <si>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</si>
  <si>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</si>
  <si>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</si>
  <si>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</si>
  <si>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</si>
  <si>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</si>
  <si>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</si>
  <si>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</si>
  <si>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</si>
  <si>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</si>
  <si>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</si>
  <si>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</si>
  <si>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</si>
  <si>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</si>
  <si>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</si>
  <si>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</si>
  <si>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</si>
  <si>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</si>
  <si>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</si>
  <si>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</si>
  <si>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</si>
  <si>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</si>
  <si>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</si>
  <si>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</si>
  <si>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</si>
  <si>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</si>
  <si>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</si>
  <si>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</si>
  <si>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</si>
  <si>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</si>
  <si>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</si>
  <si>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</si>
  <si>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</si>
  <si>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</si>
  <si>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</si>
  <si>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</si>
  <si>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</si>
  <si>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</si>
  <si>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</si>
  <si>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</si>
  <si>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</si>
  <si>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</si>
  <si>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</si>
  <si>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</si>
  <si>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</si>
  <si>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</si>
  <si>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</si>
  <si>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</si>
  <si>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</si>
  <si>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</si>
  <si>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</si>
  <si>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</si>
  <si>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</si>
  <si>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</si>
  <si>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</si>
  <si>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</si>
  <si>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</si>
  <si>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</si>
  <si>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</si>
  <si>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</si>
  <si>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</si>
  <si>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</si>
  <si>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</si>
  <si>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</si>
  <si>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</si>
  <si>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</si>
  <si>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</si>
  <si>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</si>
  <si>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</si>
  <si>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</si>
  <si>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</si>
  <si>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</si>
  <si>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</si>
  <si>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</si>
  <si>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</si>
  <si>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</si>
  <si>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</si>
  <si>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</si>
  <si>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</si>
  <si>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</si>
  <si>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</si>
  <si>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</si>
  <si>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</si>
  <si>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</si>
  <si>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</si>
  <si>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</si>
  <si>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</si>
  <si>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</si>
  <si>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</si>
  <si>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</si>
  <si>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</si>
  <si>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</si>
  <si>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</si>
  <si>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</si>
  <si>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</si>
  <si>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</si>
  <si>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</si>
  <si>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</si>
  <si>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</si>
  <si>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</si>
  <si>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</si>
  <si>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</si>
  <si>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</si>
  <si>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</si>
  <si>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</si>
  <si>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</si>
  <si>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</si>
  <si>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</si>
  <si>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</si>
  <si>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</si>
  <si>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</si>
  <si>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</si>
  <si>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</si>
  <si>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</si>
  <si>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</si>
  <si>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</si>
  <si>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</si>
  <si>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</si>
  <si>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</si>
  <si>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</si>
  <si>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</si>
  <si>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</si>
  <si>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</si>
  <si>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</si>
  <si>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</si>
  <si>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</si>
  <si>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</si>
  <si>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</si>
  <si>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</si>
  <si>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</si>
  <si>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</si>
  <si>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</si>
  <si>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</si>
  <si>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</si>
  <si>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</si>
  <si>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</si>
  <si>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</si>
  <si>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</si>
  <si>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</si>
  <si>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</si>
  <si>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</si>
  <si>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</si>
  <si>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</si>
  <si>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</si>
  <si>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</si>
  <si>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</si>
  <si>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</si>
  <si>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</si>
  <si>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</si>
  <si>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</si>
  <si>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</si>
  <si>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</si>
  <si>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</si>
  <si>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</si>
  <si>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</si>
  <si>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</si>
  <si>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</si>
  <si>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</si>
  <si>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</si>
  <si>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</si>
  <si>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</si>
  <si>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</si>
  <si>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</si>
  <si>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</si>
  <si>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</si>
  <si>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</si>
  <si>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</si>
  <si>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</si>
  <si>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</si>
  <si>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</si>
  <si>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</si>
  <si>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</si>
  <si>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</si>
  <si>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</si>
  <si>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</si>
  <si>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</si>
  <si>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</si>
  <si>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</si>
  <si>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</si>
  <si>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</si>
  <si>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</si>
  <si>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</si>
  <si>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</si>
  <si>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</si>
  <si>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</si>
  <si>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</si>
  <si>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</si>
  <si>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</si>
  <si>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</si>
  <si>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</si>
  <si>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</si>
  <si>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</si>
  <si>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</si>
  <si>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</si>
  <si>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</si>
  <si>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</si>
  <si>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</si>
  <si>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</si>
  <si>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</si>
  <si>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</si>
  <si>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</si>
  <si>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</si>
  <si>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</si>
  <si>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</si>
  <si>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</si>
  <si>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</si>
  <si>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</si>
  <si>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</si>
  <si>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</si>
  <si>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</si>
  <si>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</si>
  <si>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</si>
  <si>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</si>
  <si>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</si>
  <si>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</si>
  <si>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</si>
  <si>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</si>
  <si>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</si>
  <si>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</si>
  <si>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</si>
  <si>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</si>
  <si>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</si>
  <si>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</si>
  <si>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</si>
  <si>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</si>
  <si>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</si>
  <si>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</si>
  <si>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</si>
  <si>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</si>
  <si>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</si>
  <si>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</si>
  <si>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</si>
  <si>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</si>
  <si>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</si>
  <si>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</si>
  <si>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</si>
  <si>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</si>
  <si>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</si>
  <si>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</si>
  <si>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</si>
  <si>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</si>
  <si>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</si>
  <si>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</si>
  <si>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</si>
  <si>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</si>
  <si>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</si>
  <si>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</si>
  <si>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</si>
  <si>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</si>
  <si>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</si>
  <si>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</si>
  <si>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</si>
  <si>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</si>
  <si>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</si>
  <si>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</si>
  <si>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</si>
  <si>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</si>
  <si>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</si>
  <si>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</si>
  <si>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</si>
  <si>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</si>
  <si>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</si>
  <si>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</si>
  <si>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</si>
  <si>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</si>
  <si>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</si>
  <si>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</si>
  <si>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</si>
  <si>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</si>
  <si>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</si>
  <si>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</si>
  <si>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</si>
  <si>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</si>
  <si>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</si>
  <si>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</si>
  <si>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</si>
  <si>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</si>
  <si>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</si>
  <si>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</si>
  <si>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</si>
  <si>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</si>
  <si>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</si>
  <si>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</si>
  <si>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</si>
  <si>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</si>
  <si>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</si>
  <si>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</si>
  <si>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</si>
  <si>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</si>
  <si>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</si>
  <si>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</si>
  <si>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</si>
  <si>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</si>
  <si>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</si>
  <si>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</si>
  <si>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</si>
  <si>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</si>
  <si>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</si>
  <si>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</si>
  <si>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</si>
  <si>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</si>
  <si>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</si>
  <si>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</si>
  <si>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</si>
  <si>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</si>
  <si>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</si>
  <si>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</si>
  <si>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</si>
  <si>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</si>
  <si>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</si>
  <si>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</si>
  <si>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</si>
  <si>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</si>
  <si>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</si>
  <si>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</si>
  <si>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</si>
  <si>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</si>
  <si>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</si>
  <si>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</si>
  <si>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</si>
  <si>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</si>
  <si>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</si>
  <si>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</si>
  <si>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</si>
  <si>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</si>
  <si>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</si>
  <si>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</si>
  <si>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</si>
  <si>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</si>
  <si>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</si>
  <si>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</si>
  <si>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</si>
  <si>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</si>
  <si>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</si>
  <si>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</si>
  <si>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</si>
  <si>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</si>
  <si>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</si>
  <si>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</si>
  <si>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</si>
  <si>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</si>
  <si>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</si>
  <si>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</si>
  <si>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</si>
  <si>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</si>
  <si>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</si>
  <si>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</si>
  <si>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</si>
  <si>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</si>
  <si>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</si>
  <si>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</si>
  <si>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</si>
  <si>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</si>
  <si>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</si>
  <si>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</si>
  <si>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</si>
  <si>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</si>
  <si>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</si>
  <si>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</si>
  <si>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</si>
  <si>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</si>
  <si>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</si>
  <si>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</si>
  <si>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</si>
  <si>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</si>
  <si>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</si>
  <si>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</si>
  <si>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</si>
  <si>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</si>
  <si>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</si>
  <si>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</si>
  <si>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</si>
  <si>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</si>
  <si>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</si>
  <si>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</si>
  <si>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</si>
  <si>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</si>
  <si>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</si>
  <si>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</si>
  <si>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</si>
  <si>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</si>
  <si>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</si>
  <si>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</si>
  <si>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</si>
  <si>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</si>
  <si>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</si>
  <si>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</si>
  <si>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</si>
  <si>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</si>
  <si>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</si>
  <si>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</si>
  <si>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</si>
  <si>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</si>
  <si>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</si>
  <si>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</si>
  <si>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</si>
  <si>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</si>
  <si>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</si>
  <si>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</si>
  <si>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</si>
  <si>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</si>
  <si>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</si>
  <si>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</si>
  <si>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</si>
  <si>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</si>
  <si>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</si>
  <si>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</si>
  <si>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</si>
  <si>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</si>
  <si>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</si>
  <si>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</si>
  <si>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</si>
  <si>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</si>
  <si>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</si>
  <si>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</si>
  <si>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</si>
  <si>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</si>
  <si>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</si>
  <si>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</si>
  <si>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</si>
  <si>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</si>
  <si>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</si>
  <si>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</si>
  <si>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</si>
  <si>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</si>
  <si>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</si>
  <si>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</si>
  <si>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</si>
  <si>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</si>
  <si>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</si>
  <si>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</si>
  <si>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</si>
  <si>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</si>
  <si>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</si>
  <si>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</si>
  <si>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</si>
  <si>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</si>
  <si>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</si>
  <si>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</si>
  <si>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</si>
  <si>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</si>
  <si>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</si>
  <si>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</si>
  <si>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</si>
  <si>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</si>
  <si>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</si>
  <si>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</si>
  <si>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</si>
  <si>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</si>
  <si>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</si>
  <si>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</si>
  <si>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</si>
  <si>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</si>
  <si>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</si>
  <si>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</si>
  <si>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</si>
  <si>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</si>
  <si>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</si>
  <si>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</si>
  <si>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</si>
  <si>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</si>
  <si>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</si>
  <si>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</si>
  <si>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</si>
  <si>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</si>
  <si>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</si>
  <si>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</si>
  <si>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</si>
  <si>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</si>
  <si>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</si>
  <si>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</si>
  <si>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</si>
  <si>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</si>
  <si>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</si>
  <si>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</si>
  <si>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</si>
  <si>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</si>
  <si>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</si>
  <si>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</si>
  <si>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</si>
  <si>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</si>
  <si>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</si>
  <si>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</si>
  <si>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</si>
  <si>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</si>
  <si>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</si>
  <si>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</si>
  <si>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</si>
  <si>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</si>
  <si>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</si>
  <si>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</si>
  <si>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</si>
  <si>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</si>
  <si>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</si>
  <si>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</si>
  <si>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</si>
  <si>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</si>
  <si>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</si>
  <si>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</si>
  <si>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</si>
  <si>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</si>
  <si>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</si>
  <si>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</si>
  <si>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</si>
  <si>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</si>
  <si>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</si>
  <si>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</si>
  <si>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</si>
  <si>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</si>
  <si>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</si>
  <si>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</si>
  <si>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</si>
  <si>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</si>
  <si>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</si>
  <si>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</si>
  <si>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</si>
  <si>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</si>
  <si>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</si>
  <si>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</si>
  <si>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</si>
  <si>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</si>
  <si>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</si>
  <si>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</si>
  <si>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</si>
  <si>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</si>
  <si>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</si>
  <si>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</si>
  <si>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</si>
  <si>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</si>
  <si>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</si>
  <si>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</si>
  <si>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</si>
  <si>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</si>
  <si>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</si>
  <si>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</si>
  <si>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</si>
  <si>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</si>
  <si>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</si>
  <si>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</si>
  <si>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</si>
  <si>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</si>
  <si>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</si>
  <si>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</si>
  <si>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</si>
  <si>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</si>
  <si>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</si>
  <si>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</si>
  <si>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</si>
  <si>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</si>
  <si>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</si>
  <si>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</si>
  <si>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</si>
  <si>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</si>
  <si>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</si>
  <si>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</si>
  <si>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</si>
  <si>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</si>
  <si>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</si>
  <si>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</si>
  <si>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</si>
  <si>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</si>
  <si>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</si>
  <si>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</si>
  <si>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</si>
  <si>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</si>
  <si>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</si>
  <si>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</si>
  <si>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</si>
  <si>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</si>
  <si>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</si>
  <si>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</si>
  <si>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</si>
  <si>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</si>
  <si>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</si>
  <si>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</si>
  <si>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</si>
  <si>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</si>
  <si>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</si>
  <si>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</si>
  <si>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</si>
  <si>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</si>
  <si>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</si>
  <si>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</si>
  <si>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</si>
  <si>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</si>
  <si>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</si>
  <si>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</si>
  <si>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</si>
  <si>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</si>
  <si>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</si>
  <si>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</si>
  <si>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</si>
  <si>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</si>
  <si>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</si>
  <si>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</si>
  <si>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</si>
  <si>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</si>
  <si>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</si>
  <si>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</si>
  <si>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</si>
  <si>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</si>
  <si>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</si>
  <si>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</si>
  <si>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</si>
  <si>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</si>
  <si>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</si>
  <si>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</si>
  <si>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We are projecting an increase in workforce programs due to the expansion of these programs along with additional scholarships for workforce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</si>
</sst>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Florida Gateway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f>7707807.38+3356654</f>
        <v>11064461.379999999</v>
      </c>
      <c r="C10" s="450">
        <v>1115269.21</v>
      </c>
      <c r="D10" s="450">
        <v>20000</v>
      </c>
      <c r="E10" s="369">
        <f>SUM(B10:D10)</f>
        <v>12199730.59</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f>2542955.36+190968.85-18662.9</f>
        <v>2715261.31</v>
      </c>
      <c r="C14" s="452">
        <f>593169.64-130945.29</f>
        <v>462224.35000000003</v>
      </c>
      <c r="D14" s="452">
        <v>0</v>
      </c>
      <c r="E14" s="370">
        <f t="shared" ref="E14:E20" si="0">SUM(B14:D14)</f>
        <v>3177485.66</v>
      </c>
      <c r="F14" s="352"/>
    </row>
    <row r="15" spans="1:8" s="17" customFormat="1" ht="20.100000000000001" customHeight="1">
      <c r="A15" s="368" t="s">
        <v>585</v>
      </c>
      <c r="B15" s="451">
        <v>13692.95</v>
      </c>
      <c r="C15" s="440">
        <v>130945.29</v>
      </c>
      <c r="D15" s="440">
        <v>0</v>
      </c>
      <c r="E15" s="370">
        <f>SUM(B15:D15)</f>
        <v>144638.24</v>
      </c>
      <c r="F15" s="352"/>
    </row>
    <row r="16" spans="1:8" s="17" customFormat="1" ht="20.100000000000001" customHeight="1">
      <c r="A16" s="368" t="s">
        <v>586</v>
      </c>
      <c r="B16" s="451">
        <f>2773952.61+65346</f>
        <v>2839298.61</v>
      </c>
      <c r="C16" s="440">
        <v>802123</v>
      </c>
      <c r="D16" s="440">
        <v>90000</v>
      </c>
      <c r="E16" s="370">
        <f t="shared" si="0"/>
        <v>3731421.61</v>
      </c>
      <c r="F16" s="352"/>
    </row>
    <row r="17" spans="1:6" s="17" customFormat="1" ht="20.100000000000001" customHeight="1">
      <c r="A17" s="368" t="s">
        <v>587</v>
      </c>
      <c r="B17" s="451">
        <f>3785151.36+5000</f>
        <v>3790151.36</v>
      </c>
      <c r="C17" s="440">
        <v>1871625.3</v>
      </c>
      <c r="D17" s="440">
        <v>101000</v>
      </c>
      <c r="E17" s="370">
        <f t="shared" si="0"/>
        <v>5762776.6600000001</v>
      </c>
      <c r="F17" s="352"/>
    </row>
    <row r="18" spans="1:6" s="17" customFormat="1" ht="20.100000000000001" customHeight="1">
      <c r="A18" s="368" t="s">
        <v>588</v>
      </c>
      <c r="B18" s="451">
        <f>592625.4+53000</f>
        <v>645625.4</v>
      </c>
      <c r="C18" s="440">
        <v>2866864.56</v>
      </c>
      <c r="D18" s="440">
        <v>0</v>
      </c>
      <c r="E18" s="370">
        <f t="shared" si="0"/>
        <v>3512489.96</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224723.08</v>
      </c>
      <c r="C20" s="441">
        <v>30000</v>
      </c>
      <c r="D20" s="441">
        <v>20000</v>
      </c>
      <c r="E20" s="370">
        <f t="shared" si="0"/>
        <v>274723.07999999996</v>
      </c>
      <c r="F20" s="352"/>
    </row>
    <row r="21" spans="1:6" s="17" customFormat="1" ht="24" customHeight="1" thickBot="1">
      <c r="A21" s="293" t="s">
        <v>49</v>
      </c>
      <c r="B21" s="353">
        <f>SUM(B10:B20)</f>
        <v>21293214.089999996</v>
      </c>
      <c r="C21" s="356">
        <f>SUM(C10:C20)</f>
        <v>7279051.7100000009</v>
      </c>
      <c r="D21" s="356">
        <f>SUM(D10:D20)</f>
        <v>231000</v>
      </c>
      <c r="E21" s="355">
        <f>SUM(E10:E20)</f>
        <v>28803265.800000001</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oVzI5BtZBsBKtff+Hnk1dw7WGLHjOr5kSwcfMlzo2hMv3JblTAIvjhd9A76NiXTNb5LXYxY+CJDSKygAWd3BkA==" saltValue="R+t2nUxCt3YXMPql+G9R0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Florida Gateway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f>467167.03-8250-4125+25000</f>
        <v>479792.03</v>
      </c>
      <c r="E15" s="756">
        <v>0</v>
      </c>
      <c r="F15" s="757">
        <f t="shared" si="0"/>
        <v>479792.03</v>
      </c>
      <c r="I15" s="88"/>
      <c r="J15" s="29"/>
      <c r="K15" s="93"/>
      <c r="L15" s="93"/>
      <c r="M15" s="93"/>
      <c r="N15" s="93"/>
    </row>
    <row r="16" spans="1:224" s="17" customFormat="1" ht="30" customHeight="1">
      <c r="A16" s="753" t="s">
        <v>409</v>
      </c>
      <c r="B16" s="754"/>
      <c r="C16" s="755" t="s">
        <v>410</v>
      </c>
      <c r="D16" s="756">
        <f>8250+4125+56500</f>
        <v>68875</v>
      </c>
      <c r="E16" s="756">
        <v>0</v>
      </c>
      <c r="F16" s="757">
        <f t="shared" si="0"/>
        <v>68875</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99568</v>
      </c>
      <c r="E35" s="756">
        <v>0</v>
      </c>
      <c r="F35" s="757">
        <f>+D35+E35</f>
        <v>99568</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35738.28</v>
      </c>
      <c r="E48" s="756">
        <v>0</v>
      </c>
      <c r="F48" s="757">
        <f t="shared" si="0"/>
        <v>35738.28</v>
      </c>
    </row>
    <row r="49" spans="1:6" s="17" customFormat="1" ht="30" customHeight="1">
      <c r="A49" s="753" t="s">
        <v>471</v>
      </c>
      <c r="B49" s="754"/>
      <c r="C49" s="755" t="s">
        <v>472</v>
      </c>
      <c r="D49" s="756">
        <v>63674.87</v>
      </c>
      <c r="E49" s="756">
        <v>0</v>
      </c>
      <c r="F49" s="757">
        <f t="shared" si="0"/>
        <v>63674.87</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70678.73</v>
      </c>
      <c r="E54" s="756">
        <v>0</v>
      </c>
      <c r="F54" s="757">
        <f t="shared" si="0"/>
        <v>70678.73</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818326.91</v>
      </c>
      <c r="E57" s="268">
        <f>SUM(E10:E56)</f>
        <v>0</v>
      </c>
      <c r="F57" s="268">
        <f t="shared" si="0"/>
        <v>818326.91</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f>8513+10500</f>
        <v>19013</v>
      </c>
      <c r="E64" s="453">
        <v>0</v>
      </c>
      <c r="F64" s="234">
        <f t="shared" si="0"/>
        <v>19013</v>
      </c>
    </row>
    <row r="65" spans="1:6" s="17" customFormat="1" ht="30" customHeight="1">
      <c r="A65" s="753" t="s">
        <v>490</v>
      </c>
      <c r="B65" s="754"/>
      <c r="C65" s="763" t="s">
        <v>491</v>
      </c>
      <c r="D65" s="756">
        <v>550</v>
      </c>
      <c r="E65" s="756">
        <v>0</v>
      </c>
      <c r="F65" s="757">
        <f t="shared" si="0"/>
        <v>550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f>1500+1850</f>
        <v>3350</v>
      </c>
      <c r="E67" s="756">
        <v>0</v>
      </c>
      <c r="F67" s="757">
        <f t="shared" si="0"/>
        <v>3350</v>
      </c>
    </row>
    <row r="68" spans="1:6" s="17" customFormat="1" ht="30" customHeight="1">
      <c r="A68" s="753" t="s">
        <v>602</v>
      </c>
      <c r="B68" s="754"/>
      <c r="C68" s="763" t="s">
        <v>497</v>
      </c>
      <c r="D68" s="756">
        <f>600</f>
        <v>600</v>
      </c>
      <c r="E68" s="756">
        <v>0</v>
      </c>
      <c r="F68" s="757">
        <f t="shared" si="0"/>
        <v>600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f>6980+500+2100</f>
        <v>9580</v>
      </c>
      <c r="E73" s="756">
        <v>0</v>
      </c>
      <c r="F73" s="757">
        <f t="shared" si="0"/>
        <v>9580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f>4577</f>
        <v>4577</v>
      </c>
      <c r="E76" s="756">
        <v>0</v>
      </c>
      <c r="F76" s="757">
        <f t="shared" si="1"/>
        <v>4577</v>
      </c>
    </row>
    <row r="77" spans="1:6" s="17" customFormat="1" ht="30" customHeight="1">
      <c r="A77" s="753" t="s">
        <v>511</v>
      </c>
      <c r="B77" s="754"/>
      <c r="C77" s="763" t="s">
        <v>512</v>
      </c>
      <c r="D77" s="756">
        <f>14500+1787+750+1400</f>
        <v>18437</v>
      </c>
      <c r="E77" s="756">
        <v>0</v>
      </c>
      <c r="F77" s="757">
        <f t="shared" si="1"/>
        <v>18437</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56107</v>
      </c>
      <c r="E93" s="264">
        <f>SUM(E64:E92)</f>
        <v>0</v>
      </c>
      <c r="F93" s="264">
        <f t="shared" si="1"/>
        <v>56107</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20000</v>
      </c>
      <c r="E100" s="756">
        <v>0</v>
      </c>
      <c r="F100" s="757">
        <f t="shared" si="1"/>
        <v>20000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20000</v>
      </c>
      <c r="E111" s="268">
        <f>SUM(E98:E110)</f>
        <v>0</v>
      </c>
      <c r="F111" s="268">
        <f>SUM(D111:E111)</f>
        <v>20000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894433.91</v>
      </c>
      <c r="E113" s="264">
        <f>+E57+E93+E111</f>
        <v>0</v>
      </c>
      <c r="F113" s="264">
        <f>SUM(D113:E113)</f>
        <v>894433.91</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328608</v>
      </c>
      <c r="E118" s="756">
        <v>0</v>
      </c>
      <c r="F118" s="757">
        <f t="shared" ref="F118:F128" si="3">+D118+E118</f>
        <v>328608</v>
      </c>
    </row>
    <row r="119" spans="1:6" s="69" customFormat="1" ht="30" customHeight="1">
      <c r="A119" s="753" t="s">
        <v>611</v>
      </c>
      <c r="B119" s="602"/>
      <c r="C119" s="765"/>
      <c r="D119" s="1080">
        <f>'EXHIBIT C'!F19</f>
        <v>0</v>
      </c>
      <c r="E119" s="756">
        <v>0</v>
      </c>
      <c r="F119" s="757">
        <f t="shared" si="3"/>
        <v>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565825.91</v>
      </c>
      <c r="E123" s="756">
        <v>0</v>
      </c>
      <c r="F123" s="757">
        <f t="shared" si="3"/>
        <v>565825.91</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894433.91</v>
      </c>
      <c r="E129" s="258">
        <f>SUM(E117:E128)</f>
        <v>0</v>
      </c>
      <c r="F129" s="259">
        <f>SUM(F117:F128)</f>
        <v>894433.91</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8INJo7nUXUDkzA2WK+djEtFbHEeopJ0WIJmE4oZxi+d24W188YgOIjQqE+Ds16UbdM8W1yNC0CxG9EU6wXdhmg==" saltValue="7y6PQXo/Y31QBYEupv3bl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35" colorId="22" zoomScale="70" zoomScaleNormal="70" zoomScaleSheetLayoutView="51" zoomScalePageLayoutView="60" workbookViewId="0">
      <selection activeCell="C53" sqref="C53"/>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32</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9.1391685870159431E-2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3510</v>
      </c>
      <c r="E44" s="114">
        <f>+'EXHIBIT C'!F10</f>
        <v>3580</v>
      </c>
      <c r="F44" s="115">
        <f t="shared" ref="F44:F50" si="0">IF(D44=0,"0",(E44/D44-1))</f>
        <v>1.9943019943019946E-2</v>
      </c>
      <c r="G44" s="116" t="str">
        <f t="shared" ref="G44:G50" si="1">IF(OR(F44&gt;3%, F44&lt;-3%),"YES","NO")</f>
        <v>NO</v>
      </c>
      <c r="H44" s="88"/>
    </row>
    <row r="45" spans="1:8" ht="20.100000000000001" customHeight="1">
      <c r="C45" s="117" t="s">
        <v>126</v>
      </c>
      <c r="D45" s="650">
        <f>VLOOKUP($D$7,VLOOKUP!$A$109:$S$137,5)*30+D60</f>
        <v>28019.061965637975</v>
      </c>
      <c r="E45" s="118">
        <f>+'EXHIBIT C'!F11</f>
        <v>29005</v>
      </c>
      <c r="F45" s="651">
        <f t="shared" si="0"/>
        <v>3.5188117131514263E-2</v>
      </c>
      <c r="G45" s="652" t="str">
        <f t="shared" si="1"/>
        <v>YES</v>
      </c>
      <c r="H45" s="88"/>
    </row>
    <row r="46" spans="1:8" ht="20.100000000000001" customHeight="1">
      <c r="C46" s="653" t="s">
        <v>127</v>
      </c>
      <c r="D46" s="654">
        <f>VLOOKUP($D$7,VLOOKUP!$A$109:$S$137,8)*30</f>
        <v>10922.728749323227</v>
      </c>
      <c r="E46" s="655">
        <f>+'EXHIBIT C'!F12</f>
        <v>12850</v>
      </c>
      <c r="F46" s="651">
        <f t="shared" si="0"/>
        <v>0.17644594999177166</v>
      </c>
      <c r="G46" s="652" t="str">
        <f t="shared" si="1"/>
        <v>YES</v>
      </c>
      <c r="H46" s="88"/>
    </row>
    <row r="47" spans="1:8" ht="20.100000000000001" customHeight="1">
      <c r="C47" s="653" t="s">
        <v>76</v>
      </c>
      <c r="D47" s="654">
        <f>VLOOKUP($D$7,VLOOKUP!$A$109:$S$137,17)*30</f>
        <v>8759.5984501585044</v>
      </c>
      <c r="E47" s="655">
        <f>+'EXHIBIT C'!F13</f>
        <v>10050</v>
      </c>
      <c r="F47" s="651">
        <f t="shared" si="0"/>
        <v>0.14731286567344259</v>
      </c>
      <c r="G47" s="652" t="str">
        <f t="shared" si="1"/>
        <v>YES</v>
      </c>
      <c r="H47" s="88"/>
    </row>
    <row r="48" spans="1:8" ht="20.100000000000001" customHeight="1">
      <c r="C48" s="653" t="s">
        <v>128</v>
      </c>
      <c r="D48" s="654">
        <f>VLOOKUP($D$7,VLOOKUP!$A$109:$S$137,11)*30</f>
        <v>1107.0520231213873</v>
      </c>
      <c r="E48" s="655">
        <f>+'EXHIBIT C'!F14</f>
        <v>1161</v>
      </c>
      <c r="F48" s="651">
        <f t="shared" si="0"/>
        <v>4.8731203007518875E-2</v>
      </c>
      <c r="G48" s="652" t="str">
        <f t="shared" si="1"/>
        <v>YES</v>
      </c>
      <c r="H48" s="88"/>
    </row>
    <row r="49" spans="3:8" ht="20.100000000000001" customHeight="1" thickBot="1">
      <c r="C49" s="656" t="s">
        <v>129</v>
      </c>
      <c r="D49" s="657">
        <f>VLOOKUP($D$7,VLOOKUP!$A$109:$S$137,14)*30</f>
        <v>90</v>
      </c>
      <c r="E49" s="658">
        <f>+'EXHIBIT C'!F15</f>
        <v>100</v>
      </c>
      <c r="F49" s="659">
        <f t="shared" si="0"/>
        <v>0.11111111111111116</v>
      </c>
      <c r="G49" s="660" t="str">
        <f t="shared" si="1"/>
        <v>YES</v>
      </c>
      <c r="H49" s="88"/>
    </row>
    <row r="50" spans="3:8" ht="20.100000000000001" customHeight="1" thickBot="1">
      <c r="C50" s="119" t="s">
        <v>49</v>
      </c>
      <c r="D50" s="120">
        <f>SUM(D44:D49)</f>
        <v>52408.441188241093</v>
      </c>
      <c r="E50" s="121">
        <f>+'EXHIBIT C'!F17</f>
        <v>56746</v>
      </c>
      <c r="F50" s="122">
        <f t="shared" si="0"/>
        <v>8.27645072704839E-2</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0</v>
      </c>
      <c r="F59" s="662" t="str">
        <f t="shared" ref="F59:F65" si="2">IF(D59=0,"0",(E59/D59-1))</f>
        <v>0</v>
      </c>
      <c r="G59" s="663" t="str">
        <f>IF(OR(F59&gt;5%, F59&lt;-5%),"YES","NO")</f>
        <v>NO</v>
      </c>
    </row>
    <row r="60" spans="3:8" ht="20.100000000000001" customHeight="1">
      <c r="C60" s="117" t="s">
        <v>126</v>
      </c>
      <c r="D60" s="661">
        <f>VLOOKUP($D$7,VLOOKUP!$A$109:$S$137,6)*30</f>
        <v>544.35306571126137</v>
      </c>
      <c r="E60" s="131">
        <f>+'EXHIBIT C'!D20</f>
        <v>544</v>
      </c>
      <c r="F60" s="662">
        <f t="shared" si="2"/>
        <v>-6.4859690061636055E-4</v>
      </c>
      <c r="G60" s="663" t="str">
        <f t="shared" ref="G60:G65" si="3">IF(OR(F60&gt;5%, F60&lt;-5%),"YES","NO")</f>
        <v>NO</v>
      </c>
      <c r="H60" s="88"/>
    </row>
    <row r="61" spans="3:8" ht="20.100000000000001" customHeight="1">
      <c r="C61" s="653" t="s">
        <v>127</v>
      </c>
      <c r="D61" s="664">
        <f>VLOOKUP($D$7,VLOOKUP!$A$109:$S$137,9)*30</f>
        <v>200.56307525717381</v>
      </c>
      <c r="E61" s="665">
        <f>+'EXHIBIT C'!D21</f>
        <v>201</v>
      </c>
      <c r="F61" s="662">
        <f t="shared" si="2"/>
        <v>2.1784904437964769E-3</v>
      </c>
      <c r="G61" s="663" t="str">
        <f t="shared" si="3"/>
        <v>NO</v>
      </c>
      <c r="H61" s="88"/>
    </row>
    <row r="62" spans="3:8" ht="20.100000000000001" customHeight="1">
      <c r="C62" s="653" t="s">
        <v>76</v>
      </c>
      <c r="D62" s="664">
        <f>VLOOKUP($D$7,VLOOKUP!$A$109:$S$137,18)*30</f>
        <v>56.111306798168371</v>
      </c>
      <c r="E62" s="665">
        <f>+'EXHIBIT C'!D22</f>
        <v>56</v>
      </c>
      <c r="F62" s="662">
        <f t="shared" si="2"/>
        <v>-1.9836785938480705E-3</v>
      </c>
      <c r="G62" s="663" t="str">
        <f t="shared" si="3"/>
        <v>NO</v>
      </c>
      <c r="H62" s="88"/>
    </row>
    <row r="63" spans="3:8" ht="20.100000000000001" customHeight="1">
      <c r="C63" s="653" t="s">
        <v>128</v>
      </c>
      <c r="D63" s="664">
        <f>VLOOKUP($D$7,VLOOKUP!$A$109:$S$137,12)*30</f>
        <v>32.947976878612714</v>
      </c>
      <c r="E63" s="665">
        <f>+'EXHIBIT C'!D23</f>
        <v>33</v>
      </c>
      <c r="F63" s="662">
        <f t="shared" si="2"/>
        <v>1.5789473684211242E-3</v>
      </c>
      <c r="G63" s="663" t="str">
        <f t="shared" si="3"/>
        <v>NO</v>
      </c>
      <c r="H63" s="88"/>
    </row>
    <row r="64" spans="3:8" ht="20.100000000000001" customHeight="1" thickBot="1">
      <c r="C64" s="656" t="s">
        <v>129</v>
      </c>
      <c r="D64" s="666">
        <f>VLOOKUP($D$7,VLOOKUP!$A$109:$S$137,15)*30</f>
        <v>0</v>
      </c>
      <c r="E64" s="667">
        <f>+'EXHIBIT C'!D24</f>
        <v>12</v>
      </c>
      <c r="F64" s="668" t="str">
        <f t="shared" si="2"/>
        <v>0</v>
      </c>
      <c r="G64" s="669" t="str">
        <f t="shared" si="3"/>
        <v>NO</v>
      </c>
      <c r="H64" s="88"/>
    </row>
    <row r="65" spans="1:8" ht="20.100000000000001" customHeight="1" thickBot="1">
      <c r="C65" s="119" t="s">
        <v>49</v>
      </c>
      <c r="D65" s="132">
        <f>SUM(D59:D64)</f>
        <v>833.97542464521632</v>
      </c>
      <c r="E65" s="133">
        <f>SUM(E59:E64)</f>
        <v>846</v>
      </c>
      <c r="F65" s="134">
        <f t="shared" si="2"/>
        <v>1.441838092519232E-2</v>
      </c>
      <c r="G65" s="135" t="str">
        <f t="shared" si="3"/>
        <v>NO</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16227012.774821987</v>
      </c>
      <c r="E84" s="1127">
        <f>+'EXHIBIT D'!G76</f>
        <v>16227012.774821987</v>
      </c>
      <c r="F84" s="1127">
        <f>D84-E84</f>
        <v>0</v>
      </c>
      <c r="G84" s="88"/>
      <c r="H84" s="88"/>
    </row>
    <row r="85" spans="1:8" ht="20.100000000000001" customHeight="1">
      <c r="A85" s="98"/>
      <c r="B85" s="98"/>
      <c r="C85" s="672" t="s">
        <v>150</v>
      </c>
      <c r="D85" s="671">
        <f>VLOOKUP($D$7,VLOOKUP!$A$150:$B$178,2)</f>
        <v>234886</v>
      </c>
      <c r="E85" s="1127">
        <f>'EXHIBIT D'!G78</f>
        <v>234886</v>
      </c>
      <c r="F85" s="1127">
        <f>D85-E85</f>
        <v>0</v>
      </c>
      <c r="G85" s="88"/>
      <c r="H85" s="88"/>
    </row>
    <row r="86" spans="1:8" ht="20.100000000000001" customHeight="1">
      <c r="A86" s="98"/>
      <c r="B86" s="98"/>
      <c r="C86" s="672" t="s">
        <v>151</v>
      </c>
      <c r="D86" s="671">
        <f>VLOOKUP($D$7,VLOOKUP!$A$7:$E$35,3)</f>
        <v>3109791.2251780131</v>
      </c>
      <c r="E86" s="1127">
        <f>'EXHIBIT D'!G82</f>
        <v>3109791.2251780131</v>
      </c>
      <c r="F86" s="1127">
        <f>D86-E86</f>
        <v>0</v>
      </c>
      <c r="G86" s="88"/>
      <c r="H86" s="88"/>
    </row>
    <row r="87" spans="1:8" ht="20.100000000000001" customHeight="1" thickBot="1">
      <c r="A87" s="97"/>
      <c r="B87" s="97"/>
      <c r="C87" s="143" t="s">
        <v>696</v>
      </c>
      <c r="D87" s="671">
        <f>VLOOKUP($D$7,VLOOKUP!$A$185:$B$213,2)</f>
        <v>1502315</v>
      </c>
      <c r="E87" s="1128">
        <f>'EXHIBIT D'!G77</f>
        <v>1502315</v>
      </c>
      <c r="F87" s="1127">
        <f>D87-E87</f>
        <v>0</v>
      </c>
      <c r="G87" s="88"/>
      <c r="H87" s="88"/>
    </row>
    <row r="88" spans="1:8" ht="20.100000000000001" customHeight="1" thickBot="1">
      <c r="A88" s="97"/>
      <c r="B88" s="97"/>
      <c r="C88" s="144" t="s">
        <v>152</v>
      </c>
      <c r="D88" s="145">
        <f>SUM(D84:D87)</f>
        <v>21074005</v>
      </c>
      <c r="E88" s="145">
        <f>SUM(E84:E87)</f>
        <v>21074005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3098415.37</v>
      </c>
      <c r="D101" s="819" t="s">
        <v>741</v>
      </c>
      <c r="E101" s="819"/>
      <c r="F101" s="819"/>
      <c r="G101" s="88"/>
      <c r="H101" s="88"/>
    </row>
    <row r="102" spans="1:8" ht="20.100000000000001" customHeight="1">
      <c r="A102" s="95"/>
      <c r="B102" s="95"/>
      <c r="C102" s="674">
        <f>'EXHIBIT D'!G267-'EXHIBIT D'!G253-'EXHIBIT D'!G265</f>
        <v>3098415.37</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10736344.630000001</v>
      </c>
      <c r="D108" s="17" t="s">
        <v>743</v>
      </c>
    </row>
    <row r="109" spans="1:8" ht="26.25" customHeight="1">
      <c r="A109" s="151"/>
      <c r="B109" s="151"/>
      <c r="C109" s="676">
        <f>'EXHIBIT A'!E36</f>
        <v>10836345</v>
      </c>
      <c r="D109" s="17" t="s">
        <v>744</v>
      </c>
    </row>
    <row r="110" spans="1:8" ht="26.1" customHeight="1">
      <c r="A110" s="151"/>
      <c r="B110" s="151"/>
      <c r="C110" s="677">
        <f>C108-C109</f>
        <v>-100000.36999999918</v>
      </c>
      <c r="D110" s="89" t="s">
        <v>160</v>
      </c>
      <c r="E110" s="89"/>
      <c r="F110" s="89"/>
      <c r="G110" s="89"/>
    </row>
    <row r="111" spans="1:8" ht="20.100000000000001" customHeight="1">
      <c r="A111" s="151"/>
      <c r="B111" s="151"/>
      <c r="C111" s="154"/>
    </row>
    <row r="112" spans="1:8" ht="26.1" customHeight="1">
      <c r="A112" s="151"/>
      <c r="B112" s="151"/>
      <c r="C112" s="675">
        <f>'EXHIBIT D'!G187</f>
        <v>100000</v>
      </c>
      <c r="D112" s="148" t="s">
        <v>161</v>
      </c>
      <c r="E112" s="92"/>
      <c r="F112" s="92"/>
    </row>
    <row r="113" spans="1:8" ht="20.100000000000001" customHeight="1"/>
    <row r="114" spans="1:8" ht="38.450000000000003" customHeight="1">
      <c r="C114" s="1130">
        <f>C110+C112</f>
        <v>-0.36999999918043613</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91.789944134078212</v>
      </c>
      <c r="D119" s="17" t="s">
        <v>81</v>
      </c>
    </row>
    <row r="120" spans="1:8" ht="20.100000000000001" customHeight="1">
      <c r="C120" s="157"/>
    </row>
    <row r="121" spans="1:8" ht="20.100000000000001" customHeight="1">
      <c r="C121" s="158" t="str">
        <f>IF('EXHIBIT G'!D119=0,"No Credit Hours or Not Applicable",('EXHIBIT G'!D119/'EXHIBIT C'!D19))</f>
        <v>No Credit Hours or Not Applicable</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Florida Gateway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-5637015</v>
      </c>
    </row>
    <row r="14" spans="2:7" ht="25.35" customHeight="1">
      <c r="B14" s="17" t="s">
        <v>174</v>
      </c>
      <c r="D14" s="28"/>
      <c r="E14" s="1136">
        <v>10736344.630000001</v>
      </c>
    </row>
    <row r="15" spans="2:7" ht="25.35" customHeight="1">
      <c r="B15" s="28"/>
      <c r="D15" s="28"/>
      <c r="E15" s="162"/>
    </row>
    <row r="16" spans="2:7" ht="25.35" customHeight="1">
      <c r="B16" s="17" t="s">
        <v>732</v>
      </c>
      <c r="C16" s="28"/>
      <c r="D16" s="28"/>
      <c r="E16" s="578">
        <f>+E14+E13</f>
        <v>5099329.6300000008</v>
      </c>
    </row>
    <row r="17" spans="2:7" ht="25.35" customHeight="1">
      <c r="B17" s="28"/>
      <c r="C17" s="28"/>
      <c r="D17" s="28"/>
      <c r="E17" s="163"/>
    </row>
    <row r="18" spans="2:7" ht="25.35" customHeight="1">
      <c r="B18" s="17" t="s">
        <v>175</v>
      </c>
      <c r="C18" s="28"/>
      <c r="D18" s="28"/>
      <c r="E18" s="173">
        <f>+'EXHIBIT D'!G143-SUM(+'EXHIBIT D'!G133+'EXHIBIT D'!G134)</f>
        <v>28503266.000000004</v>
      </c>
      <c r="G18" s="138"/>
    </row>
    <row r="19" spans="2:7" ht="25.35" customHeight="1">
      <c r="B19" s="17" t="s">
        <v>176</v>
      </c>
      <c r="D19" s="28"/>
      <c r="E19" s="578">
        <f>+'EXHIBIT D'!G133+'EXHIBIT D'!G134</f>
        <v>300000</v>
      </c>
    </row>
    <row r="20" spans="2:7" ht="25.35" customHeight="1">
      <c r="B20" s="28"/>
      <c r="D20" s="28"/>
      <c r="E20" s="168"/>
    </row>
    <row r="21" spans="2:7" ht="25.35" customHeight="1">
      <c r="B21" s="17" t="s">
        <v>177</v>
      </c>
      <c r="C21" s="28"/>
      <c r="D21" s="28"/>
      <c r="E21" s="579">
        <f>+E19+E18</f>
        <v>28803266.000000004</v>
      </c>
    </row>
    <row r="22" spans="2:7" ht="25.35" customHeight="1">
      <c r="B22" s="28"/>
      <c r="C22" s="28"/>
      <c r="D22" s="28"/>
      <c r="E22" s="168"/>
    </row>
    <row r="23" spans="2:7" ht="25.35" customHeight="1">
      <c r="B23" s="28" t="s">
        <v>178</v>
      </c>
      <c r="C23" s="28"/>
      <c r="D23" s="28"/>
      <c r="E23" s="579">
        <f>+E21+E16</f>
        <v>33902595.630000003</v>
      </c>
    </row>
    <row r="24" spans="2:7" ht="25.35" customHeight="1">
      <c r="B24" s="28"/>
      <c r="C24" s="28"/>
      <c r="D24" s="28"/>
      <c r="E24" s="168"/>
    </row>
    <row r="25" spans="2:7" ht="25.35" customHeight="1">
      <c r="B25" s="17" t="s">
        <v>179</v>
      </c>
      <c r="C25" s="28"/>
      <c r="D25" s="28"/>
      <c r="E25" s="174">
        <f>'EXHIBIT D'!G249-SUM(+'EXHIBIT D'!G223+'EXHIBIT D'!G224)</f>
        <v>28803265.799999997</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28803265.799999997</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5099329.8300000057</v>
      </c>
      <c r="E32" s="164"/>
    </row>
    <row r="33" spans="2:10" ht="25.35" customHeight="1">
      <c r="B33" s="17" t="s">
        <v>183</v>
      </c>
      <c r="C33" s="28"/>
      <c r="D33" s="581">
        <f>+'EXHIBIT D'!G187</f>
        <v>100000</v>
      </c>
      <c r="E33" s="164"/>
    </row>
    <row r="34" spans="2:10" ht="25.35" customHeight="1">
      <c r="B34" s="28"/>
      <c r="D34" s="28"/>
      <c r="E34" s="164"/>
      <c r="J34" s="166"/>
    </row>
    <row r="35" spans="2:10" ht="25.35" customHeight="1">
      <c r="B35" s="17" t="s">
        <v>734</v>
      </c>
      <c r="C35" s="28"/>
      <c r="D35" s="28"/>
      <c r="E35" s="167">
        <f>+D32+D33</f>
        <v>5199329.8300000057</v>
      </c>
    </row>
    <row r="36" spans="2:10" ht="25.35" customHeight="1">
      <c r="B36" s="17" t="s">
        <v>735</v>
      </c>
      <c r="C36" s="28"/>
      <c r="D36" s="28"/>
      <c r="E36" s="579">
        <f>-'EXHIBIT D'!G265</f>
        <v>10836345</v>
      </c>
      <c r="J36" s="48"/>
    </row>
    <row r="37" spans="2:10" ht="25.35" customHeight="1">
      <c r="D37" s="28"/>
      <c r="E37" s="167"/>
    </row>
    <row r="38" spans="2:10" ht="25.35" customHeight="1">
      <c r="B38" s="28" t="s">
        <v>736</v>
      </c>
      <c r="D38" s="28"/>
      <c r="E38" s="578">
        <f>+E35-E36</f>
        <v>-5637015.1699999943</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3098415.37</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9.1391685870159431E-2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3JjSWRe4Yj6dLnVGNwB2D45PQoqfwUoI9WxqKN7vJkOgwiy1337NK7SPDgbmaWpyMGFuNWv0+6jdFTShhDFqTw==" saltValue="dVQkheyMsUgtxfPiPjCkm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Florida Gateway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9.18</v>
      </c>
      <c r="F14" s="962">
        <v>4.59</v>
      </c>
      <c r="G14" s="679">
        <f>SUM(B14:F14)</f>
        <v>119.33000000000001</v>
      </c>
      <c r="H14" s="365">
        <f>G14*30</f>
        <v>3579.9000000000005</v>
      </c>
    </row>
    <row r="15" spans="1:18" s="17" customFormat="1" ht="20.100000000000001" customHeight="1">
      <c r="A15" s="28" t="s">
        <v>201</v>
      </c>
      <c r="B15" s="963">
        <v>78.94</v>
      </c>
      <c r="C15" s="963">
        <v>5.53</v>
      </c>
      <c r="D15" s="963">
        <v>6.25</v>
      </c>
      <c r="E15" s="963">
        <v>7.89</v>
      </c>
      <c r="F15" s="963">
        <v>3.71</v>
      </c>
      <c r="G15" s="679">
        <f>SUM(B15:F15)</f>
        <v>102.32</v>
      </c>
      <c r="H15" s="338">
        <f>G15*30</f>
        <v>3069.6</v>
      </c>
    </row>
    <row r="16" spans="1:18" s="17" customFormat="1" ht="20.100000000000001" customHeight="1" thickBot="1">
      <c r="A16" s="28" t="s">
        <v>76</v>
      </c>
      <c r="B16" s="964">
        <v>69.900000000000006</v>
      </c>
      <c r="C16" s="964">
        <v>6.99</v>
      </c>
      <c r="D16" s="965"/>
      <c r="E16" s="964">
        <v>3.5</v>
      </c>
      <c r="F16" s="964">
        <v>3.5</v>
      </c>
      <c r="G16" s="339">
        <f>SUM(B16:F16)</f>
        <v>83.89</v>
      </c>
      <c r="H16" s="680">
        <f>G16*30</f>
        <v>2516.6999999999998</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18.36</v>
      </c>
      <c r="E29" s="536">
        <f>D14</f>
        <v>9.18</v>
      </c>
      <c r="F29" s="962">
        <v>36.72</v>
      </c>
      <c r="G29" s="962">
        <v>18.36</v>
      </c>
      <c r="H29" s="346">
        <f>SUM(B29:G29)</f>
        <v>449.78000000000009</v>
      </c>
      <c r="I29" s="359">
        <f>H29*30</f>
        <v>13493.400000000003</v>
      </c>
    </row>
    <row r="30" spans="1:11" s="17" customFormat="1" ht="20.100000000000001" customHeight="1">
      <c r="A30" s="28" t="str">
        <f t="shared" si="0"/>
        <v>LOWER LEVEL - CREDIT (A &amp; P, PSV, DEVELOPMENTAL EDUCATION AND EPI)</v>
      </c>
      <c r="B30" s="683">
        <f t="shared" si="0"/>
        <v>78.94</v>
      </c>
      <c r="C30" s="966">
        <v>236.82</v>
      </c>
      <c r="D30" s="966">
        <v>22.1</v>
      </c>
      <c r="E30" s="684">
        <f>D15</f>
        <v>6.25</v>
      </c>
      <c r="F30" s="966">
        <v>31.58</v>
      </c>
      <c r="G30" s="966">
        <v>14.88</v>
      </c>
      <c r="H30" s="679">
        <f>SUM(B30:G30)</f>
        <v>390.57</v>
      </c>
      <c r="I30" s="338">
        <f>H30*30</f>
        <v>11717.1</v>
      </c>
    </row>
    <row r="31" spans="1:11" s="17" customFormat="1" ht="20.100000000000001" customHeight="1">
      <c r="A31" s="28" t="str">
        <f t="shared" si="0"/>
        <v>CAREER CERTIFICATE AND APPLIED TECHNOLOGY DIPLOMA</v>
      </c>
      <c r="B31" s="1148">
        <f t="shared" si="0"/>
        <v>69.900000000000006</v>
      </c>
      <c r="C31" s="963">
        <v>209.7</v>
      </c>
      <c r="D31" s="963">
        <v>27.96</v>
      </c>
      <c r="E31" s="1149"/>
      <c r="F31" s="963">
        <v>13.98</v>
      </c>
      <c r="G31" s="963">
        <v>13.98</v>
      </c>
      <c r="H31" s="1150">
        <f>SUM(B31:G31)</f>
        <v>335.52000000000004</v>
      </c>
      <c r="I31" s="1150">
        <f>H31*30</f>
        <v>10065.6</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9WLXBeUs8L+k966ngEK8wIUScHEj/dykjcGodALNh2ggh5JaINCqbvd/aoyM5AiIrjHTMvn2/v/HzAdJfwEK9w==" saltValue="RyphbL0MRWONtio6fcDjfg=="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Florida Gateway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3600</v>
      </c>
      <c r="E10" s="539">
        <v>20</v>
      </c>
      <c r="F10" s="540">
        <f t="shared" ref="F10:F15" si="0">+D10-E10</f>
        <v>3580</v>
      </c>
      <c r="G10" s="540">
        <f>'EXHIBIT B'!B14</f>
        <v>91.79</v>
      </c>
      <c r="H10" s="541">
        <f>ROUND(+F10*G10,0)</f>
        <v>328608</v>
      </c>
    </row>
    <row r="11" spans="1:9" ht="20.100000000000001" customHeight="1">
      <c r="A11" s="690" t="s">
        <v>194</v>
      </c>
      <c r="B11" s="690" t="s">
        <v>126</v>
      </c>
      <c r="C11" s="691" t="s">
        <v>221</v>
      </c>
      <c r="D11" s="689">
        <v>43305</v>
      </c>
      <c r="E11" s="689">
        <v>14300</v>
      </c>
      <c r="F11" s="692">
        <f t="shared" si="0"/>
        <v>29005</v>
      </c>
      <c r="G11" s="692">
        <f>+'EXHIBIT B'!B15</f>
        <v>78.94</v>
      </c>
      <c r="H11" s="693">
        <f t="shared" ref="H11:H15" si="1">ROUND(+F11*G11,0)</f>
        <v>2289655</v>
      </c>
    </row>
    <row r="12" spans="1:9" ht="20.100000000000001" customHeight="1">
      <c r="A12" s="690" t="s">
        <v>194</v>
      </c>
      <c r="B12" s="690" t="s">
        <v>127</v>
      </c>
      <c r="C12" s="691" t="s">
        <v>222</v>
      </c>
      <c r="D12" s="689">
        <v>13500</v>
      </c>
      <c r="E12" s="689">
        <v>650</v>
      </c>
      <c r="F12" s="692">
        <f t="shared" si="0"/>
        <v>12850</v>
      </c>
      <c r="G12" s="692">
        <f>+'EXHIBIT B'!B15</f>
        <v>78.94</v>
      </c>
      <c r="H12" s="693">
        <f t="shared" si="1"/>
        <v>1014379</v>
      </c>
    </row>
    <row r="13" spans="1:9" ht="20.100000000000001" customHeight="1">
      <c r="A13" s="690" t="s">
        <v>194</v>
      </c>
      <c r="B13" s="690" t="s">
        <v>76</v>
      </c>
      <c r="C13" s="691" t="s">
        <v>223</v>
      </c>
      <c r="D13" s="694">
        <v>10170</v>
      </c>
      <c r="E13" s="694">
        <v>120</v>
      </c>
      <c r="F13" s="692">
        <f t="shared" si="0"/>
        <v>10050</v>
      </c>
      <c r="G13" s="692">
        <f>+'EXHIBIT B'!B16</f>
        <v>69.900000000000006</v>
      </c>
      <c r="H13" s="693">
        <f t="shared" si="1"/>
        <v>702495</v>
      </c>
    </row>
    <row r="14" spans="1:9" ht="20.100000000000001" customHeight="1">
      <c r="A14" s="690" t="s">
        <v>194</v>
      </c>
      <c r="B14" s="690" t="s">
        <v>128</v>
      </c>
      <c r="C14" s="691" t="s">
        <v>224</v>
      </c>
      <c r="D14" s="689">
        <v>1281</v>
      </c>
      <c r="E14" s="689">
        <v>120</v>
      </c>
      <c r="F14" s="692">
        <f t="shared" si="0"/>
        <v>1161</v>
      </c>
      <c r="G14" s="692">
        <f>+'EXHIBIT B'!B15</f>
        <v>78.94</v>
      </c>
      <c r="H14" s="693">
        <f t="shared" si="1"/>
        <v>91649</v>
      </c>
    </row>
    <row r="15" spans="1:9" ht="20.100000000000001" customHeight="1" thickBot="1">
      <c r="A15" s="695" t="s">
        <v>194</v>
      </c>
      <c r="B15" s="695" t="s">
        <v>129</v>
      </c>
      <c r="C15" s="696">
        <v>40160</v>
      </c>
      <c r="D15" s="697">
        <v>110</v>
      </c>
      <c r="E15" s="697">
        <v>10</v>
      </c>
      <c r="F15" s="698">
        <f t="shared" si="0"/>
        <v>100</v>
      </c>
      <c r="G15" s="698">
        <f>+'EXHIBIT B'!B15</f>
        <v>78.94</v>
      </c>
      <c r="H15" s="699">
        <f t="shared" si="1"/>
        <v>7894</v>
      </c>
    </row>
    <row r="16" spans="1:9" ht="24.95" customHeight="1" thickBot="1">
      <c r="A16" s="296"/>
      <c r="B16" s="296"/>
      <c r="C16" s="296"/>
      <c r="D16" s="297"/>
      <c r="E16" s="297"/>
      <c r="F16" s="298"/>
      <c r="G16" s="298"/>
      <c r="H16" s="299"/>
    </row>
    <row r="17" spans="1:9" ht="24.95" customHeight="1" thickBot="1">
      <c r="A17" s="300"/>
      <c r="B17" s="301" t="s">
        <v>225</v>
      </c>
      <c r="C17" s="301"/>
      <c r="D17" s="302">
        <f>SUM(D10:D15)</f>
        <v>71966</v>
      </c>
      <c r="E17" s="302">
        <f>SUM(E10:E15)</f>
        <v>15220</v>
      </c>
      <c r="F17" s="303">
        <f>SUM(F10:F15)</f>
        <v>56746</v>
      </c>
      <c r="G17" s="303"/>
      <c r="H17" s="304">
        <f>SUM(H10:H15)</f>
        <v>4434680</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0</v>
      </c>
      <c r="E19" s="701">
        <f>'EXHIBIT B'!C29</f>
        <v>275.37</v>
      </c>
      <c r="F19" s="702">
        <f t="shared" ref="F19:F25" si="2">ROUND(+D19*E19,0)</f>
        <v>0</v>
      </c>
      <c r="G19" s="306"/>
      <c r="H19" s="306"/>
    </row>
    <row r="20" spans="1:9" ht="20.100000000000001" customHeight="1">
      <c r="A20" s="641" t="s">
        <v>209</v>
      </c>
      <c r="B20" s="641" t="s">
        <v>126</v>
      </c>
      <c r="C20" s="703" t="s">
        <v>228</v>
      </c>
      <c r="D20" s="710">
        <v>544</v>
      </c>
      <c r="E20" s="704">
        <f>+'EXHIBIT B'!C30</f>
        <v>236.82</v>
      </c>
      <c r="F20" s="705">
        <f t="shared" si="2"/>
        <v>128830</v>
      </c>
      <c r="G20" s="48"/>
      <c r="H20" s="48"/>
    </row>
    <row r="21" spans="1:9" ht="20.100000000000001" customHeight="1">
      <c r="A21" s="641" t="s">
        <v>209</v>
      </c>
      <c r="B21" s="641" t="s">
        <v>127</v>
      </c>
      <c r="C21" s="703" t="s">
        <v>229</v>
      </c>
      <c r="D21" s="710">
        <v>201</v>
      </c>
      <c r="E21" s="704">
        <f>+'EXHIBIT B'!C30</f>
        <v>236.82</v>
      </c>
      <c r="F21" s="705">
        <f t="shared" si="2"/>
        <v>47601</v>
      </c>
      <c r="G21" s="48"/>
      <c r="H21" s="48"/>
    </row>
    <row r="22" spans="1:9" ht="20.100000000000001" customHeight="1">
      <c r="A22" s="641" t="s">
        <v>209</v>
      </c>
      <c r="B22" s="641" t="s">
        <v>76</v>
      </c>
      <c r="C22" s="703" t="s">
        <v>230</v>
      </c>
      <c r="D22" s="710">
        <v>56</v>
      </c>
      <c r="E22" s="704">
        <f>+'EXHIBIT B'!C31</f>
        <v>209.7</v>
      </c>
      <c r="F22" s="705">
        <f t="shared" si="2"/>
        <v>11743</v>
      </c>
      <c r="G22" s="48"/>
      <c r="H22" s="48"/>
    </row>
    <row r="23" spans="1:9" ht="20.100000000000001" customHeight="1">
      <c r="A23" s="641" t="s">
        <v>209</v>
      </c>
      <c r="B23" s="641" t="s">
        <v>128</v>
      </c>
      <c r="C23" s="703" t="s">
        <v>231</v>
      </c>
      <c r="D23" s="710">
        <v>33</v>
      </c>
      <c r="E23" s="704">
        <f>+'EXHIBIT B'!C30</f>
        <v>236.82</v>
      </c>
      <c r="F23" s="705">
        <f t="shared" si="2"/>
        <v>7815</v>
      </c>
      <c r="G23" s="48"/>
      <c r="H23" s="48"/>
    </row>
    <row r="24" spans="1:9" ht="20.100000000000001" customHeight="1">
      <c r="A24" s="1057" t="s">
        <v>209</v>
      </c>
      <c r="B24" s="1057" t="s">
        <v>129</v>
      </c>
      <c r="C24" s="1153">
        <v>40360</v>
      </c>
      <c r="D24" s="1154">
        <v>12</v>
      </c>
      <c r="E24" s="1155">
        <f>+'EXHIBIT B'!C30</f>
        <v>236.82</v>
      </c>
      <c r="F24" s="1156">
        <f t="shared" si="2"/>
        <v>2842</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846</v>
      </c>
      <c r="E27" s="708"/>
      <c r="F27" s="709">
        <f>SUM(F19:F25)</f>
        <v>198831</v>
      </c>
      <c r="G27" s="310"/>
      <c r="H27" s="310"/>
    </row>
    <row r="28" spans="1:9" ht="20.100000000000001" customHeight="1" thickBot="1">
      <c r="A28" s="311" t="s">
        <v>232</v>
      </c>
      <c r="B28" s="311"/>
      <c r="C28" s="311"/>
      <c r="D28" s="311"/>
      <c r="E28" s="311"/>
      <c r="F28" s="312"/>
      <c r="G28" s="542"/>
      <c r="H28" s="313">
        <f>H17+F27</f>
        <v>4633511</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4633511</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300000</v>
      </c>
      <c r="C64" s="970"/>
      <c r="D64" s="971">
        <v>31000</v>
      </c>
      <c r="E64" s="970">
        <v>11000</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300000</v>
      </c>
      <c r="C70" s="980"/>
      <c r="D70" s="981"/>
      <c r="E70" s="980"/>
      <c r="F70" s="981"/>
    </row>
    <row r="71" spans="1:6" ht="24.95" customHeight="1" thickBot="1">
      <c r="A71" s="290" t="s">
        <v>257</v>
      </c>
      <c r="B71" s="291">
        <f>+B70+B61</f>
        <v>300000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4CA5O5vp8sPhgcCPb564jD6Qr1Ln9FSXhXE15Hrl7BzVcpiWaHNDzsCKAJR5hBLyd1N52QEXKIiI3SbRuTs+ZA==" saltValue="duMWdeJU54KeH7nKgvdth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Florida Gateway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Gx2q4loMU5Zv9FbyyB7FiK4MYGj0CZa6Df46sJCh+DqFTSCf6HiAnc/3UdeoixWLYizWd8tZ8aul6hop0Av6VA==" saltValue="yo4AKrwyu+MGM5NtGMjLE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Florida Gateway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328608</v>
      </c>
    </row>
    <row r="13" spans="1:8" ht="20.100000000000001" customHeight="1">
      <c r="A13" s="492" t="s">
        <v>194</v>
      </c>
      <c r="B13" s="182"/>
      <c r="C13" s="175" t="s">
        <v>126</v>
      </c>
      <c r="D13" s="182"/>
      <c r="E13" s="182"/>
      <c r="F13" s="187" t="s">
        <v>221</v>
      </c>
      <c r="G13" s="186">
        <f>+'EXHIBIT C'!H11+'EXHIBIT C(2)'!E14</f>
        <v>2289655</v>
      </c>
    </row>
    <row r="14" spans="1:8" ht="20.100000000000001" customHeight="1">
      <c r="A14" s="492" t="s">
        <v>194</v>
      </c>
      <c r="B14" s="182"/>
      <c r="C14" s="182" t="s">
        <v>127</v>
      </c>
      <c r="D14" s="182"/>
      <c r="E14" s="182"/>
      <c r="F14" s="187" t="s">
        <v>222</v>
      </c>
      <c r="G14" s="513">
        <f>+'EXHIBIT C'!H12+'EXHIBIT C(2)'!E15</f>
        <v>1014379</v>
      </c>
    </row>
    <row r="15" spans="1:8" ht="20.100000000000001" customHeight="1">
      <c r="A15" s="492" t="s">
        <v>194</v>
      </c>
      <c r="B15" s="182"/>
      <c r="C15" s="188" t="s">
        <v>274</v>
      </c>
      <c r="D15" s="182"/>
      <c r="E15" s="182"/>
      <c r="F15" s="187" t="s">
        <v>223</v>
      </c>
      <c r="G15" s="513">
        <f>+'EXHIBIT C'!H13+'EXHIBIT C(2)'!E16</f>
        <v>702495</v>
      </c>
    </row>
    <row r="16" spans="1:8" ht="20.100000000000001" customHeight="1">
      <c r="A16" s="492" t="s">
        <v>194</v>
      </c>
      <c r="B16" s="182"/>
      <c r="C16" s="188" t="s">
        <v>275</v>
      </c>
      <c r="D16" s="182"/>
      <c r="E16" s="182"/>
      <c r="F16" s="187" t="s">
        <v>224</v>
      </c>
      <c r="G16" s="514">
        <f>+'EXHIBIT C'!H14+'EXHIBIT C(2)'!E17</f>
        <v>91649</v>
      </c>
    </row>
    <row r="17" spans="1:7" ht="20.100000000000001" customHeight="1">
      <c r="A17" s="492" t="s">
        <v>194</v>
      </c>
      <c r="B17" s="182"/>
      <c r="C17" s="175" t="s">
        <v>129</v>
      </c>
      <c r="D17" s="182"/>
      <c r="E17" s="182"/>
      <c r="F17" s="185">
        <v>40160</v>
      </c>
      <c r="G17" s="514">
        <f>+'EXHIBIT C'!H15+'EXHIBIT C(2)'!E18</f>
        <v>7894</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4434680</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0</v>
      </c>
    </row>
    <row r="22" spans="1:7" ht="20.100000000000001" customHeight="1">
      <c r="A22" s="492" t="s">
        <v>209</v>
      </c>
      <c r="B22" s="182"/>
      <c r="C22" s="175" t="s">
        <v>126</v>
      </c>
      <c r="D22" s="182"/>
      <c r="E22" s="182"/>
      <c r="F22" s="187" t="s">
        <v>228</v>
      </c>
      <c r="G22" s="191">
        <f>+'EXHIBIT C'!F20+'EXHIBIT C(2)'!E23</f>
        <v>128830</v>
      </c>
    </row>
    <row r="23" spans="1:7" ht="20.100000000000001" customHeight="1">
      <c r="A23" s="492" t="s">
        <v>209</v>
      </c>
      <c r="B23" s="182"/>
      <c r="C23" s="182" t="s">
        <v>127</v>
      </c>
      <c r="D23" s="182"/>
      <c r="E23" s="182"/>
      <c r="F23" s="187" t="s">
        <v>229</v>
      </c>
      <c r="G23" s="196">
        <f>+'EXHIBIT C'!F21+'EXHIBIT C(2)'!E24</f>
        <v>47601</v>
      </c>
    </row>
    <row r="24" spans="1:7" ht="20.100000000000001" customHeight="1">
      <c r="A24" s="492" t="s">
        <v>209</v>
      </c>
      <c r="B24" s="182"/>
      <c r="C24" s="188" t="s">
        <v>274</v>
      </c>
      <c r="D24" s="182"/>
      <c r="E24" s="182"/>
      <c r="F24" s="187" t="s">
        <v>230</v>
      </c>
      <c r="G24" s="196">
        <f>+'EXHIBIT C'!F22+'EXHIBIT C(2)'!E25</f>
        <v>11743</v>
      </c>
    </row>
    <row r="25" spans="1:7" ht="20.100000000000001" customHeight="1">
      <c r="A25" s="492" t="s">
        <v>209</v>
      </c>
      <c r="B25" s="182"/>
      <c r="C25" s="188" t="s">
        <v>275</v>
      </c>
      <c r="D25" s="182"/>
      <c r="E25" s="182"/>
      <c r="F25" s="187" t="s">
        <v>231</v>
      </c>
      <c r="G25" s="196">
        <f>+'EXHIBIT C'!F23+'EXHIBIT C(2)'!E26</f>
        <v>7815</v>
      </c>
    </row>
    <row r="26" spans="1:7" ht="20.100000000000001" customHeight="1">
      <c r="A26" s="492" t="s">
        <v>209</v>
      </c>
      <c r="B26" s="182"/>
      <c r="C26" s="175" t="s">
        <v>129</v>
      </c>
      <c r="D26" s="182"/>
      <c r="E26" s="182"/>
      <c r="F26" s="185">
        <v>40360</v>
      </c>
      <c r="G26" s="196">
        <f>+'EXHIBIT C'!F24+'EXHIBIT C(2)'!E27</f>
        <v>2842</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198831</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4633511</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55000</v>
      </c>
    </row>
    <row r="49" spans="1:7" ht="20.100000000000001" customHeight="1">
      <c r="A49" s="492" t="s">
        <v>289</v>
      </c>
      <c r="C49" s="197"/>
      <c r="D49" s="197"/>
      <c r="E49" s="197"/>
      <c r="F49" s="198" t="s">
        <v>290</v>
      </c>
      <c r="G49" s="442">
        <v>50000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f>615000+9500</f>
        <v>624500</v>
      </c>
    </row>
    <row r="52" spans="1:7" ht="20.100000000000001" customHeight="1">
      <c r="A52" s="492" t="s">
        <v>295</v>
      </c>
      <c r="B52" s="182"/>
      <c r="C52" s="182"/>
      <c r="D52" s="182"/>
      <c r="E52" s="182"/>
      <c r="F52" s="185">
        <v>40450</v>
      </c>
      <c r="G52" s="442">
        <v>300000</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225000</v>
      </c>
    </row>
    <row r="60" spans="1:7" ht="20.100000000000001" customHeight="1">
      <c r="A60" s="492" t="s">
        <v>310</v>
      </c>
      <c r="B60" s="182"/>
      <c r="C60" s="182"/>
      <c r="D60" s="182"/>
      <c r="E60" s="182"/>
      <c r="F60" s="187" t="s">
        <v>311</v>
      </c>
      <c r="G60" s="442">
        <f>55000+8500+500+30000+5000</f>
        <v>99000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5987011</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600000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600000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16227012.774821987</v>
      </c>
    </row>
    <row r="77" spans="1:7" ht="20.100000000000001" customHeight="1">
      <c r="A77" s="492" t="s">
        <v>697</v>
      </c>
      <c r="B77" s="182"/>
      <c r="C77" s="182"/>
      <c r="D77" s="182"/>
      <c r="E77" s="182"/>
      <c r="F77" s="185">
        <v>42130</v>
      </c>
      <c r="G77" s="516">
        <v>1502315</v>
      </c>
    </row>
    <row r="78" spans="1:7" ht="20.100000000000001" customHeight="1">
      <c r="A78" s="494" t="s">
        <v>328</v>
      </c>
      <c r="B78" s="495"/>
      <c r="C78" s="495"/>
      <c r="D78" s="495"/>
      <c r="E78" s="495"/>
      <c r="F78" s="201" t="s">
        <v>329</v>
      </c>
      <c r="G78" s="517">
        <v>234886</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715</v>
      </c>
      <c r="B81" s="182"/>
      <c r="C81" s="182"/>
      <c r="D81" s="182"/>
      <c r="E81" s="182"/>
      <c r="F81" s="187" t="s">
        <v>334</v>
      </c>
      <c r="G81" s="516">
        <f>255500+200000</f>
        <v>455500</v>
      </c>
    </row>
    <row r="82" spans="1:10" ht="20.100000000000001" customHeight="1">
      <c r="A82" s="492" t="s">
        <v>335</v>
      </c>
      <c r="B82" s="182"/>
      <c r="C82" s="182"/>
      <c r="D82" s="182"/>
      <c r="E82" s="182"/>
      <c r="F82" s="187" t="s">
        <v>336</v>
      </c>
      <c r="G82" s="515">
        <f>'CHECK SHEET'!D86</f>
        <v>3109791.2251780131</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21529505.000000004</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25000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25000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110000</v>
      </c>
    </row>
    <row r="111" spans="1:7" ht="20.100000000000001" customHeight="1">
      <c r="A111" s="492" t="s">
        <v>362</v>
      </c>
      <c r="B111" s="182"/>
      <c r="C111" s="182"/>
      <c r="D111" s="182"/>
      <c r="E111" s="182"/>
      <c r="F111" s="187" t="s">
        <v>363</v>
      </c>
      <c r="G111" s="443">
        <f>50000+10000</f>
        <v>60000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170000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75000</v>
      </c>
    </row>
    <row r="125" spans="1:7" ht="20.100000000000001" customHeight="1">
      <c r="A125" s="492" t="s">
        <v>377</v>
      </c>
      <c r="B125" s="182"/>
      <c r="C125" s="182"/>
      <c r="D125" s="182"/>
      <c r="E125" s="182"/>
      <c r="F125" s="187" t="s">
        <v>378</v>
      </c>
      <c r="G125" s="443">
        <v>3000</v>
      </c>
    </row>
    <row r="126" spans="1:7" ht="20.100000000000001" customHeight="1">
      <c r="A126" s="492" t="s">
        <v>379</v>
      </c>
      <c r="B126" s="182"/>
      <c r="C126" s="182"/>
      <c r="D126" s="182"/>
      <c r="E126" s="182"/>
      <c r="F126" s="187" t="s">
        <v>380</v>
      </c>
      <c r="G126" s="443">
        <f>3000+600</f>
        <v>3600</v>
      </c>
    </row>
    <row r="127" spans="1:7" ht="20.100000000000001" customHeight="1">
      <c r="A127" s="492" t="s">
        <v>381</v>
      </c>
      <c r="B127" s="182"/>
      <c r="C127" s="182"/>
      <c r="D127" s="182"/>
      <c r="E127" s="182"/>
      <c r="F127" s="187" t="s">
        <v>382</v>
      </c>
      <c r="G127" s="443">
        <f>30000+30000+45000</f>
        <v>105000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186600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v>300000</v>
      </c>
    </row>
    <row r="135" spans="1:7" ht="20.100000000000001" customHeight="1">
      <c r="A135" s="492" t="s">
        <v>387</v>
      </c>
      <c r="B135" s="182"/>
      <c r="C135" s="182"/>
      <c r="D135" s="182"/>
      <c r="E135" s="182"/>
      <c r="F135" s="1052" t="s">
        <v>388</v>
      </c>
      <c r="G135" s="443">
        <v>5000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100</v>
      </c>
    </row>
    <row r="139" spans="1:7" ht="20.100000000000001" customHeight="1">
      <c r="A139" s="492" t="s">
        <v>392</v>
      </c>
      <c r="B139" s="182"/>
      <c r="C139" s="182"/>
      <c r="D139" s="182"/>
      <c r="E139" s="182"/>
      <c r="F139" s="187" t="s">
        <v>393</v>
      </c>
      <c r="G139" s="443">
        <v>50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305150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28803266.000000004</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705735.34</v>
      </c>
    </row>
    <row r="148" spans="1:7" ht="20.100000000000001" customHeight="1">
      <c r="A148" s="492" t="s">
        <v>399</v>
      </c>
      <c r="F148" s="187" t="s">
        <v>400</v>
      </c>
      <c r="G148" s="447">
        <v>520701.92</v>
      </c>
    </row>
    <row r="149" spans="1:7" ht="20.100000000000001" customHeight="1">
      <c r="A149" s="492" t="s">
        <v>401</v>
      </c>
      <c r="F149" s="187" t="s">
        <v>402</v>
      </c>
      <c r="G149" s="447">
        <v>1623935.05</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52177.2+5283055.06</f>
        <v>5335232.26</v>
      </c>
    </row>
    <row r="153" spans="1:7" ht="20.100000000000001" customHeight="1">
      <c r="A153" s="492" t="s">
        <v>409</v>
      </c>
      <c r="B153" s="182"/>
      <c r="C153" s="182"/>
      <c r="D153" s="182"/>
      <c r="E153" s="182"/>
      <c r="F153" s="187" t="s">
        <v>410</v>
      </c>
      <c r="G153" s="447">
        <f>1633484+3500-105000+214500</f>
        <v>1746484</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f>43325.08</f>
        <v>43325.08</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0</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f>338237.9+1148058.38+40000</f>
        <v>1526296.2799999998</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f>5000+1962621.82+220519.36</f>
        <v>2188141.1800000002</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f>1613516+100</f>
        <v>1613616</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f>50000+89512.5</f>
        <v>139512.5</v>
      </c>
    </row>
    <row r="178" spans="1:7" ht="20.100000000000001" customHeight="1">
      <c r="A178" s="492" t="s">
        <v>455</v>
      </c>
      <c r="B178" s="182"/>
      <c r="C178" s="182"/>
      <c r="D178" s="182"/>
      <c r="E178" s="182"/>
      <c r="F178" s="187" t="s">
        <v>456</v>
      </c>
      <c r="G178" s="447">
        <f>112088.7+85000+3000+3000</f>
        <v>203088.7</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46440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f>2076.76+925552.06</f>
        <v>927628.82000000007</v>
      </c>
    </row>
    <row r="186" spans="1:7" ht="20.100000000000001" customHeight="1">
      <c r="A186" s="492" t="s">
        <v>471</v>
      </c>
      <c r="B186" s="182"/>
      <c r="C186" s="182"/>
      <c r="D186" s="182"/>
      <c r="E186" s="182"/>
      <c r="F186" s="187" t="s">
        <v>472</v>
      </c>
      <c r="G186" s="447">
        <f>6100.19+1872692.01</f>
        <v>1878792.2</v>
      </c>
    </row>
    <row r="187" spans="1:7" ht="20.100000000000001" customHeight="1">
      <c r="A187" s="492" t="s">
        <v>473</v>
      </c>
      <c r="B187" s="182"/>
      <c r="C187" s="182"/>
      <c r="D187" s="182"/>
      <c r="E187" s="182"/>
      <c r="F187" s="187" t="s">
        <v>474</v>
      </c>
      <c r="G187" s="447">
        <v>100000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f>49786.77+9120</f>
        <v>58906.77</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f>5516+2355138.84</f>
        <v>2360654.84</v>
      </c>
    </row>
    <row r="192" spans="1:7" ht="20.100000000000001" customHeight="1">
      <c r="A192" s="492" t="s">
        <v>482</v>
      </c>
      <c r="B192" s="182"/>
      <c r="C192" s="182"/>
      <c r="D192" s="182"/>
      <c r="E192" s="182"/>
      <c r="F192" s="187" t="s">
        <v>483</v>
      </c>
      <c r="G192" s="447">
        <f>50000</f>
        <v>50000</v>
      </c>
    </row>
    <row r="193" spans="1:7" ht="20.100000000000001" customHeight="1">
      <c r="A193" s="492" t="s">
        <v>484</v>
      </c>
      <c r="B193" s="182"/>
      <c r="C193" s="182"/>
      <c r="D193" s="182"/>
      <c r="E193" s="182"/>
      <c r="F193" s="187" t="s">
        <v>485</v>
      </c>
      <c r="G193" s="447">
        <f>167176.15-30+57577</f>
        <v>224723.15</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21293214.089999996</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538080</v>
      </c>
    </row>
    <row r="200" spans="1:7" ht="20.100000000000001" customHeight="1">
      <c r="A200" s="492" t="s">
        <v>490</v>
      </c>
      <c r="B200" s="182"/>
      <c r="C200" s="182"/>
      <c r="D200" s="182"/>
      <c r="E200" s="182"/>
      <c r="F200" s="187" t="s">
        <v>491</v>
      </c>
      <c r="G200" s="447">
        <v>82000</v>
      </c>
    </row>
    <row r="201" spans="1:7" ht="20.100000000000001" customHeight="1">
      <c r="A201" s="492" t="s">
        <v>492</v>
      </c>
      <c r="B201" s="182"/>
      <c r="C201" s="182"/>
      <c r="D201" s="182"/>
      <c r="E201" s="182"/>
      <c r="F201" s="187" t="s">
        <v>493</v>
      </c>
      <c r="G201" s="447">
        <v>152620</v>
      </c>
    </row>
    <row r="202" spans="1:7" ht="20.100000000000001" customHeight="1">
      <c r="A202" s="492" t="s">
        <v>494</v>
      </c>
      <c r="B202" s="182"/>
      <c r="C202" s="182"/>
      <c r="D202" s="182"/>
      <c r="E202" s="182"/>
      <c r="F202" s="187" t="s">
        <v>495</v>
      </c>
      <c r="G202" s="447">
        <v>131073</v>
      </c>
    </row>
    <row r="203" spans="1:7" ht="20.100000000000001" customHeight="1">
      <c r="A203" s="492" t="s">
        <v>496</v>
      </c>
      <c r="B203" s="182"/>
      <c r="C203" s="182"/>
      <c r="D203" s="182"/>
      <c r="E203" s="182"/>
      <c r="F203" s="187" t="s">
        <v>497</v>
      </c>
      <c r="G203" s="447">
        <v>1234471</v>
      </c>
    </row>
    <row r="204" spans="1:7" ht="20.100000000000001" customHeight="1">
      <c r="A204" s="492" t="s">
        <v>498</v>
      </c>
      <c r="B204" s="182"/>
      <c r="C204" s="182"/>
      <c r="D204" s="182"/>
      <c r="E204" s="182"/>
      <c r="F204" s="187" t="s">
        <v>499</v>
      </c>
      <c r="G204" s="447">
        <v>81975</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v>688059</v>
      </c>
    </row>
    <row r="207" spans="1:7" ht="20.100000000000001" customHeight="1">
      <c r="A207" s="492" t="s">
        <v>502</v>
      </c>
      <c r="B207" s="182"/>
      <c r="C207" s="182"/>
      <c r="D207" s="182"/>
      <c r="E207" s="182"/>
      <c r="F207" s="187" t="s">
        <v>503</v>
      </c>
      <c r="G207" s="447">
        <v>910650</v>
      </c>
    </row>
    <row r="208" spans="1:7" ht="20.100000000000001" customHeight="1">
      <c r="A208" s="492" t="s">
        <v>504</v>
      </c>
      <c r="B208" s="182"/>
      <c r="C208" s="182"/>
      <c r="D208" s="182"/>
      <c r="E208" s="182"/>
      <c r="F208" s="187" t="s">
        <v>505</v>
      </c>
      <c r="G208" s="447">
        <v>2127831.86</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254912</v>
      </c>
    </row>
    <row r="212" spans="1:7" ht="20.100000000000001" customHeight="1">
      <c r="A212" s="492" t="s">
        <v>511</v>
      </c>
      <c r="B212" s="182"/>
      <c r="C212" s="182"/>
      <c r="D212" s="182"/>
      <c r="E212" s="182"/>
      <c r="F212" s="187" t="s">
        <v>512</v>
      </c>
      <c r="G212" s="447">
        <v>504624.85</v>
      </c>
    </row>
    <row r="213" spans="1:7" ht="20.100000000000001" customHeight="1">
      <c r="A213" s="492" t="s">
        <v>513</v>
      </c>
      <c r="F213" s="205" t="s">
        <v>514</v>
      </c>
      <c r="G213" s="447">
        <v>86250</v>
      </c>
    </row>
    <row r="214" spans="1:7" ht="20.100000000000001" customHeight="1">
      <c r="A214" s="492" t="s">
        <v>515</v>
      </c>
      <c r="B214" s="182"/>
      <c r="C214" s="182"/>
      <c r="D214" s="182"/>
      <c r="E214" s="182"/>
      <c r="F214" s="187" t="s">
        <v>516</v>
      </c>
      <c r="G214" s="447">
        <v>57625</v>
      </c>
    </row>
    <row r="215" spans="1:7" ht="20.100000000000001" customHeight="1">
      <c r="A215" s="492" t="s">
        <v>517</v>
      </c>
      <c r="B215" s="182"/>
      <c r="C215" s="182"/>
      <c r="D215" s="182"/>
      <c r="E215" s="182"/>
      <c r="F215" s="187" t="s">
        <v>518</v>
      </c>
      <c r="G215" s="447">
        <v>265403</v>
      </c>
    </row>
    <row r="216" spans="1:7" ht="20.100000000000001" customHeight="1">
      <c r="A216" s="492" t="s">
        <v>519</v>
      </c>
      <c r="B216" s="182"/>
      <c r="C216" s="182"/>
      <c r="D216" s="182"/>
      <c r="E216" s="182"/>
      <c r="F216" s="187" t="s">
        <v>520</v>
      </c>
      <c r="G216" s="447">
        <v>38005</v>
      </c>
    </row>
    <row r="217" spans="1:7" ht="20.100000000000001" customHeight="1">
      <c r="A217" s="492" t="s">
        <v>521</v>
      </c>
      <c r="B217" s="182"/>
      <c r="C217" s="182"/>
      <c r="D217" s="182"/>
      <c r="E217" s="182"/>
      <c r="F217" s="203" t="s">
        <v>522</v>
      </c>
      <c r="G217" s="447">
        <v>3000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46572</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f>15900+30000+30000</f>
        <v>75900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7279051.709999999</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211000</v>
      </c>
    </row>
    <row r="235" spans="1:9" ht="20.100000000000001" customHeight="1">
      <c r="A235" s="492" t="s">
        <v>544</v>
      </c>
      <c r="B235" s="182"/>
      <c r="C235" s="182"/>
      <c r="D235" s="182"/>
      <c r="E235" s="182"/>
      <c r="F235" s="187" t="s">
        <v>545</v>
      </c>
      <c r="G235" s="447">
        <v>0</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20000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231000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28803265.799999997</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200000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f>1956410.37+1142005</f>
        <v>3098415.37</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3298415.37</v>
      </c>
    </row>
    <row r="264" spans="1:12" ht="20.100000000000001" customHeight="1">
      <c r="A264" s="493"/>
      <c r="B264" s="182"/>
      <c r="C264" s="182"/>
      <c r="D264" s="182"/>
      <c r="E264" s="182"/>
      <c r="F264" s="199"/>
      <c r="G264" s="215"/>
    </row>
    <row r="265" spans="1:12" ht="20.100000000000001" customHeight="1" thickBot="1">
      <c r="A265" s="504" t="s">
        <v>774</v>
      </c>
      <c r="F265" s="205">
        <v>30800</v>
      </c>
      <c r="G265" s="448">
        <v>-10836345</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-7537929.6299999999</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vs1U/ud+Wzwp3E+vwUeCCVCHD2rsi/ODK8PQydpFXpQ4oJlrFPS1OGKFGUDiW4OtWuxdm+XDUSMbdRWFknXUGA==" saltValue="/okus1s6ydfLeN0yYBpJZ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DisciplineC2</vt:lpstr>
      <vt:lpstr>ESTIMATED_FUND_BALANCE___JUNE_30__2024</vt:lpstr>
      <vt:lpstr>FEE_EXEMPT__DUAL_ENROLLMENT____APPRENTICESHIP__ETC.</vt:lpstr>
      <vt:lpstr>FUNCTION</vt:lpstr>
      <vt:lpstr>GENERAL__LEDGER_CODE</vt:lpstr>
      <vt:lpstr>GENERAL_LEDGER_CODE</vt:lpstr>
      <vt:lpstr>GLCode</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2024-08-19T19:18:40Z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