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Eastern\"/>
    </mc:Choice>
  </mc:AlternateContent>
  <xr:revisionPtr revIDLastSave="0" documentId="8_{BD309824-9056-4AC1-9D3C-E48CCBBD9AFB}"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1" i="7" l="1"/>
  <c r="G162" i="7" l="1"/>
  <c r="G211" i="7"/>
  <c r="G78"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<sst xmlns="http://schemas.openxmlformats.org/spreadsheetml/2006/main" count="1300" uniqueCount="785">
  <si>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</si>
  <si>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</si>
  <si>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</si>
  <si>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</si>
  <si>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</si>
  <si>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</si>
  <si>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</si>
  <si>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</si>
  <si>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</si>
  <si>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</si>
  <si>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</si>
  <si>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</si>
  <si>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</si>
  <si>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</si>
  <si>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</si>
  <si>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</si>
  <si>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</si>
  <si>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</si>
  <si>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</si>
  <si>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</si>
  <si>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</si>
  <si>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</si>
  <si>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</si>
  <si>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</si>
  <si>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</si>
  <si>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</si>
  <si>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</si>
  <si>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</si>
  <si>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</si>
  <si>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</si>
  <si>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</si>
  <si>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</si>
  <si>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</si>
  <si>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</si>
  <si>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</si>
  <si>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</si>
  <si>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</si>
  <si>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</si>
  <si>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</si>
  <si>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</si>
  <si>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</si>
  <si>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</si>
  <si>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</si>
  <si>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</si>
  <si>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</si>
  <si>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</si>
  <si>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</si>
  <si>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</si>
  <si>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</si>
  <si>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</si>
  <si>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</si>
  <si>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</si>
  <si>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</si>
  <si>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</si>
  <si>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</si>
  <si>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</si>
  <si>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</si>
  <si>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</si>
  <si>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</si>
  <si>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</si>
  <si>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</si>
  <si>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</si>
  <si>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</si>
  <si>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</si>
  <si>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</si>
  <si>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</si>
  <si>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</si>
  <si>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</si>
  <si>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</si>
  <si>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</si>
  <si>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</si>
  <si>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</si>
  <si>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</si>
  <si>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</si>
  <si>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</si>
  <si>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</si>
  <si>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</si>
  <si>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</si>
  <si>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</si>
  <si>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</si>
  <si>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</si>
  <si>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</si>
  <si>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</si>
  <si>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</si>
  <si>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</si>
  <si>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</si>
  <si>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</si>
  <si>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</si>
  <si>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</si>
  <si>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</si>
  <si>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</si>
  <si>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</si>
  <si>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</si>
  <si>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</si>
  <si>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</si>
  <si>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</si>
  <si>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</si>
  <si>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</si>
  <si>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</si>
  <si>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</si>
  <si>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</si>
  <si>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</si>
  <si>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</si>
  <si>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</si>
  <si>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</si>
  <si>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</si>
  <si>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</si>
  <si>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</si>
  <si>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</si>
  <si>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</si>
  <si>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</si>
  <si>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</si>
  <si>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</si>
  <si>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</si>
  <si>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</si>
  <si>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</si>
  <si>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</si>
  <si>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</si>
  <si>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</si>
  <si>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</si>
  <si>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</si>
  <si>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</si>
  <si>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</si>
  <si>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</si>
  <si>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</si>
  <si>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</si>
  <si>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</si>
  <si>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</si>
  <si>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</si>
  <si>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</si>
  <si>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</si>
  <si>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</si>
  <si>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</si>
  <si>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</si>
  <si>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</si>
  <si>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</si>
  <si>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</si>
  <si>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</si>
  <si>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</si>
  <si>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</si>
  <si>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</si>
  <si>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</si>
  <si>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</si>
  <si>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</si>
  <si>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</si>
  <si>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</si>
  <si>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</si>
  <si>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</si>
  <si>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</si>
  <si>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</si>
  <si>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</si>
  <si>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</si>
  <si>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</si>
  <si>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</si>
  <si>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</si>
  <si>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</si>
  <si>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</si>
  <si>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</si>
  <si>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</si>
  <si>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</si>
  <si>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</si>
  <si>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</si>
  <si>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</si>
  <si>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</si>
  <si>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</si>
  <si>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</si>
  <si>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</si>
  <si>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</si>
  <si>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</si>
  <si>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</si>
  <si>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</si>
  <si>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</si>
  <si>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</si>
  <si>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</si>
  <si>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</si>
  <si>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</si>
  <si>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</si>
  <si>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</si>
  <si>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</si>
  <si>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</si>
  <si>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</si>
  <si>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</si>
  <si>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</si>
  <si>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</si>
  <si>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</si>
  <si>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</si>
  <si>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</si>
  <si>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</si>
  <si>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</si>
  <si>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</si>
  <si>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</si>
  <si>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</si>
  <si>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</si>
  <si>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</si>
  <si>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</si>
  <si>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</si>
  <si>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</si>
  <si>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</si>
  <si>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</si>
  <si>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</si>
  <si>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</si>
  <si>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</si>
  <si>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</si>
  <si>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</si>
  <si>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</si>
  <si>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</si>
  <si>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</si>
  <si>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</si>
  <si>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</si>
  <si>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</si>
  <si>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</si>
  <si>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</si>
  <si>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</si>
  <si>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</si>
  <si>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</si>
  <si>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</si>
  <si>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</si>
  <si>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</si>
  <si>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</si>
  <si>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</si>
  <si>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</si>
  <si>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</si>
  <si>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</si>
  <si>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</si>
  <si>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</si>
  <si>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</si>
  <si>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</si>
  <si>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</si>
  <si>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</si>
  <si>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</si>
  <si>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</si>
  <si>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</si>
  <si>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</si>
  <si>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</si>
  <si>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</si>
  <si>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</si>
  <si>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</si>
  <si>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</si>
  <si>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</si>
  <si>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</si>
  <si>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</si>
  <si>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</si>
  <si>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</si>
  <si>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</si>
  <si>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</si>
  <si>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</si>
  <si>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</si>
  <si>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</si>
  <si>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</si>
  <si>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</si>
  <si>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</si>
  <si>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</si>
  <si>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</si>
  <si>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</si>
  <si>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</si>
  <si>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</si>
  <si>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</si>
  <si>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</si>
  <si>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</si>
  <si>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</si>
  <si>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</si>
  <si>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</si>
  <si>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</si>
  <si>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</si>
  <si>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</si>
  <si>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</si>
  <si>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</si>
  <si>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</si>
  <si>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</si>
  <si>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</si>
  <si>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</si>
  <si>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</si>
  <si>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</si>
  <si>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</si>
  <si>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</si>
  <si>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</si>
  <si>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</si>
  <si>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</si>
  <si>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</si>
  <si>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</si>
  <si>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</si>
  <si>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</si>
  <si>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</si>
  <si>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</si>
  <si>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</si>
  <si>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</si>
  <si>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</si>
  <si>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</si>
  <si>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</si>
  <si>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</si>
  <si>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</si>
  <si>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</si>
  <si>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</si>
  <si>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</si>
  <si>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</si>
  <si>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</si>
  <si>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</si>
  <si>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</si>
  <si>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</si>
  <si>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</si>
  <si>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</si>
  <si>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</si>
  <si>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</si>
  <si>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</si>
  <si>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</si>
  <si>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</si>
  <si>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</si>
  <si>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</si>
  <si>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</si>
  <si>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</si>
  <si>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</si>
  <si>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</si>
  <si>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</si>
  <si>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</si>
  <si>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</si>
  <si>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</si>
  <si>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</si>
  <si>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</si>
  <si>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</si>
  <si>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</si>
  <si>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</si>
  <si>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</si>
  <si>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</si>
  <si>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</si>
  <si>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</si>
  <si>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</si>
  <si>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</si>
  <si>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</si>
  <si>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</si>
  <si>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</si>
  <si>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</si>
  <si>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</si>
  <si>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</si>
  <si>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</si>
  <si>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</si>
  <si>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</si>
  <si>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</si>
  <si>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</si>
  <si>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</si>
  <si>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</si>
  <si>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</si>
  <si>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</si>
  <si>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</si>
  <si>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</si>
  <si>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</si>
  <si>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</si>
  <si>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</si>
  <si>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</si>
  <si>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</si>
  <si>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</si>
  <si>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</si>
  <si>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</si>
  <si>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</si>
  <si>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</si>
  <si>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</si>
  <si>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</si>
  <si>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</si>
  <si>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</si>
  <si>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</si>
  <si>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</si>
  <si>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</si>
  <si>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</si>
  <si>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</si>
  <si>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</si>
  <si>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</si>
  <si>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</si>
  <si>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</si>
  <si>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</si>
  <si>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</si>
  <si>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</si>
  <si>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</si>
  <si>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</si>
  <si>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</si>
  <si>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</si>
  <si>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</si>
  <si>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</si>
  <si>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</si>
  <si>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</si>
  <si>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</si>
  <si>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</si>
  <si>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</si>
  <si>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</si>
  <si>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</si>
  <si>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</si>
  <si>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</si>
  <si>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</si>
  <si>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</si>
  <si>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</si>
  <si>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</si>
  <si>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</si>
  <si>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</si>
  <si>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</si>
  <si>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</si>
  <si>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</si>
  <si>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</si>
  <si>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</si>
  <si>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</si>
  <si>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</si>
  <si>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</si>
  <si>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</si>
  <si>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</si>
  <si>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</si>
  <si>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</si>
  <si>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</si>
  <si>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</si>
  <si>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</si>
  <si>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</si>
  <si>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</si>
  <si>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</si>
  <si>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</si>
  <si>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</si>
  <si>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</si>
  <si>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</si>
  <si>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</si>
  <si>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</si>
  <si>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</si>
  <si>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</si>
  <si>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</si>
  <si>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</si>
  <si>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</si>
  <si>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</si>
  <si>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</si>
  <si>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</si>
  <si>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</si>
  <si>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</si>
  <si>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</si>
  <si>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</si>
  <si>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</si>
  <si>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</si>
  <si>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</si>
  <si>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</si>
  <si>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</si>
  <si>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</si>
  <si>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</si>
  <si>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</si>
  <si>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</si>
  <si>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</si>
  <si>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</si>
  <si>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</si>
  <si>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</si>
  <si>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</si>
  <si>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</si>
  <si>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</si>
  <si>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</si>
  <si>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</si>
  <si>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</si>
  <si>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</si>
  <si>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</si>
  <si>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</si>
  <si>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</si>
  <si>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</si>
  <si>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</si>
  <si>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</si>
  <si>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</si>
  <si>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</si>
  <si>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</si>
  <si>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</si>
  <si>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</si>
  <si>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</si>
  <si>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</si>
  <si>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</si>
  <si>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</si>
  <si>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</si>
  <si>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</si>
  <si>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</si>
  <si>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</si>
  <si>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</si>
  <si>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</si>
  <si>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</si>
  <si>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</si>
  <si>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</si>
  <si>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</si>
  <si>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</si>
  <si>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</si>
  <si>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</si>
  <si>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</si>
  <si>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</si>
  <si>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</si>
  <si>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</si>
  <si>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</si>
  <si>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</si>
  <si>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</si>
  <si>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</si>
  <si>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</si>
  <si>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</si>
  <si>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</si>
  <si>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</si>
  <si>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</si>
  <si>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</si>
  <si>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</si>
  <si>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</si>
  <si>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</si>
  <si>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</si>
  <si>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</si>
  <si>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</si>
  <si>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</si>
  <si>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</si>
  <si>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</si>
  <si>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</si>
  <si>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</si>
  <si>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</si>
  <si>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</si>
  <si>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</si>
  <si>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</si>
  <si>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</si>
  <si>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</si>
  <si>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</si>
  <si>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</si>
  <si>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</si>
  <si>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</si>
  <si>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</si>
  <si>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</si>
  <si>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</si>
  <si>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</si>
  <si>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</si>
  <si>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</si>
  <si>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</si>
  <si>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</si>
  <si>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</si>
  <si>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</si>
  <si>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</si>
  <si>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</si>
  <si>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</si>
  <si>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</si>
  <si>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</si>
  <si>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</si>
  <si>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</si>
  <si>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</si>
  <si>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</si>
  <si>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</si>
  <si>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</si>
  <si>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</si>
  <si>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</si>
  <si>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</si>
  <si>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</si>
  <si>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</si>
  <si>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</si>
  <si>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</si>
  <si>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</si>
  <si>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</si>
  <si>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</si>
  <si>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</si>
  <si>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</si>
  <si>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</si>
  <si>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</si>
  <si>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</si>
  <si>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</si>
  <si>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</si>
  <si>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</si>
  <si>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</si>
  <si>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</si>
  <si>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</si>
  <si>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</si>
  <si>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</si>
  <si>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</si>
  <si>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</si>
  <si>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</si>
  <si>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</si>
  <si>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</si>
  <si>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</si>
  <si>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</si>
  <si>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</si>
  <si>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</si>
  <si>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</si>
  <si>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</si>
  <si>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</si>
  <si>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</si>
  <si>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</si>
  <si>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</si>
  <si>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</si>
  <si>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</si>
  <si>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</si>
  <si>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</si>
  <si>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</si>
  <si>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</si>
  <si>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</si>
  <si>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</si>
  <si>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</si>
  <si>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</si>
  <si>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</si>
  <si>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</si>
  <si>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</si>
  <si>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</si>
  <si>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</si>
  <si>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</si>
  <si>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</si>
  <si>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</si>
  <si>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</si>
  <si>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</si>
  <si>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</si>
  <si>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</si>
  <si>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</si>
  <si>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</si>
  <si>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</si>
  <si>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</si>
  <si>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</si>
  <si>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</si>
  <si>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</si>
  <si>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</si>
  <si>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</si>
  <si>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</si>
  <si>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</si>
  <si>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</si>
  <si>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</si>
  <si>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</si>
  <si>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</si>
  <si>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</si>
  <si>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</si>
  <si>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</si>
  <si>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</si>
  <si>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</si>
  <si>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</si>
  <si>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</si>
  <si>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</si>
  <si>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</si>
  <si>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</si>
  <si>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</si>
  <si>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</si>
  <si>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</si>
  <si>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</si>
  <si>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</si>
  <si>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</si>
  <si>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</si>
  <si>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</si>
  <si>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</si>
  <si>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</si>
  <si>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</si>
  <si>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</si>
  <si>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</si>
  <si>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</si>
  <si>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</si>
  <si>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</si>
  <si>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</si>
  <si>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</si>
  <si>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</si>
  <si>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</si>
  <si>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</si>
  <si>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</si>
  <si>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</si>
  <si>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</si>
  <si>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</si>
  <si>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</si>
  <si>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</si>
  <si>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</si>
  <si>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</si>
  <si>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</si>
  <si>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</si>
  <si>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</si>
  <si>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</si>
  <si>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</si>
  <si>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</si>
  <si>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</si>
  <si>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</si>
  <si>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</si>
  <si>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</si>
  <si>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</si>
  <si>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</si>
  <si>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</si>
  <si>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</si>
  <si>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</si>
  <si>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</si>
  <si>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</si>
  <si>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</si>
  <si>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</si>
  <si>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</si>
  <si>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</si>
  <si>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</si>
  <si>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</si>
  <si>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</si>
  <si>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</si>
  <si>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</si>
  <si>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</si>
  <si>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</si>
  <si>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</si>
  <si>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</si>
  <si>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</si>
  <si>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</si>
  <si>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</si>
  <si>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</si>
  <si>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</si>
  <si>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</si>
  <si>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</si>
  <si>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</si>
  <si>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</si>
  <si>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</si>
  <si>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</si>
  <si>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</si>
  <si>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</si>
  <si>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</si>
  <si>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</si>
  <si>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</si>
  <si>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</si>
  <si>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</si>
  <si>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</si>
  <si>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</si>
  <si>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</si>
  <si>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</si>
  <si>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</si>
  <si>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</si>
  <si>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</si>
  <si>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</si>
  <si>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</si>
  <si>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</si>
  <si>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</si>
  <si>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</si>
  <si>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</si>
  <si>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</si>
  <si>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</si>
  <si>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</si>
  <si>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</si>
  <si>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</si>
  <si>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</si>
  <si>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</si>
  <si>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</si>
  <si>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</si>
  <si>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</si>
  <si>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</si>
  <si>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</si>
  <si>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</si>
  <si>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</si>
  <si>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</si>
  <si>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</si>
  <si>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</si>
  <si>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</si>
  <si>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</si>
  <si>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</si>
  <si>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</si>
  <si>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</si>
  <si>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</si>
  <si>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</si>
  <si>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</si>
  <si>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</si>
  <si>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</si>
  <si>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</si>
  <si>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</si>
  <si>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</si>
  <si>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</si>
  <si>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</si>
  <si>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</si>
  <si>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</si>
  <si>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</si>
  <si>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</si>
  <si>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</si>
  <si>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</si>
  <si>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</si>
  <si>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</si>
  <si>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</si>
  <si>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</si>
  <si>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</si>
  <si>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</si>
  <si>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</si>
  <si>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</si>
  <si>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</si>
  <si>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</si>
  <si>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</si>
  <si>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</si>
  <si>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</si>
  <si>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</si>
  <si>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</si>
  <si>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</si>
  <si>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</si>
  <si>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</si>
  <si>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</si>
  <si>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</si>
  <si>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</si>
  <si>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</si>
  <si>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</si>
  <si>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</si>
  <si>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</si>
  <si>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</si>
  <si>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</si>
  <si>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</si>
  <si>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</si>
  <si>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</si>
  <si>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</si>
  <si>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</si>
  <si>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</si>
  <si>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</si>
  <si>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</si>
  <si>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</si>
  <si>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</si>
  <si>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</si>
  <si>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</si>
  <si>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Capital Lease</t>
  </si>
  <si>
    <t>Fund 2 Grant Match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</si>
</sst>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6048375</xdr:colOff>
          <xdr:row>52</xdr:row>
          <xdr:rowOff>85725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504825</xdr:colOff>
          <xdr:row>56</xdr:row>
          <xdr:rowOff>123825</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Eastern Florida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39436750.310000002</v>
      </c>
      <c r="C10" s="450">
        <v>2117615</v>
      </c>
      <c r="D10" s="450">
        <v>301063.56</v>
      </c>
      <c r="E10" s="369">
        <f>SUM(B10:D10)</f>
        <v>41855428.870000005</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6800</v>
      </c>
      <c r="D12" s="440">
        <v>0</v>
      </c>
      <c r="E12" s="370">
        <f>SUM(B12:D12)</f>
        <v>6800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6200542.6200000001</v>
      </c>
      <c r="C14" s="452">
        <v>904215</v>
      </c>
      <c r="D14" s="452">
        <v>0</v>
      </c>
      <c r="E14" s="370">
        <f t="shared" ref="E14:E20" si="0">SUM(B14:D14)</f>
        <v>7104757.6200000001</v>
      </c>
      <c r="F14" s="352"/>
    </row>
    <row r="15" spans="1:8" s="17" customFormat="1" ht="20.100000000000001" customHeight="1">
      <c r="A15" s="368" t="s">
        <v>585</v>
      </c>
      <c r="B15" s="451">
        <v>5000</v>
      </c>
      <c r="C15" s="440">
        <v>27700</v>
      </c>
      <c r="D15" s="440">
        <v>0</v>
      </c>
      <c r="E15" s="370">
        <f>SUM(B15:D15)</f>
        <v>32700</v>
      </c>
      <c r="F15" s="352"/>
    </row>
    <row r="16" spans="1:8" s="17" customFormat="1" ht="20.100000000000001" customHeight="1">
      <c r="A16" s="368" t="s">
        <v>586</v>
      </c>
      <c r="B16" s="451">
        <v>10737793.869999997</v>
      </c>
      <c r="C16" s="440">
        <v>827946</v>
      </c>
      <c r="D16" s="440">
        <v>0</v>
      </c>
      <c r="E16" s="370">
        <f t="shared" si="0"/>
        <v>11565739.869999997</v>
      </c>
      <c r="F16" s="352"/>
    </row>
    <row r="17" spans="1:6" s="17" customFormat="1" ht="20.100000000000001" customHeight="1">
      <c r="A17" s="368" t="s">
        <v>587</v>
      </c>
      <c r="B17" s="451">
        <v>9662393.3599999994</v>
      </c>
      <c r="C17" s="440">
        <v>7021295</v>
      </c>
      <c r="D17" s="440">
        <v>556936.43999999994</v>
      </c>
      <c r="E17" s="370">
        <f t="shared" si="0"/>
        <v>17240624.800000001</v>
      </c>
      <c r="F17" s="352"/>
    </row>
    <row r="18" spans="1:6" s="17" customFormat="1" ht="20.100000000000001" customHeight="1">
      <c r="A18" s="368" t="s">
        <v>588</v>
      </c>
      <c r="B18" s="451">
        <v>5364005.8400000008</v>
      </c>
      <c r="C18" s="440">
        <v>8684203</v>
      </c>
      <c r="D18" s="440">
        <v>92000</v>
      </c>
      <c r="E18" s="370">
        <f t="shared" si="0"/>
        <v>14140208.84</v>
      </c>
      <c r="F18" s="352"/>
    </row>
    <row r="19" spans="1:6" s="17" customFormat="1" ht="20.100000000000001" customHeight="1">
      <c r="A19" s="368" t="s">
        <v>589</v>
      </c>
      <c r="B19" s="451"/>
      <c r="C19" s="440">
        <v>0</v>
      </c>
      <c r="D19" s="440">
        <v>0</v>
      </c>
      <c r="E19" s="370">
        <f t="shared" si="0"/>
        <v>0</v>
      </c>
      <c r="F19" s="352"/>
    </row>
    <row r="20" spans="1:6" s="17" customFormat="1" ht="20.100000000000001" customHeight="1" thickBot="1">
      <c r="A20" s="368" t="s">
        <v>590</v>
      </c>
      <c r="B20" s="451">
        <v>0</v>
      </c>
      <c r="C20" s="441">
        <v>304000</v>
      </c>
      <c r="D20" s="441">
        <v>0</v>
      </c>
      <c r="E20" s="370">
        <f t="shared" si="0"/>
        <v>304000</v>
      </c>
      <c r="F20" s="352"/>
    </row>
    <row r="21" spans="1:6" s="17" customFormat="1" ht="24" customHeight="1" thickBot="1">
      <c r="A21" s="293" t="s">
        <v>49</v>
      </c>
      <c r="B21" s="353">
        <f>SUM(B10:B20)</f>
        <v>71406486</v>
      </c>
      <c r="C21" s="356">
        <f>SUM(C10:C20)</f>
        <v>19893774</v>
      </c>
      <c r="D21" s="356">
        <f>SUM(D10:D20)</f>
        <v>950000</v>
      </c>
      <c r="E21" s="355">
        <f>SUM(E10:E20)</f>
        <v>92250260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Zvb7yQF7zvHdwcOvRygzRaho920nOqVcsnTXNg9RVmXSA0hHkftU7PRFdDXuteNyUZL/pR5ouewTYrl1H/uf/Q==" saltValue="r7+h+0Xi4gUMjTXon6oBE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C109" sqref="C109"/>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504825</xdr:colOff>
                <xdr:row>56</xdr:row>
                <xdr:rowOff>123825</xdr:rowOff>
              </to>
            </anchor>
          </objectPr>
        </oleObject>
      </mc:Choice>
      <mc:Fallback>
        <oleObject progId="Acrobat Document" shapeId="38917"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Eastern Florida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1462569</v>
      </c>
      <c r="E15" s="756">
        <v>0</v>
      </c>
      <c r="F15" s="757">
        <f t="shared" si="0"/>
        <v>1462569</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146979</v>
      </c>
      <c r="E25" s="756">
        <v>0</v>
      </c>
      <c r="F25" s="757">
        <f t="shared" si="0"/>
        <v>146979</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400000</v>
      </c>
      <c r="E34" s="756">
        <v>0</v>
      </c>
      <c r="F34" s="757">
        <f t="shared" si="0"/>
        <v>400000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153730</v>
      </c>
      <c r="E48" s="756">
        <v>0</v>
      </c>
      <c r="F48" s="757">
        <f t="shared" si="0"/>
        <v>153730</v>
      </c>
    </row>
    <row r="49" spans="1:6" s="17" customFormat="1" ht="30" customHeight="1">
      <c r="A49" s="753" t="s">
        <v>471</v>
      </c>
      <c r="B49" s="754"/>
      <c r="C49" s="755" t="s">
        <v>472</v>
      </c>
      <c r="D49" s="756">
        <v>224854</v>
      </c>
      <c r="E49" s="756">
        <v>0</v>
      </c>
      <c r="F49" s="757">
        <f t="shared" si="0"/>
        <v>224854</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98254</v>
      </c>
      <c r="E54" s="756">
        <v>0</v>
      </c>
      <c r="F54" s="757">
        <f t="shared" si="0"/>
        <v>98254</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2486386</v>
      </c>
      <c r="E57" s="268">
        <f>SUM(E10:E56)</f>
        <v>0</v>
      </c>
      <c r="F57" s="268">
        <f t="shared" si="0"/>
        <v>2486386</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1000</v>
      </c>
      <c r="E64" s="453">
        <v>0</v>
      </c>
      <c r="F64" s="234">
        <f t="shared" si="0"/>
        <v>1000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325</v>
      </c>
      <c r="E67" s="756">
        <v>0</v>
      </c>
      <c r="F67" s="757">
        <f t="shared" si="0"/>
        <v>325</v>
      </c>
    </row>
    <row r="68" spans="1:6" s="17" customFormat="1" ht="30" customHeight="1">
      <c r="A68" s="753" t="s">
        <v>602</v>
      </c>
      <c r="B68" s="754"/>
      <c r="C68" s="763" t="s">
        <v>497</v>
      </c>
      <c r="D68" s="756">
        <v>15000</v>
      </c>
      <c r="E68" s="756">
        <v>0</v>
      </c>
      <c r="F68" s="757">
        <f t="shared" si="0"/>
        <v>15000</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81304</v>
      </c>
      <c r="E77" s="756">
        <v>0</v>
      </c>
      <c r="F77" s="757">
        <f t="shared" si="1"/>
        <v>81304</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97629</v>
      </c>
      <c r="E93" s="264">
        <f>SUM(E64:E92)</f>
        <v>0</v>
      </c>
      <c r="F93" s="264">
        <f t="shared" si="1"/>
        <v>97629</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2584015</v>
      </c>
      <c r="E113" s="264">
        <f>+E57+E93+E111</f>
        <v>0</v>
      </c>
      <c r="F113" s="264">
        <f>SUM(D113:E113)</f>
        <v>2584015</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2519636</v>
      </c>
      <c r="E118" s="756">
        <v>0</v>
      </c>
      <c r="F118" s="757">
        <f t="shared" ref="F118:F128" si="3">+D118+E118</f>
        <v>2519636</v>
      </c>
    </row>
    <row r="119" spans="1:6" s="69" customFormat="1" ht="30" customHeight="1">
      <c r="A119" s="753" t="s">
        <v>611</v>
      </c>
      <c r="B119" s="602"/>
      <c r="C119" s="765"/>
      <c r="D119" s="1080">
        <f>'EXHIBIT C'!F19</f>
        <v>64379</v>
      </c>
      <c r="E119" s="756">
        <v>0</v>
      </c>
      <c r="F119" s="757">
        <f t="shared" si="3"/>
        <v>64379</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2584015</v>
      </c>
      <c r="E129" s="258">
        <f>SUM(E117:E128)</f>
        <v>0</v>
      </c>
      <c r="F129" s="259">
        <f>SUM(F117:F128)</f>
        <v>2584015</v>
      </c>
    </row>
    <row r="130" spans="1:6" ht="14.1" customHeight="1">
      <c r="A130" s="247"/>
      <c r="B130" s="247"/>
      <c r="C130" s="248"/>
      <c r="D130" s="249"/>
      <c r="E130" s="249"/>
      <c r="F130" s="249"/>
    </row>
    <row r="131" spans="1:6" ht="83.25" customHeight="1">
      <c r="A131" s="931" t="s">
        <v>702</v>
      </c>
      <c r="B131" s="931"/>
      <c r="C131" s="932"/>
      <c r="D131" s="250">
        <f>D129-D113</f>
        <v>0</v>
      </c>
      <c r="E131" s="250">
        <f>E129-E113</f>
        <v>0</v>
      </c>
      <c r="F131" s="250">
        <f>F129-F113</f>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tby+ZZbV5AEz64LfhV5P05UkUMmJTaLCXKTfr7yts6m9XKNPlq+BAoAUrEiU0bwmHi34UUos1301RVmqwIlmVw==" saltValue="xgdRzRujcY1ET17/BWOX+Q=="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7" zoomScale="80" zoomScaleNormal="80" zoomScaleSheetLayoutView="90" zoomScalePageLayoutView="70" workbookViewId="0">
      <selection activeCell="C59" sqref="C59"/>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6048375</xdr:colOff>
                <xdr:row>52</xdr:row>
                <xdr:rowOff>85725</xdr:rowOff>
              </to>
            </anchor>
          </objectPr>
        </oleObject>
      </mc:Choice>
      <mc:Fallback>
        <oleObject progId="Acrobat Document"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SUM(B109:B136)</f>
        <v>17575</v>
      </c>
      <c r="C137" s="67"/>
      <c r="D137" s="394">
        <f t="shared" ref="D137:T137" si="20">SUM(D109:D136)</f>
        <v>17575</v>
      </c>
      <c r="E137" s="948">
        <f t="shared" si="20"/>
        <v>152230.24032664322</v>
      </c>
      <c r="F137" s="381">
        <f t="shared" si="20"/>
        <v>8199.9367338584852</v>
      </c>
      <c r="G137" s="394">
        <f t="shared" si="20"/>
        <v>160430.17706050174</v>
      </c>
      <c r="H137" s="404">
        <f t="shared" si="20"/>
        <v>51131.750029480463</v>
      </c>
      <c r="I137" s="381">
        <f t="shared" si="20"/>
        <v>2402.2905203214218</v>
      </c>
      <c r="J137" s="394">
        <f t="shared" si="20"/>
        <v>53534.040549801903</v>
      </c>
      <c r="K137" s="404">
        <f t="shared" si="20"/>
        <v>6220.2669151661903</v>
      </c>
      <c r="L137" s="406">
        <f t="shared" si="20"/>
        <v>844.73308483381027</v>
      </c>
      <c r="M137" s="395">
        <f t="shared" si="20"/>
        <v>7065</v>
      </c>
      <c r="N137" s="404">
        <f t="shared" si="20"/>
        <v>180.05197322854011</v>
      </c>
      <c r="O137" s="406">
        <f t="shared" si="20"/>
        <v>0.94802677145989178</v>
      </c>
      <c r="P137" s="395">
        <f t="shared" si="20"/>
        <v>181</v>
      </c>
      <c r="Q137" s="403">
        <f t="shared" si="20"/>
        <v>7579.9669255839635</v>
      </c>
      <c r="R137" s="405">
        <f t="shared" si="20"/>
        <v>328.97798660384655</v>
      </c>
      <c r="S137" s="396">
        <f t="shared" si="20"/>
        <v>7908.9449121878106</v>
      </c>
      <c r="T137" s="68">
        <f t="shared" si="20"/>
        <v>246694.16252249148</v>
      </c>
      <c r="U137" s="69"/>
      <c r="V137" s="397">
        <f t="shared" ref="V137:AB137" si="21">SUM(V109:V136)</f>
        <v>6.65625</v>
      </c>
      <c r="W137" s="404">
        <f t="shared" si="21"/>
        <v>12.34375</v>
      </c>
      <c r="X137" s="402">
        <f t="shared" si="21"/>
        <v>19</v>
      </c>
      <c r="Y137" s="70"/>
      <c r="Z137" s="397">
        <f t="shared" si="21"/>
        <v>1281.321488984639</v>
      </c>
      <c r="AA137" s="403">
        <f t="shared" si="21"/>
        <v>2231.6785110153605</v>
      </c>
      <c r="AB137" s="399">
        <f t="shared" si="21"/>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2">A7</f>
        <v>Eastern Florida State College</v>
      </c>
      <c r="B150" s="1107">
        <v>1223211</v>
      </c>
    </row>
    <row r="151" spans="1:4">
      <c r="A151" s="387" t="str">
        <f t="shared" si="22"/>
        <v>Broward College</v>
      </c>
      <c r="B151" s="1108">
        <v>2901756</v>
      </c>
    </row>
    <row r="152" spans="1:4">
      <c r="A152" s="387" t="str">
        <f t="shared" si="22"/>
        <v>College of Central Florida</v>
      </c>
      <c r="B152" s="1108">
        <v>580642</v>
      </c>
    </row>
    <row r="153" spans="1:4">
      <c r="A153" s="387" t="str">
        <f t="shared" si="22"/>
        <v>Chipola College</v>
      </c>
      <c r="B153" s="1108">
        <v>199039</v>
      </c>
    </row>
    <row r="154" spans="1:4">
      <c r="A154" s="387" t="str">
        <f t="shared" si="22"/>
        <v>Daytona State College</v>
      </c>
      <c r="B154" s="1108">
        <v>806367</v>
      </c>
    </row>
    <row r="155" spans="1:4">
      <c r="A155" s="387" t="str">
        <f t="shared" si="22"/>
        <v>Florida SouthWestern State College</v>
      </c>
      <c r="B155" s="1108">
        <v>831927</v>
      </c>
    </row>
    <row r="156" spans="1:4">
      <c r="A156" s="387" t="str">
        <f t="shared" si="22"/>
        <v>Florida State College at Jacksonville</v>
      </c>
      <c r="B156" s="1108">
        <v>1522554</v>
      </c>
    </row>
    <row r="157" spans="1:4">
      <c r="A157" s="387" t="str">
        <f t="shared" si="22"/>
        <v>College of the Florida Keys</v>
      </c>
      <c r="B157" s="1108">
        <v>55645</v>
      </c>
    </row>
    <row r="158" spans="1:4">
      <c r="A158" s="387" t="str">
        <f t="shared" si="22"/>
        <v>Gulf Coast State College</v>
      </c>
      <c r="B158" s="1108">
        <v>281214</v>
      </c>
    </row>
    <row r="159" spans="1:4">
      <c r="A159" s="387" t="str">
        <f t="shared" si="22"/>
        <v>Hillsborough Community College</v>
      </c>
      <c r="B159" s="1108">
        <v>1535676</v>
      </c>
    </row>
    <row r="160" spans="1:4">
      <c r="A160" s="387" t="str">
        <f t="shared" si="22"/>
        <v>Indian River State College</v>
      </c>
      <c r="B160" s="1108">
        <v>861594</v>
      </c>
    </row>
    <row r="161" spans="1:2">
      <c r="A161" s="387" t="str">
        <f t="shared" si="22"/>
        <v>Florida Gateway College</v>
      </c>
      <c r="B161" s="1108">
        <v>234886</v>
      </c>
    </row>
    <row r="162" spans="1:2">
      <c r="A162" s="387" t="str">
        <f t="shared" si="22"/>
        <v>Lake-Sumter State College</v>
      </c>
      <c r="B162" s="1108">
        <v>334183</v>
      </c>
    </row>
    <row r="163" spans="1:2">
      <c r="A163" s="387" t="str">
        <f t="shared" si="22"/>
        <v>State College of Florida, Manatee-Sarasota</v>
      </c>
      <c r="B163" s="1108">
        <v>538310</v>
      </c>
    </row>
    <row r="164" spans="1:2">
      <c r="A164" s="387" t="str">
        <f t="shared" si="22"/>
        <v>Miami Dade College</v>
      </c>
      <c r="B164" s="1108">
        <v>4079933</v>
      </c>
    </row>
    <row r="165" spans="1:2">
      <c r="A165" s="387" t="str">
        <f t="shared" si="22"/>
        <v>North Florida College</v>
      </c>
      <c r="B165" s="1108">
        <v>134140</v>
      </c>
    </row>
    <row r="166" spans="1:2">
      <c r="A166" s="387" t="str">
        <f t="shared" si="22"/>
        <v>Northwest Florida State College</v>
      </c>
      <c r="B166" s="1108">
        <v>337943</v>
      </c>
    </row>
    <row r="167" spans="1:2">
      <c r="A167" s="387" t="str">
        <f t="shared" si="22"/>
        <v>Palm Beach State College</v>
      </c>
      <c r="B167" s="1108">
        <v>1362933</v>
      </c>
    </row>
    <row r="168" spans="1:2">
      <c r="A168" s="387" t="str">
        <f t="shared" si="22"/>
        <v>Pasco-Hernando State College</v>
      </c>
      <c r="B168" s="1108">
        <v>656969</v>
      </c>
    </row>
    <row r="169" spans="1:2">
      <c r="A169" s="387" t="str">
        <f t="shared" si="22"/>
        <v>Pensacola State College</v>
      </c>
      <c r="B169" s="1108">
        <v>468310</v>
      </c>
    </row>
    <row r="170" spans="1:2">
      <c r="A170" s="387" t="str">
        <f t="shared" si="22"/>
        <v>Polk State College</v>
      </c>
      <c r="B170" s="1108">
        <v>612408</v>
      </c>
    </row>
    <row r="171" spans="1:2">
      <c r="A171" s="387" t="str">
        <f t="shared" si="22"/>
        <v>St. Johns River State College</v>
      </c>
      <c r="B171" s="1108">
        <v>432461</v>
      </c>
    </row>
    <row r="172" spans="1:2">
      <c r="A172" s="387" t="str">
        <f t="shared" si="22"/>
        <v>St. Petersburg College</v>
      </c>
      <c r="B172" s="1108">
        <v>1662776</v>
      </c>
    </row>
    <row r="173" spans="1:2">
      <c r="A173" s="387" t="str">
        <f t="shared" si="22"/>
        <v>Santa Fe College</v>
      </c>
      <c r="B173" s="1108">
        <v>1069199</v>
      </c>
    </row>
    <row r="174" spans="1:2">
      <c r="A174" s="387" t="str">
        <f t="shared" si="22"/>
        <v>Seminole State College of Florida</v>
      </c>
      <c r="B174" s="1108">
        <v>1560101</v>
      </c>
    </row>
    <row r="175" spans="1:2">
      <c r="A175" s="387" t="str">
        <f t="shared" si="22"/>
        <v>South Florida State College</v>
      </c>
      <c r="B175" s="1108">
        <v>188239</v>
      </c>
    </row>
    <row r="176" spans="1:2">
      <c r="A176" s="387" t="str">
        <f t="shared" si="22"/>
        <v>Tallahassee State College</v>
      </c>
      <c r="B176" s="1108">
        <v>1011402</v>
      </c>
    </row>
    <row r="177" spans="1:2" ht="21.75" thickBot="1">
      <c r="A177" s="388" t="str">
        <f t="shared" si="22"/>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3">A7</f>
        <v>Eastern Florida State College</v>
      </c>
      <c r="B185" s="1113">
        <v>1305041</v>
      </c>
    </row>
    <row r="186" spans="1:2">
      <c r="A186" s="387" t="str">
        <f t="shared" si="23"/>
        <v>Broward College</v>
      </c>
      <c r="B186" s="1108">
        <v>1431485</v>
      </c>
    </row>
    <row r="187" spans="1:2">
      <c r="A187" s="387" t="str">
        <f t="shared" si="23"/>
        <v>College of Central Florida</v>
      </c>
      <c r="B187" s="1108">
        <v>1049273</v>
      </c>
    </row>
    <row r="188" spans="1:2">
      <c r="A188" s="387" t="str">
        <f t="shared" si="23"/>
        <v>Chipola College</v>
      </c>
      <c r="B188" s="1108">
        <v>432695</v>
      </c>
    </row>
    <row r="189" spans="1:2">
      <c r="A189" s="387" t="str">
        <f t="shared" si="23"/>
        <v>Daytona State College</v>
      </c>
      <c r="B189" s="1108">
        <v>2291042</v>
      </c>
    </row>
    <row r="190" spans="1:2">
      <c r="A190" s="387" t="str">
        <f t="shared" si="23"/>
        <v>Florida SouthWestern State College</v>
      </c>
      <c r="B190" s="1108">
        <v>1383615</v>
      </c>
    </row>
    <row r="191" spans="1:2">
      <c r="A191" s="387" t="str">
        <f t="shared" si="23"/>
        <v>Florida State College at Jacksonville</v>
      </c>
      <c r="B191" s="1108">
        <v>2284275</v>
      </c>
    </row>
    <row r="192" spans="1:2">
      <c r="A192" s="387" t="str">
        <f t="shared" si="23"/>
        <v>College of the Florida Keys</v>
      </c>
      <c r="B192" s="1108">
        <v>338573</v>
      </c>
    </row>
    <row r="193" spans="1:2">
      <c r="A193" s="387" t="str">
        <f t="shared" si="23"/>
        <v>Gulf Coast State College</v>
      </c>
      <c r="B193" s="1108">
        <v>1680100</v>
      </c>
    </row>
    <row r="194" spans="1:2">
      <c r="A194" s="387" t="str">
        <f t="shared" si="23"/>
        <v>Hillsborough Community College</v>
      </c>
      <c r="B194" s="1108">
        <v>653062</v>
      </c>
    </row>
    <row r="195" spans="1:2">
      <c r="A195" s="387" t="str">
        <f t="shared" si="23"/>
        <v>Indian River State College</v>
      </c>
      <c r="B195" s="1108">
        <v>1644383</v>
      </c>
    </row>
    <row r="196" spans="1:2">
      <c r="A196" s="387" t="str">
        <f t="shared" si="23"/>
        <v>Florida Gateway College</v>
      </c>
      <c r="B196" s="1108">
        <v>1502315</v>
      </c>
    </row>
    <row r="197" spans="1:2">
      <c r="A197" s="387" t="str">
        <f t="shared" si="23"/>
        <v>Lake-Sumter State College</v>
      </c>
      <c r="B197" s="1108">
        <v>1203371</v>
      </c>
    </row>
    <row r="198" spans="1:2">
      <c r="A198" s="387" t="str">
        <f t="shared" si="23"/>
        <v>State College of Florida, Manatee-Sarasota</v>
      </c>
      <c r="B198" s="1108">
        <v>1708676</v>
      </c>
    </row>
    <row r="199" spans="1:2">
      <c r="A199" s="387" t="str">
        <f t="shared" si="23"/>
        <v>Miami Dade College</v>
      </c>
      <c r="B199" s="1108">
        <v>2347456</v>
      </c>
    </row>
    <row r="200" spans="1:2">
      <c r="A200" s="387" t="str">
        <f t="shared" si="23"/>
        <v>North Florida College</v>
      </c>
      <c r="B200" s="1108">
        <v>909979</v>
      </c>
    </row>
    <row r="201" spans="1:2">
      <c r="A201" s="387" t="str">
        <f t="shared" si="23"/>
        <v>Northwest Florida State College</v>
      </c>
      <c r="B201" s="1108">
        <v>846604</v>
      </c>
    </row>
    <row r="202" spans="1:2">
      <c r="A202" s="387" t="str">
        <f t="shared" si="23"/>
        <v>Palm Beach State College</v>
      </c>
      <c r="B202" s="1108">
        <v>1637660</v>
      </c>
    </row>
    <row r="203" spans="1:2">
      <c r="A203" s="387" t="str">
        <f t="shared" si="23"/>
        <v>Pasco-Hernando State College</v>
      </c>
      <c r="B203" s="1108">
        <v>2453045</v>
      </c>
    </row>
    <row r="204" spans="1:2">
      <c r="A204" s="387" t="str">
        <f t="shared" si="23"/>
        <v>Pensacola State College</v>
      </c>
      <c r="B204" s="1108">
        <v>1084766</v>
      </c>
    </row>
    <row r="205" spans="1:2">
      <c r="A205" s="387" t="str">
        <f t="shared" si="23"/>
        <v>Polk State College</v>
      </c>
      <c r="B205" s="1108">
        <v>1287984</v>
      </c>
    </row>
    <row r="206" spans="1:2">
      <c r="A206" s="387" t="str">
        <f t="shared" si="23"/>
        <v>St. Johns River State College</v>
      </c>
      <c r="B206" s="1108">
        <v>1161973</v>
      </c>
    </row>
    <row r="207" spans="1:2">
      <c r="A207" s="387" t="str">
        <f t="shared" si="23"/>
        <v>St. Petersburg College</v>
      </c>
      <c r="B207" s="1108">
        <v>2139506</v>
      </c>
    </row>
    <row r="208" spans="1:2">
      <c r="A208" s="387" t="str">
        <f t="shared" si="23"/>
        <v>Santa Fe College</v>
      </c>
      <c r="B208" s="1108">
        <v>1764750</v>
      </c>
    </row>
    <row r="209" spans="1:2">
      <c r="A209" s="387" t="str">
        <f t="shared" si="23"/>
        <v>Seminole State College of Florida</v>
      </c>
      <c r="B209" s="1108">
        <v>1473391</v>
      </c>
    </row>
    <row r="210" spans="1:2">
      <c r="A210" s="387" t="str">
        <f t="shared" si="23"/>
        <v>South Florida State College</v>
      </c>
      <c r="B210" s="1108">
        <v>1194691</v>
      </c>
    </row>
    <row r="211" spans="1:2">
      <c r="A211" s="387" t="str">
        <f t="shared" si="23"/>
        <v>Tallahassee State College</v>
      </c>
      <c r="B211" s="1108">
        <v>678930</v>
      </c>
    </row>
    <row r="212" spans="1:2" ht="21.75" thickBot="1">
      <c r="A212" s="388" t="str">
        <f t="shared" si="23"/>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pageSetUpPr fitToPage="1"/>
  </sheetPr>
  <dimension ref="A1:I390"/>
  <sheetViews>
    <sheetView showGridLines="0" defaultGridColor="0" colorId="22" zoomScale="70" zoomScaleNormal="70" zoomScaleSheetLayoutView="51" zoomScalePageLayoutView="60" workbookViewId="0">
      <selection activeCell="E97" sqref="E97"/>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21</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9.8877174790043751E-2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27450</v>
      </c>
      <c r="E44" s="114">
        <f>+'EXHIBIT C'!F10</f>
        <v>27450</v>
      </c>
      <c r="F44" s="115">
        <f t="shared" ref="F44:F50" si="0">IF(D44=0,"0",(E44/D44-1))</f>
        <v>0</v>
      </c>
      <c r="G44" s="116" t="str">
        <f t="shared" ref="G44:G50" si="1">IF(OR(F44&gt;3%, F44&lt;-3%),"YES","NO")</f>
        <v>NO</v>
      </c>
      <c r="H44" s="88"/>
    </row>
    <row r="45" spans="1:8" ht="20.100000000000001" customHeight="1">
      <c r="C45" s="117" t="s">
        <v>126</v>
      </c>
      <c r="D45" s="650">
        <f>VLOOKUP($D$7,VLOOKUP!$A$109:$S$137,5)*30+D60</f>
        <v>138904.04524605992</v>
      </c>
      <c r="E45" s="118">
        <f>+'EXHIBIT C'!F11</f>
        <v>141904</v>
      </c>
      <c r="F45" s="651">
        <f t="shared" si="0"/>
        <v>2.1597317404441707E-2</v>
      </c>
      <c r="G45" s="652" t="str">
        <f t="shared" si="1"/>
        <v>NO</v>
      </c>
      <c r="H45" s="88"/>
    </row>
    <row r="46" spans="1:8" ht="20.100000000000001" customHeight="1">
      <c r="C46" s="653" t="s">
        <v>127</v>
      </c>
      <c r="D46" s="654">
        <f>VLOOKUP($D$7,VLOOKUP!$A$109:$S$137,8)*30</f>
        <v>48910.550649350647</v>
      </c>
      <c r="E46" s="655">
        <f>+'EXHIBIT C'!F12</f>
        <v>48910.55</v>
      </c>
      <c r="F46" s="651">
        <f t="shared" si="0"/>
        <v>-1.327628984526541E-8</v>
      </c>
      <c r="G46" s="652" t="str">
        <f t="shared" si="1"/>
        <v>NO</v>
      </c>
      <c r="H46" s="88"/>
    </row>
    <row r="47" spans="1:8" ht="20.100000000000001" customHeight="1">
      <c r="C47" s="653" t="s">
        <v>76</v>
      </c>
      <c r="D47" s="654">
        <f>VLOOKUP($D$7,VLOOKUP!$A$109:$S$137,17)*30</f>
        <v>9404.6269907795486</v>
      </c>
      <c r="E47" s="655">
        <f>+'EXHIBIT C'!F13</f>
        <v>9485.7000000000007</v>
      </c>
      <c r="F47" s="651">
        <f t="shared" si="0"/>
        <v>8.6205448977336729E-3</v>
      </c>
      <c r="G47" s="652" t="str">
        <f t="shared" si="1"/>
        <v>NO</v>
      </c>
      <c r="H47" s="88"/>
    </row>
    <row r="48" spans="1:8" ht="20.100000000000001" customHeight="1">
      <c r="C48" s="653" t="s">
        <v>128</v>
      </c>
      <c r="D48" s="654">
        <f>VLOOKUP($D$7,VLOOKUP!$A$109:$S$137,11)*30</f>
        <v>6005.4235537190079</v>
      </c>
      <c r="E48" s="655">
        <f>+'EXHIBIT C'!F14</f>
        <v>6005.4235537190098</v>
      </c>
      <c r="F48" s="651">
        <f t="shared" si="0"/>
        <v>2.2204460492503131E-16</v>
      </c>
      <c r="G48" s="652" t="str">
        <f t="shared" si="1"/>
        <v>NO</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230674.64643990912</v>
      </c>
      <c r="E50" s="121">
        <f>+'EXHIBIT C'!F17</f>
        <v>233755.67355371901</v>
      </c>
      <c r="F50" s="122">
        <f t="shared" si="0"/>
        <v>1.3356591898418646E-2</v>
      </c>
      <c r="G50" s="123" t="str">
        <f t="shared" si="1"/>
        <v>NO</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220</v>
      </c>
      <c r="F59" s="662" t="str">
        <f t="shared" ref="F59:F65" si="2">IF(D59=0,"0",(E59/D59-1))</f>
        <v>0</v>
      </c>
      <c r="G59" s="663" t="str">
        <f>IF(OR(F59&gt;5%, F59&lt;-5%),"YES","NO")</f>
        <v>NO</v>
      </c>
    </row>
    <row r="60" spans="3:8" ht="20.100000000000001" customHeight="1">
      <c r="C60" s="117" t="s">
        <v>126</v>
      </c>
      <c r="D60" s="661">
        <f>VLOOKUP($D$7,VLOOKUP!$A$109:$S$137,6)*30</f>
        <v>6632.9475462978935</v>
      </c>
      <c r="E60" s="131">
        <f>+'EXHIBIT C'!D20</f>
        <v>6632.9475462978935</v>
      </c>
      <c r="F60" s="662">
        <f t="shared" si="2"/>
        <v>0</v>
      </c>
      <c r="G60" s="663" t="str">
        <f t="shared" ref="G60:G65" si="3">IF(OR(F60&gt;5%, F60&lt;-5%),"YES","NO")</f>
        <v>NO</v>
      </c>
      <c r="H60" s="88"/>
    </row>
    <row r="61" spans="3:8" ht="20.100000000000001" customHeight="1">
      <c r="C61" s="653" t="s">
        <v>127</v>
      </c>
      <c r="D61" s="664">
        <f>VLOOKUP($D$7,VLOOKUP!$A$109:$S$137,9)*30</f>
        <v>1694.0398268398267</v>
      </c>
      <c r="E61" s="665">
        <f>+'EXHIBIT C'!D21</f>
        <v>1694.0398268398267</v>
      </c>
      <c r="F61" s="662">
        <f t="shared" si="2"/>
        <v>0</v>
      </c>
      <c r="G61" s="663" t="str">
        <f t="shared" si="3"/>
        <v>NO</v>
      </c>
      <c r="H61" s="88"/>
    </row>
    <row r="62" spans="3:8" ht="20.100000000000001" customHeight="1">
      <c r="C62" s="653" t="s">
        <v>76</v>
      </c>
      <c r="D62" s="664">
        <f>VLOOKUP($D$7,VLOOKUP!$A$109:$S$137,18)*30</f>
        <v>645.18021793797152</v>
      </c>
      <c r="E62" s="665">
        <f>+'EXHIBIT C'!D22</f>
        <v>645.18021793797152</v>
      </c>
      <c r="F62" s="662">
        <f t="shared" si="2"/>
        <v>0</v>
      </c>
      <c r="G62" s="663" t="str">
        <f t="shared" si="3"/>
        <v>NO</v>
      </c>
      <c r="H62" s="88"/>
    </row>
    <row r="63" spans="3:8" ht="20.100000000000001" customHeight="1">
      <c r="C63" s="653" t="s">
        <v>128</v>
      </c>
      <c r="D63" s="664">
        <f>VLOOKUP($D$7,VLOOKUP!$A$109:$S$137,12)*30</f>
        <v>894.57644628099172</v>
      </c>
      <c r="E63" s="665">
        <f>+'EXHIBIT C'!D23</f>
        <v>894.57644628099172</v>
      </c>
      <c r="F63" s="662">
        <f t="shared" si="2"/>
        <v>0</v>
      </c>
      <c r="G63" s="663" t="str">
        <f t="shared" si="3"/>
        <v>NO</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9866.7440373566824</v>
      </c>
      <c r="E65" s="133">
        <f>SUM(E59:E64)</f>
        <v>10086.744037356682</v>
      </c>
      <c r="F65" s="134">
        <f t="shared" si="2"/>
        <v>2.2297122451647056E-2</v>
      </c>
      <c r="G65" s="135" t="str">
        <f t="shared" si="3"/>
        <v>NO</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43600274.429753423</v>
      </c>
      <c r="E84" s="1127">
        <f>+'EXHIBIT D'!G76</f>
        <v>43600274.429753423</v>
      </c>
      <c r="F84" s="1127">
        <f>D84-E84</f>
        <v>0</v>
      </c>
      <c r="G84" s="88"/>
      <c r="H84" s="88"/>
    </row>
    <row r="85" spans="1:8" ht="20.100000000000001" customHeight="1">
      <c r="A85" s="98"/>
      <c r="B85" s="98"/>
      <c r="C85" s="672" t="s">
        <v>150</v>
      </c>
      <c r="D85" s="671">
        <f>VLOOKUP($D$7,VLOOKUP!$A$150:$B$178,2)</f>
        <v>1223211</v>
      </c>
      <c r="E85" s="1127">
        <f>'EXHIBIT D'!G78</f>
        <v>1223211</v>
      </c>
      <c r="F85" s="1127">
        <f>D85-E85</f>
        <v>0</v>
      </c>
      <c r="G85" s="88"/>
      <c r="H85" s="88"/>
    </row>
    <row r="86" spans="1:8" ht="20.100000000000001" customHeight="1">
      <c r="A86" s="98"/>
      <c r="B86" s="98"/>
      <c r="C86" s="672" t="s">
        <v>151</v>
      </c>
      <c r="D86" s="671">
        <f>VLOOKUP($D$7,VLOOKUP!$A$7:$E$35,3)</f>
        <v>9683162.5702465735</v>
      </c>
      <c r="E86" s="1127">
        <f>'EXHIBIT D'!G82</f>
        <v>9683162.5702465735</v>
      </c>
      <c r="F86" s="1127">
        <f>D86-E86</f>
        <v>0</v>
      </c>
      <c r="G86" s="88"/>
      <c r="H86" s="88"/>
    </row>
    <row r="87" spans="1:8" ht="20.100000000000001" customHeight="1" thickBot="1">
      <c r="A87" s="97"/>
      <c r="B87" s="97"/>
      <c r="C87" s="143" t="s">
        <v>695</v>
      </c>
      <c r="D87" s="671">
        <f>VLOOKUP($D$7,VLOOKUP!$A$185:$B$213,2)</f>
        <v>1305041</v>
      </c>
      <c r="E87" s="1128">
        <f>'EXHIBIT D'!G77</f>
        <v>1305041</v>
      </c>
      <c r="F87" s="1127">
        <f>D87-E87</f>
        <v>0</v>
      </c>
      <c r="G87" s="88"/>
      <c r="H87" s="88"/>
    </row>
    <row r="88" spans="1:8" ht="20.100000000000001" customHeight="1" thickBot="1">
      <c r="A88" s="97"/>
      <c r="B88" s="97"/>
      <c r="C88" s="144" t="s">
        <v>152</v>
      </c>
      <c r="D88" s="145">
        <f>SUM(D84:D87)</f>
        <v>55811689</v>
      </c>
      <c r="E88" s="145">
        <f>SUM(E84:E87)</f>
        <v>55811689</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9746906</v>
      </c>
      <c r="D101" s="819" t="s">
        <v>740</v>
      </c>
      <c r="E101" s="819"/>
      <c r="F101" s="819"/>
      <c r="G101" s="88"/>
      <c r="H101" s="88"/>
    </row>
    <row r="102" spans="1:8" ht="20.100000000000001" customHeight="1">
      <c r="A102" s="95"/>
      <c r="B102" s="95"/>
      <c r="C102" s="674">
        <f>'EXHIBIT D'!G267-'EXHIBIT D'!G253-'EXHIBIT D'!G265</f>
        <v>9746906</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47451310</v>
      </c>
      <c r="D108" s="17" t="s">
        <v>742</v>
      </c>
    </row>
    <row r="109" spans="1:8" ht="26.25" customHeight="1">
      <c r="A109" s="151"/>
      <c r="B109" s="151"/>
      <c r="C109" s="676">
        <f>'EXHIBIT A'!E36</f>
        <v>47451310</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91.790018214936254</v>
      </c>
      <c r="D119" s="17" t="s">
        <v>81</v>
      </c>
    </row>
    <row r="120" spans="1:8" ht="20.100000000000001" customHeight="1">
      <c r="C120" s="157"/>
    </row>
    <row r="121" spans="1:8" ht="20.100000000000001" customHeight="1">
      <c r="C121" s="158">
        <f>IF('EXHIBIT G'!D119=0,"No Credit Hours or Not Applicable",('EXHIBIT G'!D119/'EXHIBIT C'!D19))</f>
        <v>292.63181818181818</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9" fitToHeight="0" orientation="landscape"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Eastern Florida State College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v>-37454428</v>
      </c>
    </row>
    <row r="14" spans="2:7" ht="25.35" customHeight="1">
      <c r="B14" s="17" t="s">
        <v>174</v>
      </c>
      <c r="D14" s="28"/>
      <c r="E14" s="1136">
        <v>47451310</v>
      </c>
    </row>
    <row r="15" spans="2:7" ht="25.35" customHeight="1">
      <c r="B15" s="28"/>
      <c r="D15" s="28"/>
      <c r="E15" s="162"/>
    </row>
    <row r="16" spans="2:7" ht="25.35" customHeight="1">
      <c r="B16" s="17" t="s">
        <v>731</v>
      </c>
      <c r="C16" s="28"/>
      <c r="D16" s="28"/>
      <c r="E16" s="578">
        <f>+E14+E13</f>
        <v>9996882</v>
      </c>
    </row>
    <row r="17" spans="2:7" ht="25.35" customHeight="1">
      <c r="B17" s="28"/>
      <c r="C17" s="28"/>
      <c r="D17" s="28"/>
      <c r="E17" s="163"/>
    </row>
    <row r="18" spans="2:7" ht="25.35" customHeight="1">
      <c r="B18" s="17" t="s">
        <v>175</v>
      </c>
      <c r="C18" s="28"/>
      <c r="D18" s="28"/>
      <c r="E18" s="173">
        <f>+'EXHIBIT D'!G143-SUM(+'EXHIBIT D'!G133+'EXHIBIT D'!G134)</f>
        <v>88579013</v>
      </c>
      <c r="G18" s="138"/>
    </row>
    <row r="19" spans="2:7" ht="25.35" customHeight="1">
      <c r="B19" s="17" t="s">
        <v>176</v>
      </c>
      <c r="D19" s="28"/>
      <c r="E19" s="578">
        <f>+'EXHIBIT D'!G133+'EXHIBIT D'!G134</f>
        <v>0</v>
      </c>
    </row>
    <row r="20" spans="2:7" ht="25.35" customHeight="1">
      <c r="B20" s="28"/>
      <c r="D20" s="28"/>
      <c r="E20" s="168"/>
    </row>
    <row r="21" spans="2:7" ht="25.35" customHeight="1">
      <c r="B21" s="17" t="s">
        <v>177</v>
      </c>
      <c r="C21" s="28"/>
      <c r="D21" s="28"/>
      <c r="E21" s="579">
        <f>+E19+E18</f>
        <v>88579013</v>
      </c>
    </row>
    <row r="22" spans="2:7" ht="25.35" customHeight="1">
      <c r="B22" s="28"/>
      <c r="C22" s="28"/>
      <c r="D22" s="28"/>
      <c r="E22" s="168"/>
    </row>
    <row r="23" spans="2:7" ht="25.35" customHeight="1">
      <c r="B23" s="28" t="s">
        <v>178</v>
      </c>
      <c r="C23" s="28"/>
      <c r="D23" s="28"/>
      <c r="E23" s="579">
        <f>+E21+E16</f>
        <v>98575895</v>
      </c>
    </row>
    <row r="24" spans="2:7" ht="25.35" customHeight="1">
      <c r="B24" s="28"/>
      <c r="C24" s="28"/>
      <c r="D24" s="28"/>
      <c r="E24" s="168"/>
    </row>
    <row r="25" spans="2:7" ht="25.35" customHeight="1">
      <c r="B25" s="17" t="s">
        <v>179</v>
      </c>
      <c r="C25" s="28"/>
      <c r="D25" s="28"/>
      <c r="E25" s="174">
        <f>'EXHIBIT D'!G249-SUM(+'EXHIBIT D'!G223+'EXHIBIT D'!G224)</f>
        <v>91066628</v>
      </c>
    </row>
    <row r="26" spans="2:7" ht="25.35" customHeight="1">
      <c r="B26" s="17" t="s">
        <v>180</v>
      </c>
      <c r="D26" s="28"/>
      <c r="E26" s="578">
        <f>'EXHIBIT D'!G223+'EXHIBIT D'!G224</f>
        <v>1183632</v>
      </c>
    </row>
    <row r="27" spans="2:7" ht="25.35" customHeight="1">
      <c r="B27" s="28"/>
      <c r="D27" s="28"/>
      <c r="E27" s="168"/>
    </row>
    <row r="28" spans="2:7" ht="25.35" customHeight="1">
      <c r="B28" s="28" t="s">
        <v>181</v>
      </c>
      <c r="C28" s="28"/>
      <c r="D28" s="28"/>
      <c r="E28" s="580">
        <f>+E26+E25</f>
        <v>92250260</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6325635</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6325635</v>
      </c>
    </row>
    <row r="36" spans="2:10" ht="25.35" customHeight="1">
      <c r="B36" s="17" t="s">
        <v>734</v>
      </c>
      <c r="C36" s="28"/>
      <c r="D36" s="28"/>
      <c r="E36" s="579">
        <f>-'EXHIBIT D'!G265</f>
        <v>47451310</v>
      </c>
      <c r="J36" s="48"/>
    </row>
    <row r="37" spans="2:10" ht="25.35" customHeight="1">
      <c r="D37" s="28"/>
      <c r="E37" s="167"/>
    </row>
    <row r="38" spans="2:10" ht="25.35" customHeight="1">
      <c r="B38" s="28" t="s">
        <v>735</v>
      </c>
      <c r="D38" s="28"/>
      <c r="E38" s="578">
        <f>+E35-E36</f>
        <v>-41125675</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9746906</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9.8877174790043751E-2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CGLueVZ7Xyi3TaFx+fvG/FKb8ewukZ0BLe307GHDzaCrBGYqMsBF9gKjEF33Z9OFJ5RtkDGIn3T9FTzNeAHlA==" saltValue="rQ312RLlmEXq11EcCzzal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Eastern Florida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18.36</v>
      </c>
      <c r="F14" s="962">
        <v>4.59</v>
      </c>
      <c r="G14" s="679">
        <f>SUM(B14:F14)</f>
        <v>128.51</v>
      </c>
      <c r="H14" s="365">
        <f>G14*30</f>
        <v>3855.2999999999997</v>
      </c>
    </row>
    <row r="15" spans="1:18" s="17" customFormat="1" ht="20.100000000000001" customHeight="1">
      <c r="A15" s="28" t="s">
        <v>201</v>
      </c>
      <c r="B15" s="963">
        <v>78.84</v>
      </c>
      <c r="C15" s="963">
        <v>3.46</v>
      </c>
      <c r="D15" s="963">
        <v>7.88</v>
      </c>
      <c r="E15" s="963">
        <v>9.8800000000000008</v>
      </c>
      <c r="F15" s="963">
        <v>3.94</v>
      </c>
      <c r="G15" s="679">
        <f>SUM(B15:F15)</f>
        <v>103.99999999999999</v>
      </c>
      <c r="H15" s="338">
        <f>G15*30</f>
        <v>3119.9999999999995</v>
      </c>
    </row>
    <row r="16" spans="1:18" s="17" customFormat="1" ht="20.100000000000001" customHeight="1" thickBot="1">
      <c r="A16" s="28" t="s">
        <v>76</v>
      </c>
      <c r="B16" s="964">
        <v>69.599999999999994</v>
      </c>
      <c r="C16" s="964">
        <v>0</v>
      </c>
      <c r="D16" s="965"/>
      <c r="E16" s="964">
        <v>3.6</v>
      </c>
      <c r="F16" s="964">
        <v>3.6</v>
      </c>
      <c r="G16" s="339">
        <f>SUM(B16:F16)</f>
        <v>76.799999999999983</v>
      </c>
      <c r="H16" s="680">
        <f>G16*30</f>
        <v>2303.9999999999995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292.63</v>
      </c>
      <c r="D29" s="962">
        <v>19.22</v>
      </c>
      <c r="E29" s="536">
        <f>D14</f>
        <v>9.18</v>
      </c>
      <c r="F29" s="962">
        <v>76.88</v>
      </c>
      <c r="G29" s="962">
        <v>19.22</v>
      </c>
      <c r="H29" s="346">
        <f>SUM(B29:G29)</f>
        <v>508.91999999999996</v>
      </c>
      <c r="I29" s="359">
        <f>H29*30</f>
        <v>15267.599999999999</v>
      </c>
    </row>
    <row r="30" spans="1:11" s="17" customFormat="1" ht="20.100000000000001" customHeight="1">
      <c r="A30" s="28" t="str">
        <f t="shared" si="0"/>
        <v>LOWER LEVEL - CREDIT (A &amp; P, PSV, DEVELOPMENTAL EDUCATION AND EPI)</v>
      </c>
      <c r="B30" s="683">
        <f t="shared" si="0"/>
        <v>78.84</v>
      </c>
      <c r="C30" s="966">
        <v>236.69</v>
      </c>
      <c r="D30" s="966">
        <v>3.46</v>
      </c>
      <c r="E30" s="684">
        <f>D15</f>
        <v>7.88</v>
      </c>
      <c r="F30" s="966">
        <v>63.11</v>
      </c>
      <c r="G30" s="966">
        <v>15.78</v>
      </c>
      <c r="H30" s="679">
        <f>SUM(B30:G30)</f>
        <v>405.75999999999993</v>
      </c>
      <c r="I30" s="338">
        <f>H30*30</f>
        <v>12172.799999999997</v>
      </c>
    </row>
    <row r="31" spans="1:11" s="17" customFormat="1" ht="20.100000000000001" customHeight="1">
      <c r="A31" s="28" t="str">
        <f t="shared" si="0"/>
        <v>CAREER CERTIFICATE AND APPLIED TECHNOLOGY DIPLOMA</v>
      </c>
      <c r="B31" s="1148">
        <f t="shared" si="0"/>
        <v>69.599999999999994</v>
      </c>
      <c r="C31" s="963">
        <v>209.7</v>
      </c>
      <c r="D31" s="963">
        <v>0</v>
      </c>
      <c r="E31" s="1149"/>
      <c r="F31" s="963">
        <v>14.1</v>
      </c>
      <c r="G31" s="963">
        <v>14.1</v>
      </c>
      <c r="H31" s="1150">
        <f>SUM(B31:G31)</f>
        <v>307.5</v>
      </c>
      <c r="I31" s="1150">
        <f>H31*30</f>
        <v>9225</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Y/0Ush2OoIpOrUtDT39T3sWDuiXCbvMWtotRZC2Ni95T40ZJBqv12RO3RzGqY9CR3Yp+G7Kwxw+ZVecy/q1S1Q==" saltValue="PbwyNOjI2d1nFGEXFui8S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Eastern Florida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27938</v>
      </c>
      <c r="E10" s="539">
        <v>488</v>
      </c>
      <c r="F10" s="540">
        <f t="shared" ref="F10:F15" si="0">+D10-E10</f>
        <v>27450</v>
      </c>
      <c r="G10" s="540">
        <f>'EXHIBIT B'!B14</f>
        <v>91.79</v>
      </c>
      <c r="H10" s="541">
        <f t="shared" ref="H10:H15" si="1">ROUND(+F10*G10,0)</f>
        <v>2519636</v>
      </c>
    </row>
    <row r="11" spans="1:9" ht="20.100000000000001" customHeight="1">
      <c r="A11" s="690" t="s">
        <v>194</v>
      </c>
      <c r="B11" s="690" t="s">
        <v>126</v>
      </c>
      <c r="C11" s="691" t="s">
        <v>221</v>
      </c>
      <c r="D11" s="689">
        <v>183424</v>
      </c>
      <c r="E11" s="689">
        <v>41520</v>
      </c>
      <c r="F11" s="692">
        <f t="shared" si="0"/>
        <v>141904</v>
      </c>
      <c r="G11" s="692">
        <f>+'EXHIBIT B'!B15</f>
        <v>78.84</v>
      </c>
      <c r="H11" s="693">
        <f t="shared" si="1"/>
        <v>11187711</v>
      </c>
    </row>
    <row r="12" spans="1:9" ht="20.100000000000001" customHeight="1">
      <c r="A12" s="690" t="s">
        <v>194</v>
      </c>
      <c r="B12" s="690" t="s">
        <v>127</v>
      </c>
      <c r="C12" s="691" t="s">
        <v>222</v>
      </c>
      <c r="D12" s="689">
        <v>54716.55</v>
      </c>
      <c r="E12" s="689">
        <v>5806</v>
      </c>
      <c r="F12" s="692">
        <f t="shared" si="0"/>
        <v>48910.55</v>
      </c>
      <c r="G12" s="692">
        <f>+'EXHIBIT B'!B15</f>
        <v>78.84</v>
      </c>
      <c r="H12" s="693">
        <f t="shared" si="1"/>
        <v>3856108</v>
      </c>
    </row>
    <row r="13" spans="1:9" ht="20.100000000000001" customHeight="1">
      <c r="A13" s="690" t="s">
        <v>194</v>
      </c>
      <c r="B13" s="690" t="s">
        <v>76</v>
      </c>
      <c r="C13" s="691" t="s">
        <v>223</v>
      </c>
      <c r="D13" s="694">
        <v>9801.7000000000007</v>
      </c>
      <c r="E13" s="694">
        <v>316</v>
      </c>
      <c r="F13" s="692">
        <f t="shared" si="0"/>
        <v>9485.7000000000007</v>
      </c>
      <c r="G13" s="692">
        <f>+'EXHIBIT B'!B16</f>
        <v>69.599999999999994</v>
      </c>
      <c r="H13" s="693">
        <f t="shared" si="1"/>
        <v>660205</v>
      </c>
    </row>
    <row r="14" spans="1:9" ht="20.100000000000001" customHeight="1">
      <c r="A14" s="690" t="s">
        <v>194</v>
      </c>
      <c r="B14" s="690" t="s">
        <v>128</v>
      </c>
      <c r="C14" s="691" t="s">
        <v>224</v>
      </c>
      <c r="D14" s="689">
        <v>6348.4235537190098</v>
      </c>
      <c r="E14" s="689">
        <v>343</v>
      </c>
      <c r="F14" s="692">
        <f t="shared" si="0"/>
        <v>6005.4235537190098</v>
      </c>
      <c r="G14" s="692">
        <f>+'EXHIBIT B'!B15</f>
        <v>78.84</v>
      </c>
      <c r="H14" s="693">
        <f t="shared" si="1"/>
        <v>473468</v>
      </c>
    </row>
    <row r="15" spans="1:9" ht="20.100000000000001" customHeight="1" thickBot="1">
      <c r="A15" s="695" t="s">
        <v>194</v>
      </c>
      <c r="B15" s="695" t="s">
        <v>129</v>
      </c>
      <c r="C15" s="696">
        <v>40160</v>
      </c>
      <c r="D15" s="697">
        <v>0</v>
      </c>
      <c r="E15" s="697">
        <v>0</v>
      </c>
      <c r="F15" s="698">
        <f t="shared" si="0"/>
        <v>0</v>
      </c>
      <c r="G15" s="698">
        <f>+'EXHIBIT B'!B15</f>
        <v>78.84</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282228.67355371901</v>
      </c>
      <c r="E17" s="302">
        <f>SUM(E10:E15)</f>
        <v>48473</v>
      </c>
      <c r="F17" s="303">
        <f>SUM(F10:F15)</f>
        <v>233755.67355371901</v>
      </c>
      <c r="G17" s="303"/>
      <c r="H17" s="304">
        <f>SUM(H10:H15)</f>
        <v>18697128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220</v>
      </c>
      <c r="E19" s="701">
        <f>'EXHIBIT B'!C29</f>
        <v>292.63</v>
      </c>
      <c r="F19" s="702">
        <f t="shared" ref="F19:F25" si="2">ROUND(+D19*E19,0)</f>
        <v>64379</v>
      </c>
      <c r="G19" s="306"/>
      <c r="H19" s="306"/>
    </row>
    <row r="20" spans="1:9" ht="20.100000000000001" customHeight="1">
      <c r="A20" s="641" t="s">
        <v>209</v>
      </c>
      <c r="B20" s="641" t="s">
        <v>126</v>
      </c>
      <c r="C20" s="703" t="s">
        <v>228</v>
      </c>
      <c r="D20" s="710">
        <v>6632.9475462978935</v>
      </c>
      <c r="E20" s="704">
        <f>+'EXHIBIT B'!C30</f>
        <v>236.69</v>
      </c>
      <c r="F20" s="705">
        <f t="shared" si="2"/>
        <v>1569952</v>
      </c>
      <c r="G20" s="48"/>
      <c r="H20" s="48"/>
    </row>
    <row r="21" spans="1:9" ht="20.100000000000001" customHeight="1">
      <c r="A21" s="641" t="s">
        <v>209</v>
      </c>
      <c r="B21" s="641" t="s">
        <v>127</v>
      </c>
      <c r="C21" s="703" t="s">
        <v>229</v>
      </c>
      <c r="D21" s="710">
        <v>1694.0398268398267</v>
      </c>
      <c r="E21" s="704">
        <f>+'EXHIBIT B'!C30</f>
        <v>236.69</v>
      </c>
      <c r="F21" s="705">
        <f t="shared" si="2"/>
        <v>400962</v>
      </c>
      <c r="G21" s="48"/>
      <c r="H21" s="48"/>
    </row>
    <row r="22" spans="1:9" ht="20.100000000000001" customHeight="1">
      <c r="A22" s="641" t="s">
        <v>209</v>
      </c>
      <c r="B22" s="641" t="s">
        <v>76</v>
      </c>
      <c r="C22" s="703" t="s">
        <v>230</v>
      </c>
      <c r="D22" s="710">
        <v>645.18021793797152</v>
      </c>
      <c r="E22" s="704">
        <f>+'EXHIBIT B'!C31</f>
        <v>209.7</v>
      </c>
      <c r="F22" s="705">
        <f t="shared" si="2"/>
        <v>135294</v>
      </c>
      <c r="G22" s="48"/>
      <c r="H22" s="48"/>
    </row>
    <row r="23" spans="1:9" ht="20.100000000000001" customHeight="1">
      <c r="A23" s="641" t="s">
        <v>209</v>
      </c>
      <c r="B23" s="641" t="s">
        <v>128</v>
      </c>
      <c r="C23" s="703" t="s">
        <v>231</v>
      </c>
      <c r="D23" s="710">
        <v>894.57644628099172</v>
      </c>
      <c r="E23" s="704">
        <f>+'EXHIBIT B'!C30</f>
        <v>236.69</v>
      </c>
      <c r="F23" s="705">
        <f t="shared" si="2"/>
        <v>211737</v>
      </c>
      <c r="G23" s="48"/>
      <c r="H23" s="48"/>
    </row>
    <row r="24" spans="1:9" ht="20.100000000000001" customHeight="1">
      <c r="A24" s="1057" t="s">
        <v>209</v>
      </c>
      <c r="B24" s="1057" t="s">
        <v>129</v>
      </c>
      <c r="C24" s="1153">
        <v>40360</v>
      </c>
      <c r="D24" s="1154">
        <v>0</v>
      </c>
      <c r="E24" s="1155">
        <f>+'EXHIBIT B'!C30</f>
        <v>236.69</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10086.744037356682</v>
      </c>
      <c r="E27" s="708"/>
      <c r="F27" s="709">
        <f>SUM(F19:F25)</f>
        <v>2382324</v>
      </c>
      <c r="G27" s="310"/>
      <c r="H27" s="310"/>
    </row>
    <row r="28" spans="1:9" ht="20.100000000000001" customHeight="1" thickBot="1">
      <c r="A28" s="311" t="s">
        <v>232</v>
      </c>
      <c r="B28" s="311"/>
      <c r="C28" s="311"/>
      <c r="D28" s="311"/>
      <c r="E28" s="311"/>
      <c r="F28" s="312"/>
      <c r="G28" s="542"/>
      <c r="H28" s="313">
        <f>H17+F27</f>
        <v>21079452</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21079452</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783</v>
      </c>
      <c r="B55" s="968">
        <v>1131632</v>
      </c>
      <c r="C55" s="1133"/>
      <c r="D55" s="1134">
        <v>1</v>
      </c>
      <c r="E55" s="970">
        <v>8</v>
      </c>
      <c r="F55" s="971"/>
    </row>
    <row r="56" spans="1:10" ht="24.95" customHeight="1">
      <c r="A56" s="716" t="s">
        <v>784</v>
      </c>
      <c r="B56" s="710">
        <v>52000</v>
      </c>
      <c r="C56" s="972"/>
      <c r="D56" s="973">
        <v>1</v>
      </c>
      <c r="E56" s="972">
        <v>2</v>
      </c>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1183632</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684</v>
      </c>
      <c r="B64" s="969">
        <v>0</v>
      </c>
      <c r="C64" s="970"/>
      <c r="D64" s="971"/>
      <c r="E64" s="970"/>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0</v>
      </c>
      <c r="C70" s="980"/>
      <c r="D70" s="981"/>
      <c r="E70" s="980"/>
      <c r="F70" s="981"/>
    </row>
    <row r="71" spans="1:6" ht="24.95" customHeight="1" thickBot="1">
      <c r="A71" s="290" t="s">
        <v>257</v>
      </c>
      <c r="B71" s="291">
        <f>+B70+B61</f>
        <v>1183632</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TGqD6/CGeG8bupILpvig6MKkyp/3IBhDVRYr6n265URDHi9+NW66qxov/FT9I0PZRMiAAtVVnIp1hDHH9NrZg==" saltValue="TVPtgDlHxvrUZTo4ta5dC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Eastern Florida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UzgHChiITlPAiPAs7TizZCqQjEyLjogBd5I7j/cG9zJR6i/DQOFdzBcm0rBlGYssX6JKZfxn93uqCseMnH1AFg==" saltValue="cF7f5wNwx6e8YXvJ+6xj8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Eastern Florida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2519636</v>
      </c>
    </row>
    <row r="13" spans="1:8" ht="20.100000000000001" customHeight="1">
      <c r="A13" s="492" t="s">
        <v>194</v>
      </c>
      <c r="B13" s="182"/>
      <c r="C13" s="175" t="s">
        <v>126</v>
      </c>
      <c r="D13" s="182"/>
      <c r="E13" s="182"/>
      <c r="F13" s="187" t="s">
        <v>221</v>
      </c>
      <c r="G13" s="186">
        <f>+'EXHIBIT C'!H11+'EXHIBIT C(2)'!E14</f>
        <v>11187711</v>
      </c>
    </row>
    <row r="14" spans="1:8" ht="20.100000000000001" customHeight="1">
      <c r="A14" s="492" t="s">
        <v>194</v>
      </c>
      <c r="B14" s="182"/>
      <c r="C14" s="182" t="s">
        <v>127</v>
      </c>
      <c r="D14" s="182"/>
      <c r="E14" s="182"/>
      <c r="F14" s="187" t="s">
        <v>222</v>
      </c>
      <c r="G14" s="513">
        <f>+'EXHIBIT C'!H12+'EXHIBIT C(2)'!E15</f>
        <v>3856108</v>
      </c>
    </row>
    <row r="15" spans="1:8" ht="20.100000000000001" customHeight="1">
      <c r="A15" s="492" t="s">
        <v>194</v>
      </c>
      <c r="B15" s="182"/>
      <c r="C15" s="188" t="s">
        <v>274</v>
      </c>
      <c r="D15" s="182"/>
      <c r="E15" s="182"/>
      <c r="F15" s="187" t="s">
        <v>223</v>
      </c>
      <c r="G15" s="513">
        <f>+'EXHIBIT C'!H13+'EXHIBIT C(2)'!E16</f>
        <v>660205</v>
      </c>
    </row>
    <row r="16" spans="1:8" ht="20.100000000000001" customHeight="1">
      <c r="A16" s="492" t="s">
        <v>194</v>
      </c>
      <c r="B16" s="182"/>
      <c r="C16" s="188" t="s">
        <v>275</v>
      </c>
      <c r="D16" s="182"/>
      <c r="E16" s="182"/>
      <c r="F16" s="187" t="s">
        <v>224</v>
      </c>
      <c r="G16" s="514">
        <f>+'EXHIBIT C'!H14+'EXHIBIT C(2)'!E17</f>
        <v>473468</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18697128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64379</v>
      </c>
    </row>
    <row r="22" spans="1:7" ht="20.100000000000001" customHeight="1">
      <c r="A22" s="492" t="s">
        <v>209</v>
      </c>
      <c r="B22" s="182"/>
      <c r="C22" s="175" t="s">
        <v>126</v>
      </c>
      <c r="D22" s="182"/>
      <c r="E22" s="182"/>
      <c r="F22" s="187" t="s">
        <v>228</v>
      </c>
      <c r="G22" s="191">
        <f>+'EXHIBIT C'!F20+'EXHIBIT C(2)'!E23</f>
        <v>1569952</v>
      </c>
    </row>
    <row r="23" spans="1:7" ht="20.100000000000001" customHeight="1">
      <c r="A23" s="492" t="s">
        <v>209</v>
      </c>
      <c r="B23" s="182"/>
      <c r="C23" s="182" t="s">
        <v>127</v>
      </c>
      <c r="D23" s="182"/>
      <c r="E23" s="182"/>
      <c r="F23" s="187" t="s">
        <v>229</v>
      </c>
      <c r="G23" s="196">
        <f>+'EXHIBIT C'!F21+'EXHIBIT C(2)'!E24</f>
        <v>400962</v>
      </c>
    </row>
    <row r="24" spans="1:7" ht="20.100000000000001" customHeight="1">
      <c r="A24" s="492" t="s">
        <v>209</v>
      </c>
      <c r="B24" s="182"/>
      <c r="C24" s="188" t="s">
        <v>274</v>
      </c>
      <c r="D24" s="182"/>
      <c r="E24" s="182"/>
      <c r="F24" s="187" t="s">
        <v>230</v>
      </c>
      <c r="G24" s="196">
        <f>+'EXHIBIT C'!F22+'EXHIBIT C(2)'!E25</f>
        <v>135294</v>
      </c>
    </row>
    <row r="25" spans="1:7" ht="20.100000000000001" customHeight="1">
      <c r="A25" s="492" t="s">
        <v>209</v>
      </c>
      <c r="B25" s="182"/>
      <c r="C25" s="188" t="s">
        <v>275</v>
      </c>
      <c r="D25" s="182"/>
      <c r="E25" s="182"/>
      <c r="F25" s="187" t="s">
        <v>231</v>
      </c>
      <c r="G25" s="196">
        <f>+'EXHIBIT C'!F23+'EXHIBIT C(2)'!E26</f>
        <v>211737</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2382324</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21079452</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325000</v>
      </c>
    </row>
    <row r="49" spans="1:7" ht="20.100000000000001" customHeight="1">
      <c r="A49" s="492" t="s">
        <v>289</v>
      </c>
      <c r="C49" s="197"/>
      <c r="D49" s="197"/>
      <c r="E49" s="197"/>
      <c r="F49" s="198" t="s">
        <v>290</v>
      </c>
      <c r="G49" s="442">
        <v>365000</v>
      </c>
    </row>
    <row r="50" spans="1:7" ht="20.100000000000001" customHeight="1">
      <c r="A50" s="492" t="s">
        <v>291</v>
      </c>
      <c r="B50" s="182"/>
      <c r="C50" s="182"/>
      <c r="D50" s="182"/>
      <c r="E50" s="182"/>
      <c r="F50" s="187" t="s">
        <v>292</v>
      </c>
      <c r="G50" s="442">
        <v>240651</v>
      </c>
    </row>
    <row r="51" spans="1:7" ht="20.100000000000001" customHeight="1">
      <c r="A51" s="492" t="s">
        <v>293</v>
      </c>
      <c r="B51" s="182"/>
      <c r="C51" s="182"/>
      <c r="D51" s="182"/>
      <c r="E51" s="182"/>
      <c r="F51" s="187" t="s">
        <v>294</v>
      </c>
      <c r="G51" s="442">
        <v>1192422</v>
      </c>
    </row>
    <row r="52" spans="1:7" ht="20.100000000000001" customHeight="1">
      <c r="A52" s="492" t="s">
        <v>295</v>
      </c>
      <c r="B52" s="182"/>
      <c r="C52" s="182"/>
      <c r="D52" s="182"/>
      <c r="E52" s="182"/>
      <c r="F52" s="185">
        <v>40450</v>
      </c>
      <c r="G52" s="442">
        <v>1849581</v>
      </c>
    </row>
    <row r="53" spans="1:7" ht="20.100000000000001" customHeight="1">
      <c r="A53" s="492" t="s">
        <v>296</v>
      </c>
      <c r="B53" s="182"/>
      <c r="C53" s="182"/>
      <c r="D53" s="182"/>
      <c r="E53" s="182"/>
      <c r="F53" s="187" t="s">
        <v>297</v>
      </c>
      <c r="G53" s="442">
        <v>195000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110000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86000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0</v>
      </c>
    </row>
    <row r="60" spans="1:7" ht="20.100000000000001" customHeight="1">
      <c r="A60" s="492" t="s">
        <v>310</v>
      </c>
      <c r="B60" s="182"/>
      <c r="C60" s="182"/>
      <c r="D60" s="182"/>
      <c r="E60" s="182"/>
      <c r="F60" s="187" t="s">
        <v>311</v>
      </c>
      <c r="G60" s="442">
        <v>700000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26143106</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3686718</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3686718</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43600274.429753423</v>
      </c>
    </row>
    <row r="77" spans="1:7" ht="20.100000000000001" customHeight="1">
      <c r="A77" s="492" t="s">
        <v>696</v>
      </c>
      <c r="B77" s="182"/>
      <c r="C77" s="182"/>
      <c r="D77" s="182"/>
      <c r="E77" s="182"/>
      <c r="F77" s="185">
        <v>42130</v>
      </c>
      <c r="G77" s="516">
        <v>1305041</v>
      </c>
    </row>
    <row r="78" spans="1:7" ht="20.100000000000001" customHeight="1">
      <c r="A78" s="494" t="s">
        <v>328</v>
      </c>
      <c r="B78" s="495"/>
      <c r="C78" s="495"/>
      <c r="D78" s="495"/>
      <c r="E78" s="495"/>
      <c r="F78" s="201" t="s">
        <v>329</v>
      </c>
      <c r="G78" s="517">
        <f>649124+574087</f>
        <v>1223211</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7500</v>
      </c>
    </row>
    <row r="81" spans="1:10" ht="20.100000000000001" customHeight="1">
      <c r="A81" s="492" t="s">
        <v>714</v>
      </c>
      <c r="B81" s="182"/>
      <c r="C81" s="182"/>
      <c r="D81" s="182"/>
      <c r="E81" s="182"/>
      <c r="F81" s="187" t="s">
        <v>334</v>
      </c>
      <c r="G81" s="516">
        <v>1300000</v>
      </c>
    </row>
    <row r="82" spans="1:10" ht="20.100000000000001" customHeight="1">
      <c r="A82" s="492" t="s">
        <v>335</v>
      </c>
      <c r="B82" s="182"/>
      <c r="C82" s="182"/>
      <c r="D82" s="182"/>
      <c r="E82" s="182"/>
      <c r="F82" s="187" t="s">
        <v>336</v>
      </c>
      <c r="G82" s="515">
        <f>'CHECK SHEET'!D86</f>
        <v>9683162.5702465735</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5000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57124189</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30000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75000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105000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393900</v>
      </c>
    </row>
    <row r="112" spans="1:7" ht="20.100000000000001" customHeight="1">
      <c r="A112" s="492" t="s">
        <v>364</v>
      </c>
      <c r="B112" s="182"/>
      <c r="C112" s="182"/>
      <c r="D112" s="182"/>
      <c r="E112" s="182"/>
      <c r="F112" s="187" t="s">
        <v>365</v>
      </c>
      <c r="G112" s="443">
        <v>130800</v>
      </c>
    </row>
    <row r="113" spans="1:7" ht="20.100000000000001" customHeight="1">
      <c r="A113" s="492" t="s">
        <v>366</v>
      </c>
      <c r="B113" s="182"/>
      <c r="C113" s="182"/>
      <c r="D113" s="182"/>
      <c r="E113" s="182"/>
      <c r="F113" s="187" t="s">
        <v>367</v>
      </c>
      <c r="G113" s="443">
        <v>165300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690000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475000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75000</v>
      </c>
    </row>
    <row r="127" spans="1:7" ht="20.100000000000001" customHeight="1">
      <c r="A127" s="492" t="s">
        <v>381</v>
      </c>
      <c r="B127" s="182"/>
      <c r="C127" s="182"/>
      <c r="D127" s="182"/>
      <c r="E127" s="182"/>
      <c r="F127" s="187" t="s">
        <v>382</v>
      </c>
      <c r="G127" s="443">
        <v>150000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700000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v>0</v>
      </c>
    </row>
    <row r="135" spans="1:7" ht="20.100000000000001" customHeight="1">
      <c r="A135" s="492" t="s">
        <v>387</v>
      </c>
      <c r="B135" s="182"/>
      <c r="C135" s="182"/>
      <c r="D135" s="182"/>
      <c r="E135" s="182"/>
      <c r="F135" s="1052" t="s">
        <v>388</v>
      </c>
      <c r="G135" s="443">
        <v>130000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130000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88579013</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2917096</v>
      </c>
    </row>
    <row r="148" spans="1:7" ht="20.100000000000001" customHeight="1">
      <c r="A148" s="492" t="s">
        <v>399</v>
      </c>
      <c r="F148" s="187" t="s">
        <v>400</v>
      </c>
      <c r="G148" s="447">
        <v>0</v>
      </c>
    </row>
    <row r="149" spans="1:7" ht="20.100000000000001" customHeight="1">
      <c r="A149" s="492" t="s">
        <v>401</v>
      </c>
      <c r="F149" s="187" t="s">
        <v>402</v>
      </c>
      <c r="G149" s="447">
        <v>0</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17132707</v>
      </c>
    </row>
    <row r="153" spans="1:7" ht="20.100000000000001" customHeight="1">
      <c r="A153" s="492" t="s">
        <v>409</v>
      </c>
      <c r="B153" s="182"/>
      <c r="C153" s="182"/>
      <c r="D153" s="182"/>
      <c r="E153" s="182"/>
      <c r="F153" s="187" t="s">
        <v>410</v>
      </c>
      <c r="G153" s="447">
        <v>4611479</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f>12348538-143106-65445</f>
        <v>12139987</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143105</v>
      </c>
    </row>
    <row r="166" spans="1:7" ht="20.100000000000001" customHeight="1">
      <c r="A166" s="492" t="s">
        <v>434</v>
      </c>
      <c r="B166" s="182"/>
      <c r="C166" s="182"/>
      <c r="D166" s="182"/>
      <c r="E166" s="182"/>
      <c r="F166" s="187" t="s">
        <v>435</v>
      </c>
      <c r="G166" s="447">
        <v>65445</v>
      </c>
    </row>
    <row r="167" spans="1:7" ht="20.100000000000001" customHeight="1">
      <c r="A167" s="492" t="s">
        <v>436</v>
      </c>
      <c r="B167" s="182"/>
      <c r="C167" s="182"/>
      <c r="D167" s="182"/>
      <c r="E167" s="182"/>
      <c r="F167" s="187" t="s">
        <v>437</v>
      </c>
      <c r="G167" s="447">
        <v>8370777</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894256</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950000</v>
      </c>
    </row>
    <row r="172" spans="1:7" ht="20.100000000000001" customHeight="1">
      <c r="A172" s="492" t="s">
        <v>446</v>
      </c>
      <c r="B172" s="182"/>
      <c r="C172" s="182"/>
      <c r="D172" s="182"/>
      <c r="E172" s="182"/>
      <c r="F172" s="185">
        <v>56001</v>
      </c>
      <c r="G172" s="447">
        <v>4492929</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815071</v>
      </c>
    </row>
    <row r="179" spans="1:7" ht="20.100000000000001" customHeight="1">
      <c r="A179" s="492" t="s">
        <v>457</v>
      </c>
      <c r="B179" s="182"/>
      <c r="C179" s="182"/>
      <c r="D179" s="182"/>
      <c r="E179" s="182"/>
      <c r="F179" s="187" t="s">
        <v>458</v>
      </c>
      <c r="G179" s="447">
        <v>79956</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3680288</v>
      </c>
    </row>
    <row r="186" spans="1:7" ht="20.100000000000001" customHeight="1">
      <c r="A186" s="492" t="s">
        <v>471</v>
      </c>
      <c r="B186" s="182"/>
      <c r="C186" s="182"/>
      <c r="D186" s="182"/>
      <c r="E186" s="182"/>
      <c r="F186" s="187" t="s">
        <v>472</v>
      </c>
      <c r="G186" s="447">
        <v>6424005</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642419</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8046966</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71406486</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159013</v>
      </c>
    </row>
    <row r="200" spans="1:7" ht="20.100000000000001" customHeight="1">
      <c r="A200" s="492" t="s">
        <v>490</v>
      </c>
      <c r="B200" s="182"/>
      <c r="C200" s="182"/>
      <c r="D200" s="182"/>
      <c r="E200" s="182"/>
      <c r="F200" s="187" t="s">
        <v>491</v>
      </c>
      <c r="G200" s="447">
        <v>88000</v>
      </c>
    </row>
    <row r="201" spans="1:7" ht="20.100000000000001" customHeight="1">
      <c r="A201" s="492" t="s">
        <v>492</v>
      </c>
      <c r="B201" s="182"/>
      <c r="C201" s="182"/>
      <c r="D201" s="182"/>
      <c r="E201" s="182"/>
      <c r="F201" s="187" t="s">
        <v>493</v>
      </c>
      <c r="G201" s="447">
        <v>200000</v>
      </c>
    </row>
    <row r="202" spans="1:7" ht="20.100000000000001" customHeight="1">
      <c r="A202" s="492" t="s">
        <v>494</v>
      </c>
      <c r="B202" s="182"/>
      <c r="C202" s="182"/>
      <c r="D202" s="182"/>
      <c r="E202" s="182"/>
      <c r="F202" s="187" t="s">
        <v>495</v>
      </c>
      <c r="G202" s="447">
        <v>2600000</v>
      </c>
    </row>
    <row r="203" spans="1:7" ht="20.100000000000001" customHeight="1">
      <c r="A203" s="492" t="s">
        <v>496</v>
      </c>
      <c r="B203" s="182"/>
      <c r="C203" s="182"/>
      <c r="D203" s="182"/>
      <c r="E203" s="182"/>
      <c r="F203" s="187" t="s">
        <v>497</v>
      </c>
      <c r="G203" s="447">
        <v>0</v>
      </c>
    </row>
    <row r="204" spans="1:7" ht="20.100000000000001" customHeight="1">
      <c r="A204" s="492" t="s">
        <v>498</v>
      </c>
      <c r="B204" s="182"/>
      <c r="C204" s="182"/>
      <c r="D204" s="182"/>
      <c r="E204" s="182"/>
      <c r="F204" s="187" t="s">
        <v>499</v>
      </c>
      <c r="G204" s="447">
        <v>108000</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2865000</v>
      </c>
    </row>
    <row r="207" spans="1:7" ht="20.100000000000001" customHeight="1">
      <c r="A207" s="492" t="s">
        <v>502</v>
      </c>
      <c r="B207" s="182"/>
      <c r="C207" s="182"/>
      <c r="D207" s="182"/>
      <c r="E207" s="182"/>
      <c r="F207" s="187" t="s">
        <v>503</v>
      </c>
      <c r="G207" s="447">
        <v>3843000</v>
      </c>
    </row>
    <row r="208" spans="1:7" ht="20.100000000000001" customHeight="1">
      <c r="A208" s="492" t="s">
        <v>504</v>
      </c>
      <c r="B208" s="182"/>
      <c r="C208" s="182"/>
      <c r="D208" s="182"/>
      <c r="E208" s="182"/>
      <c r="F208" s="187" t="s">
        <v>505</v>
      </c>
      <c r="G208" s="447">
        <v>4240129</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f>230718+282</f>
        <v>231000</v>
      </c>
    </row>
    <row r="212" spans="1:7" ht="20.100000000000001" customHeight="1">
      <c r="A212" s="492" t="s">
        <v>511</v>
      </c>
      <c r="B212" s="182"/>
      <c r="C212" s="182"/>
      <c r="D212" s="182"/>
      <c r="E212" s="182"/>
      <c r="F212" s="187" t="s">
        <v>512</v>
      </c>
      <c r="G212" s="447">
        <v>1552000</v>
      </c>
    </row>
    <row r="213" spans="1:7" ht="20.100000000000001" customHeight="1">
      <c r="A213" s="492" t="s">
        <v>513</v>
      </c>
      <c r="F213" s="205" t="s">
        <v>514</v>
      </c>
      <c r="G213" s="447">
        <v>1701000</v>
      </c>
    </row>
    <row r="214" spans="1:7" ht="20.100000000000001" customHeight="1">
      <c r="A214" s="492" t="s">
        <v>515</v>
      </c>
      <c r="B214" s="182"/>
      <c r="C214" s="182"/>
      <c r="D214" s="182"/>
      <c r="E214" s="182"/>
      <c r="F214" s="187" t="s">
        <v>516</v>
      </c>
      <c r="G214" s="447">
        <v>485000</v>
      </c>
    </row>
    <row r="215" spans="1:7" ht="20.100000000000001" customHeight="1">
      <c r="A215" s="492" t="s">
        <v>517</v>
      </c>
      <c r="B215" s="182"/>
      <c r="C215" s="182"/>
      <c r="D215" s="182"/>
      <c r="E215" s="182"/>
      <c r="F215" s="187" t="s">
        <v>518</v>
      </c>
      <c r="G215" s="447">
        <v>242000</v>
      </c>
    </row>
    <row r="216" spans="1:7" ht="20.100000000000001" customHeight="1">
      <c r="A216" s="492" t="s">
        <v>519</v>
      </c>
      <c r="B216" s="182"/>
      <c r="C216" s="182"/>
      <c r="D216" s="182"/>
      <c r="E216" s="182"/>
      <c r="F216" s="187" t="s">
        <v>520</v>
      </c>
      <c r="G216" s="447">
        <v>296000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699</v>
      </c>
      <c r="B223" s="182"/>
      <c r="C223" s="182"/>
      <c r="D223" s="211"/>
      <c r="E223" s="182"/>
      <c r="F223" s="1097">
        <v>69100</v>
      </c>
      <c r="G223" s="447">
        <v>1183632</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100000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19893774</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950000</v>
      </c>
    </row>
    <row r="236" spans="1:9" ht="20.100000000000001" customHeight="1">
      <c r="A236" s="492" t="s">
        <v>546</v>
      </c>
      <c r="B236" s="182"/>
      <c r="C236" s="182"/>
      <c r="D236" s="182"/>
      <c r="E236" s="182"/>
      <c r="F236" s="1052" t="s">
        <v>547</v>
      </c>
      <c r="G236" s="447">
        <v>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950000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92250260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f>9746906</f>
        <v>9746906</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9746906</v>
      </c>
    </row>
    <row r="264" spans="1:12" ht="20.100000000000001" customHeight="1">
      <c r="A264" s="493"/>
      <c r="B264" s="182"/>
      <c r="C264" s="182"/>
      <c r="D264" s="182"/>
      <c r="E264" s="182"/>
      <c r="F264" s="199"/>
      <c r="G264" s="215"/>
    </row>
    <row r="265" spans="1:12" ht="20.100000000000001" customHeight="1" thickBot="1">
      <c r="A265" s="504" t="s">
        <v>773</v>
      </c>
      <c r="F265" s="205">
        <v>30800</v>
      </c>
      <c r="G265" s="448">
        <v>-47451310</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-37704404</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whNAHL9/5UhHGYyM2wSt7sUlOxOHFKS/REbsNBgoyfEVPF7kiM03GVp0HKqtRXwvw5dmUBz7E3eg8GKevJER/Q==" saltValue="B8E1jnltWSMax0y+XcuV2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Width="0" fitToHeight="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2024-07-03T05:48:19Z</cp:lastPrinted>
  <dcterms:created xsi:type="dcterms:W3CDTF">2005-03-22T15:46:43Z</dcterms:created>
  <dcterms:modified xsi:type="dcterms:W3CDTF">2024-08-19T18:40:23Z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