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Central Florida\"/>
    </mc:Choice>
  </mc:AlternateContent>
  <xr:revisionPtr revIDLastSave="0" documentId="8_{CFA2EC6D-4F0B-4E07-AEFC-3C61EC40B4FC}"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ent_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6" l="1"/>
  <c r="E10" i="6"/>
  <c r="D34" i="6"/>
  <c r="E13" i="6"/>
  <c r="E12" i="6"/>
  <c r="E11" i="6"/>
  <c r="G110" i="7"/>
  <c r="G95" i="7"/>
  <c r="G81" i="7"/>
  <c r="G69" i="7"/>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c r="G22" i="5"/>
  <c r="H22" i="5" s="1"/>
  <c r="G23" i="5"/>
  <c r="H23" i="5" s="1"/>
  <c r="E20" i="12"/>
  <c r="E31" i="12"/>
  <c r="G195" i="7"/>
  <c r="D21" i="8"/>
  <c r="E59" i="3"/>
  <c r="C95" i="12"/>
  <c r="B31" i="5"/>
  <c r="H31" i="5" s="1"/>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c r="F10" i="6"/>
  <c r="E44" i="3" s="1"/>
  <c r="E47" i="3"/>
  <c r="C93" i="3" l="1"/>
  <c r="H34" i="6"/>
  <c r="G32" i="7" s="1"/>
  <c r="H11" i="6"/>
  <c r="G13" i="7" s="1"/>
  <c r="H36" i="5"/>
  <c r="I36" i="5" s="1"/>
  <c r="G21" i="7"/>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G29" i="7"/>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G36" i="7" l="1"/>
  <c r="F48" i="3"/>
  <c r="G48" i="3" s="1"/>
  <c r="F46" i="3"/>
  <c r="G46" i="3" s="1"/>
  <c r="H37" i="6"/>
  <c r="H45" i="6" s="1"/>
  <c r="G38" i="7"/>
  <c r="G43" i="7" s="1"/>
  <c r="H17" i="6"/>
  <c r="H28"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H47" i="6" l="1"/>
  <c r="C34" i="3" s="1"/>
  <c r="C126" i="3"/>
  <c r="F118" i="15"/>
  <c r="F129" i="15" s="1"/>
  <c r="C119" i="3"/>
  <c r="E18" i="4"/>
  <c r="E21" i="4" s="1"/>
  <c r="E23" i="4" s="1"/>
  <c r="E44" i="4" s="1"/>
  <c r="C17" i="3" s="1"/>
  <c r="F84" i="3"/>
  <c r="F88" i="3" s="1"/>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<sst xmlns="http://schemas.openxmlformats.org/spreadsheetml/2006/main" count="1300" uniqueCount="785">
  <si>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</si>
  <si>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</si>
  <si>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</si>
  <si>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</si>
  <si>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</si>
  <si>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</si>
  <si>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</si>
  <si>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</si>
  <si>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</si>
  <si>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</si>
  <si>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</si>
  <si>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</si>
  <si>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</si>
  <si>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</si>
  <si>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</si>
  <si>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</si>
  <si>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</si>
  <si>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</si>
  <si>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</si>
  <si>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</si>
  <si>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</si>
  <si>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</si>
  <si>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</si>
  <si>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</si>
  <si>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</si>
  <si>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</si>
  <si>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</si>
  <si>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</si>
  <si>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</si>
  <si>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</si>
  <si>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</si>
  <si>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</si>
  <si>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</si>
  <si>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</si>
  <si>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</si>
  <si>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</si>
  <si>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</si>
  <si>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</si>
  <si>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</si>
  <si>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</si>
  <si>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</si>
  <si>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</si>
  <si>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</si>
  <si>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</si>
  <si>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</si>
  <si>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</si>
  <si>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</si>
  <si>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</si>
  <si>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</si>
  <si>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</si>
  <si>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</si>
  <si>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</si>
  <si>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</si>
  <si>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</si>
  <si>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</si>
  <si>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</si>
  <si>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</si>
  <si>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</si>
  <si>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</si>
  <si>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</si>
  <si>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</si>
  <si>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</si>
  <si>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</si>
  <si>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</si>
  <si>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</si>
  <si>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</si>
  <si>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</si>
  <si>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</si>
  <si>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</si>
  <si>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</si>
  <si>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</si>
  <si>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</si>
  <si>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</si>
  <si>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</si>
  <si>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</si>
  <si>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</si>
  <si>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</si>
  <si>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</si>
  <si>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</si>
  <si>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</si>
  <si>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</si>
  <si>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</si>
  <si>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</si>
  <si>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</si>
  <si>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</si>
  <si>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</si>
  <si>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</si>
  <si>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</si>
  <si>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</si>
  <si>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</si>
  <si>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</si>
  <si>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</si>
  <si>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</si>
  <si>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</si>
  <si>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</si>
  <si>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</si>
  <si>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</si>
  <si>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</si>
  <si>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</si>
  <si>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</si>
  <si>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</si>
  <si>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</si>
  <si>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</si>
  <si>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</si>
  <si>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</si>
  <si>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</si>
  <si>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</si>
  <si>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</si>
  <si>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</si>
  <si>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</si>
  <si>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</si>
  <si>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</si>
  <si>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</si>
  <si>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</si>
  <si>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</si>
  <si>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</si>
  <si>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</si>
  <si>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</si>
  <si>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</si>
  <si>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</si>
  <si>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</si>
  <si>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</si>
  <si>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</si>
  <si>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</si>
  <si>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</si>
  <si>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</si>
  <si>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</si>
  <si>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</si>
  <si>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</si>
  <si>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</si>
  <si>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</si>
  <si>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</si>
  <si>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</si>
  <si>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</si>
  <si>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</si>
  <si>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</si>
  <si>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</si>
  <si>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</si>
  <si>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</si>
  <si>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</si>
  <si>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</si>
  <si>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</si>
  <si>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</si>
  <si>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</si>
  <si>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</si>
  <si>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</si>
  <si>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</si>
  <si>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</si>
  <si>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</si>
  <si>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</si>
  <si>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</si>
  <si>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</si>
  <si>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</si>
  <si>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</si>
  <si>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</si>
  <si>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</si>
  <si>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</si>
  <si>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</si>
  <si>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</si>
  <si>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</si>
  <si>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</si>
  <si>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</si>
  <si>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</si>
  <si>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</si>
  <si>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</si>
  <si>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</si>
  <si>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</si>
  <si>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</si>
  <si>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</si>
  <si>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</si>
  <si>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</si>
  <si>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</si>
  <si>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</si>
  <si>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</si>
  <si>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</si>
  <si>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</si>
  <si>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</si>
  <si>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</si>
  <si>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</si>
  <si>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</si>
  <si>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</si>
  <si>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</si>
  <si>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</si>
  <si>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</si>
  <si>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</si>
  <si>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</si>
  <si>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</si>
  <si>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</si>
  <si>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</si>
  <si>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</si>
  <si>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</si>
  <si>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</si>
  <si>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</si>
  <si>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</si>
  <si>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</si>
  <si>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</si>
  <si>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</si>
  <si>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</si>
  <si>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</si>
  <si>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</si>
  <si>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</si>
  <si>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</si>
  <si>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</si>
  <si>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</si>
  <si>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</si>
  <si>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</si>
  <si>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</si>
  <si>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</si>
  <si>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</si>
  <si>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</si>
  <si>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</si>
  <si>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</si>
  <si>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</si>
  <si>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</si>
  <si>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</si>
  <si>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</si>
  <si>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</si>
  <si>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</si>
  <si>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</si>
  <si>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</si>
  <si>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</si>
  <si>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</si>
  <si>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</si>
  <si>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</si>
  <si>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</si>
  <si>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</si>
  <si>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</si>
  <si>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</si>
  <si>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</si>
  <si>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</si>
  <si>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</si>
  <si>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</si>
  <si>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</si>
  <si>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</si>
  <si>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</si>
  <si>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</si>
  <si>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</si>
  <si>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</si>
  <si>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</si>
  <si>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</si>
  <si>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</si>
  <si>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</si>
  <si>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</si>
  <si>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</si>
  <si>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</si>
  <si>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</si>
  <si>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</si>
  <si>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</si>
  <si>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</si>
  <si>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</si>
  <si>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</si>
  <si>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</si>
  <si>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</si>
  <si>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</si>
  <si>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</si>
  <si>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</si>
  <si>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</si>
  <si>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</si>
  <si>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</si>
  <si>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</si>
  <si>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</si>
  <si>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</si>
  <si>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</si>
  <si>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</si>
  <si>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</si>
  <si>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</si>
  <si>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</si>
  <si>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</si>
  <si>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</si>
  <si>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</si>
  <si>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</si>
  <si>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</si>
  <si>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</si>
  <si>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</si>
  <si>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</si>
  <si>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</si>
  <si>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</si>
  <si>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</si>
  <si>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</si>
  <si>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</si>
  <si>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</si>
  <si>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</si>
  <si>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</si>
  <si>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</si>
  <si>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</si>
  <si>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</si>
  <si>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</si>
  <si>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</si>
  <si>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</si>
  <si>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</si>
  <si>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</si>
  <si>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</si>
  <si>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</si>
  <si>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</si>
  <si>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</si>
  <si>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</si>
  <si>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</si>
  <si>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</si>
  <si>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</si>
  <si>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</si>
  <si>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</si>
  <si>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</si>
  <si>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</si>
  <si>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</si>
  <si>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</si>
  <si>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</si>
  <si>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</si>
  <si>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</si>
  <si>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</si>
  <si>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</si>
  <si>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</si>
  <si>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</si>
  <si>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</si>
  <si>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</si>
  <si>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</si>
  <si>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</si>
  <si>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</si>
  <si>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</si>
  <si>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</si>
  <si>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</si>
  <si>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</si>
  <si>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</si>
  <si>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</si>
  <si>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</si>
  <si>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</si>
  <si>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</si>
  <si>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</si>
  <si>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</si>
  <si>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</si>
  <si>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</si>
  <si>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</si>
  <si>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</si>
  <si>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</si>
  <si>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</si>
  <si>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</si>
  <si>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</si>
  <si>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</si>
  <si>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</si>
  <si>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</si>
  <si>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</si>
  <si>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</si>
  <si>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</si>
  <si>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</si>
  <si>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</si>
  <si>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</si>
  <si>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</si>
  <si>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</si>
  <si>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</si>
  <si>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</si>
  <si>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</si>
  <si>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</si>
  <si>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</si>
  <si>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</si>
  <si>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</si>
  <si>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</si>
  <si>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</si>
  <si>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</si>
  <si>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</si>
  <si>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</si>
  <si>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</si>
  <si>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</si>
  <si>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</si>
  <si>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</si>
  <si>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</si>
  <si>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</si>
  <si>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</si>
  <si>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</si>
  <si>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</si>
  <si>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</si>
  <si>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</si>
  <si>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</si>
  <si>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</si>
  <si>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</si>
  <si>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</si>
  <si>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</si>
  <si>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</si>
  <si>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</si>
  <si>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</si>
  <si>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</si>
  <si>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</si>
  <si>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</si>
  <si>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</si>
  <si>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</si>
  <si>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</si>
  <si>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</si>
  <si>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</si>
  <si>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</si>
  <si>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</si>
  <si>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</si>
  <si>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</si>
  <si>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</si>
  <si>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</si>
  <si>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</si>
  <si>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</si>
  <si>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</si>
  <si>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</si>
  <si>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</si>
  <si>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</si>
  <si>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</si>
  <si>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</si>
  <si>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</si>
  <si>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</si>
  <si>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</si>
  <si>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</si>
  <si>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</si>
  <si>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</si>
  <si>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</si>
  <si>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</si>
  <si>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</si>
  <si>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</si>
  <si>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</si>
  <si>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</si>
  <si>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</si>
  <si>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</si>
  <si>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</si>
  <si>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</si>
  <si>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</si>
  <si>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</si>
  <si>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</si>
  <si>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</si>
  <si>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</si>
  <si>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</si>
  <si>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</si>
  <si>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</si>
  <si>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</si>
  <si>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</si>
  <si>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</si>
  <si>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</si>
  <si>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</si>
  <si>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</si>
  <si>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</si>
  <si>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</si>
  <si>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</si>
  <si>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</si>
  <si>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</si>
  <si>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</si>
  <si>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</si>
  <si>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</si>
  <si>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</si>
  <si>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</si>
  <si>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</si>
  <si>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</si>
  <si>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</si>
  <si>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</si>
  <si>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</si>
  <si>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</si>
  <si>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</si>
  <si>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</si>
  <si>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</si>
  <si>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</si>
  <si>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</si>
  <si>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</si>
  <si>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</si>
  <si>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</si>
  <si>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</si>
  <si>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</si>
  <si>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</si>
  <si>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</si>
  <si>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</si>
  <si>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</si>
  <si>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</si>
  <si>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</si>
  <si>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</si>
  <si>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</si>
  <si>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</si>
  <si>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</si>
  <si>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</si>
  <si>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</si>
  <si>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</si>
  <si>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</si>
  <si>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</si>
  <si>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</si>
  <si>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</si>
  <si>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</si>
  <si>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</si>
  <si>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</si>
  <si>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</si>
  <si>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</si>
  <si>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</si>
  <si>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</si>
  <si>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</si>
  <si>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</si>
  <si>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</si>
  <si>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</si>
  <si>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</si>
  <si>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</si>
  <si>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</si>
  <si>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</si>
  <si>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</si>
  <si>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</si>
  <si>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</si>
  <si>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</si>
  <si>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</si>
  <si>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</si>
  <si>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</si>
  <si>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</si>
  <si>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</si>
  <si>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</si>
  <si>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</si>
  <si>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</si>
  <si>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</si>
  <si>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</si>
  <si>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</si>
  <si>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</si>
  <si>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</si>
  <si>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</si>
  <si>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</si>
  <si>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</si>
  <si>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</si>
  <si>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</si>
  <si>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</si>
  <si>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</si>
  <si>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</si>
  <si>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</si>
  <si>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</si>
  <si>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</si>
  <si>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</si>
  <si>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</si>
  <si>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</si>
  <si>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</si>
  <si>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</si>
  <si>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</si>
  <si>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</si>
  <si>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</si>
  <si>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</si>
  <si>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</si>
  <si>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</si>
  <si>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</si>
  <si>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</si>
  <si>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</si>
  <si>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</si>
  <si>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</si>
  <si>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</si>
  <si>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</si>
  <si>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</si>
  <si>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</si>
  <si>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</si>
  <si>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</si>
  <si>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</si>
  <si>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</si>
  <si>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</si>
  <si>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</si>
  <si>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</si>
  <si>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</si>
  <si>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</si>
  <si>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</si>
  <si>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</si>
  <si>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</si>
  <si>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</si>
  <si>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</si>
  <si>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</si>
  <si>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</si>
  <si>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</si>
  <si>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</si>
  <si>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</si>
  <si>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</si>
  <si>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</si>
  <si>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</si>
  <si>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</si>
  <si>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</si>
  <si>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</si>
  <si>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</si>
  <si>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</si>
  <si>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</si>
  <si>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</si>
  <si>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</si>
  <si>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</si>
  <si>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</si>
  <si>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</si>
  <si>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</si>
  <si>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</si>
  <si>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</si>
  <si>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</si>
  <si>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</si>
  <si>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</si>
  <si>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</si>
  <si>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</si>
  <si>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</si>
  <si>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</si>
  <si>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</si>
  <si>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</si>
  <si>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</si>
  <si>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</si>
  <si>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</si>
  <si>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</si>
  <si>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</si>
  <si>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</si>
  <si>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</si>
  <si>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</si>
  <si>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</si>
  <si>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</si>
  <si>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</si>
  <si>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</si>
  <si>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</si>
  <si>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</si>
  <si>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</si>
  <si>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</si>
  <si>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</si>
  <si>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</si>
  <si>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</si>
  <si>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</si>
  <si>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</si>
  <si>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</si>
  <si>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</si>
  <si>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</si>
  <si>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</si>
  <si>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</si>
  <si>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</si>
  <si>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</si>
  <si>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</si>
  <si>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</si>
  <si>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</si>
  <si>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</si>
  <si>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</si>
  <si>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</si>
  <si>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</si>
  <si>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</si>
  <si>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</si>
  <si>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</si>
  <si>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</si>
  <si>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</si>
  <si>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</si>
  <si>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</si>
  <si>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</si>
  <si>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</si>
  <si>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</si>
  <si>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</si>
  <si>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</si>
  <si>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</si>
  <si>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</si>
  <si>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</si>
  <si>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</si>
  <si>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</si>
  <si>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</si>
  <si>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</si>
  <si>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</si>
  <si>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</si>
  <si>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</si>
  <si>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</si>
  <si>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</si>
  <si>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</si>
  <si>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</si>
  <si>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</si>
  <si>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</si>
  <si>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</si>
  <si>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</si>
  <si>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</si>
  <si>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</si>
  <si>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</si>
  <si>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</si>
  <si>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</si>
  <si>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</si>
  <si>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</si>
  <si>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</si>
  <si>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</si>
  <si>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</si>
  <si>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</si>
  <si>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</si>
  <si>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</si>
  <si>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</si>
  <si>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</si>
  <si>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</si>
  <si>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</si>
  <si>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</si>
  <si>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</si>
  <si>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</si>
  <si>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</si>
  <si>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</si>
  <si>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</si>
  <si>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</si>
  <si>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</si>
  <si>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</si>
  <si>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</si>
  <si>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</si>
  <si>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</si>
  <si>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</si>
  <si>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</si>
  <si>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</si>
  <si>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</si>
  <si>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</si>
  <si>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</si>
  <si>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</si>
  <si>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</si>
  <si>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</si>
  <si>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</si>
  <si>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</si>
  <si>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</si>
  <si>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</si>
  <si>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</si>
  <si>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</si>
  <si>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</si>
  <si>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</si>
  <si>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</si>
  <si>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</si>
  <si>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</si>
  <si>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</si>
  <si>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</si>
  <si>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</si>
  <si>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</si>
  <si>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</si>
  <si>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</si>
  <si>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</si>
  <si>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</si>
  <si>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</si>
  <si>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</si>
  <si>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</si>
  <si>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</si>
  <si>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</si>
  <si>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</si>
  <si>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</si>
  <si>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</si>
  <si>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</si>
  <si>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</si>
  <si>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</si>
  <si>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</si>
  <si>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</si>
  <si>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</si>
  <si>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</si>
  <si>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</si>
  <si>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</si>
  <si>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</si>
  <si>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</si>
  <si>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</si>
  <si>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</si>
  <si>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</si>
  <si>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</si>
  <si>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</si>
  <si>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</si>
  <si>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</si>
  <si>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</si>
  <si>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</si>
  <si>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</si>
  <si>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</si>
  <si>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</si>
  <si>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</si>
  <si>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</si>
  <si>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</si>
  <si>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</si>
  <si>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</si>
  <si>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</si>
  <si>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</si>
  <si>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</si>
  <si>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</si>
  <si>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</si>
  <si>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</si>
  <si>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</si>
  <si>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</si>
  <si>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</si>
  <si>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</si>
  <si>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</si>
  <si>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</si>
  <si>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</si>
  <si>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</si>
  <si>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</si>
  <si>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</si>
  <si>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</si>
  <si>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</si>
  <si>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</si>
  <si>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</si>
  <si>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</si>
  <si>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</si>
  <si>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</si>
  <si>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</si>
  <si>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</si>
  <si>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</si>
  <si>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</si>
  <si>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</si>
  <si>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</si>
  <si>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</si>
  <si>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</si>
  <si>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</si>
  <si>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</si>
  <si>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</si>
  <si>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</si>
  <si>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</si>
  <si>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</si>
  <si>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</si>
  <si>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</si>
  <si>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</si>
  <si>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</si>
  <si>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</si>
  <si>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</si>
  <si>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 xml:space="preserve">Appleton Museum </t>
  </si>
  <si>
    <t>Fund 2</t>
  </si>
  <si>
    <t>College Activity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</si>
</sst>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684</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College of Central Florida</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727</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21002387</v>
      </c>
      <c r="C10" s="450">
        <v>2394639</v>
      </c>
      <c r="D10" s="450">
        <v>0</v>
      </c>
      <c r="E10" s="369">
        <f>SUM(B10:D10)</f>
        <v>23397026</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4333761</v>
      </c>
      <c r="C14" s="452">
        <v>639735</v>
      </c>
      <c r="D14" s="452">
        <v>0</v>
      </c>
      <c r="E14" s="370">
        <f t="shared" ref="E14:E20" si="0">SUM(B14:D14)</f>
        <v>4973496</v>
      </c>
      <c r="F14" s="352"/>
    </row>
    <row r="15" spans="1:8" s="17" customFormat="1" ht="20.100000000000001" customHeight="1">
      <c r="A15" s="368" t="s">
        <v>585</v>
      </c>
      <c r="B15" s="451">
        <v>167627</v>
      </c>
      <c r="C15" s="440">
        <v>279666</v>
      </c>
      <c r="D15" s="440">
        <v>0</v>
      </c>
      <c r="E15" s="370">
        <f>SUM(B15:D15)</f>
        <v>447293</v>
      </c>
      <c r="F15" s="352"/>
    </row>
    <row r="16" spans="1:8" s="17" customFormat="1" ht="20.100000000000001" customHeight="1">
      <c r="A16" s="368" t="s">
        <v>586</v>
      </c>
      <c r="B16" s="451">
        <v>4002596</v>
      </c>
      <c r="C16" s="440">
        <v>417751</v>
      </c>
      <c r="D16" s="440">
        <v>0</v>
      </c>
      <c r="E16" s="370">
        <f t="shared" si="0"/>
        <v>4420347</v>
      </c>
      <c r="F16" s="352"/>
    </row>
    <row r="17" spans="1:6" s="17" customFormat="1" ht="20.100000000000001" customHeight="1">
      <c r="A17" s="368" t="s">
        <v>587</v>
      </c>
      <c r="B17" s="451">
        <v>8487630</v>
      </c>
      <c r="C17" s="440">
        <v>6865797</v>
      </c>
      <c r="D17" s="440">
        <v>1105206</v>
      </c>
      <c r="E17" s="370">
        <f t="shared" si="0"/>
        <v>16458633</v>
      </c>
      <c r="F17" s="352"/>
    </row>
    <row r="18" spans="1:6" s="17" customFormat="1" ht="20.100000000000001" customHeight="1">
      <c r="A18" s="368" t="s">
        <v>588</v>
      </c>
      <c r="B18" s="451">
        <v>2825122</v>
      </c>
      <c r="C18" s="440">
        <v>5331130</v>
      </c>
      <c r="D18" s="440">
        <v>0</v>
      </c>
      <c r="E18" s="370">
        <f t="shared" si="0"/>
        <v>8156252</v>
      </c>
      <c r="F18" s="352"/>
    </row>
    <row r="19" spans="1:6" s="17" customFormat="1" ht="20.100000000000001" customHeight="1">
      <c r="A19" s="368" t="s">
        <v>589</v>
      </c>
      <c r="B19" s="451">
        <v>61327</v>
      </c>
      <c r="C19" s="440">
        <v>461449</v>
      </c>
      <c r="D19" s="440">
        <v>0</v>
      </c>
      <c r="E19" s="370">
        <f t="shared" si="0"/>
        <v>522776</v>
      </c>
      <c r="F19" s="352"/>
    </row>
    <row r="20" spans="1:6" s="17" customFormat="1" ht="20.100000000000001" customHeight="1" thickBot="1">
      <c r="A20" s="368" t="s">
        <v>590</v>
      </c>
      <c r="B20" s="451">
        <v>4087</v>
      </c>
      <c r="C20" s="441">
        <v>1088949</v>
      </c>
      <c r="D20" s="441">
        <v>750000</v>
      </c>
      <c r="E20" s="370">
        <f t="shared" si="0"/>
        <v>1843036</v>
      </c>
      <c r="F20" s="352"/>
    </row>
    <row r="21" spans="1:6" s="17" customFormat="1" ht="24" customHeight="1" thickBot="1">
      <c r="A21" s="293" t="s">
        <v>49</v>
      </c>
      <c r="B21" s="353">
        <f>SUM(B10:B20)</f>
        <v>40884537</v>
      </c>
      <c r="C21" s="356">
        <f>SUM(C10:C20)</f>
        <v>17479116</v>
      </c>
      <c r="D21" s="356">
        <f>SUM(D10:D20)</f>
        <v>1855206</v>
      </c>
      <c r="E21" s="355">
        <f>SUM(E10:E20)</f>
        <v>60218859</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mbs4FKHSWFC6lBzSefMtvLfOQzEy+g/vp+CXfxo6yx6gvMgyYKlchSGui4l4B8t/JIySs4tiubLPJc+Ja34cRw==" saltValue="svRrhyh+v0jCQmjjn9+F9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topLeftCell="A11" zoomScale="130" zoomScaleNormal="130" zoomScalePageLayoutView="70" workbookViewId="0">
      <selection activeCell="A3" sqref="A3"/>
    </sheetView>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College of Central Florida</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727</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720</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354681</v>
      </c>
      <c r="E12" s="756">
        <v>0</v>
      </c>
      <c r="F12" s="757">
        <f t="shared" si="0"/>
        <v>354681</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0</v>
      </c>
      <c r="E15" s="756">
        <v>0</v>
      </c>
      <c r="F15" s="757">
        <f t="shared" si="0"/>
        <v>0</v>
      </c>
      <c r="I15" s="88"/>
      <c r="J15" s="29"/>
      <c r="K15" s="93"/>
      <c r="L15" s="93"/>
      <c r="M15" s="93"/>
      <c r="N15" s="93"/>
    </row>
    <row r="16" spans="1:224" s="17" customFormat="1" ht="30" customHeight="1">
      <c r="A16" s="753" t="s">
        <v>409</v>
      </c>
      <c r="B16" s="754"/>
      <c r="C16" s="755" t="s">
        <v>410</v>
      </c>
      <c r="D16" s="756">
        <v>50723</v>
      </c>
      <c r="E16" s="756">
        <v>0</v>
      </c>
      <c r="F16" s="757">
        <f t="shared" si="0"/>
        <v>50723</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696</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89046</v>
      </c>
      <c r="E25" s="756">
        <v>0</v>
      </c>
      <c r="F25" s="757">
        <f t="shared" si="0"/>
        <v>89046</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141506</v>
      </c>
      <c r="E34" s="756">
        <v>0</v>
      </c>
      <c r="F34" s="757">
        <f t="shared" si="0"/>
        <v>141506</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48490</v>
      </c>
      <c r="E48" s="756">
        <v>0</v>
      </c>
      <c r="F48" s="757">
        <f t="shared" si="0"/>
        <v>48490</v>
      </c>
    </row>
    <row r="49" spans="1:6" s="17" customFormat="1" ht="30" customHeight="1">
      <c r="A49" s="753" t="s">
        <v>471</v>
      </c>
      <c r="B49" s="754"/>
      <c r="C49" s="755" t="s">
        <v>472</v>
      </c>
      <c r="D49" s="756">
        <v>51883</v>
      </c>
      <c r="E49" s="756">
        <v>0</v>
      </c>
      <c r="F49" s="757">
        <f t="shared" si="0"/>
        <v>51883</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45093</v>
      </c>
      <c r="E54" s="756">
        <v>0</v>
      </c>
      <c r="F54" s="757">
        <f t="shared" si="0"/>
        <v>45093</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781422</v>
      </c>
      <c r="E57" s="268">
        <f>SUM(E10:E56)</f>
        <v>0</v>
      </c>
      <c r="F57" s="268">
        <f t="shared" si="0"/>
        <v>781422</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6262</v>
      </c>
      <c r="E64" s="453">
        <v>0</v>
      </c>
      <c r="F64" s="234">
        <f t="shared" si="0"/>
        <v>6262</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8541</v>
      </c>
      <c r="E67" s="756">
        <v>0</v>
      </c>
      <c r="F67" s="757">
        <f t="shared" si="0"/>
        <v>8541</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688</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700</v>
      </c>
      <c r="B72" s="754"/>
      <c r="C72" s="763" t="s">
        <v>503</v>
      </c>
      <c r="D72" s="756">
        <v>0</v>
      </c>
      <c r="E72" s="756">
        <v>0</v>
      </c>
      <c r="F72" s="757">
        <f t="shared" si="0"/>
        <v>0</v>
      </c>
    </row>
    <row r="73" spans="1:6" s="17" customFormat="1" ht="30" customHeight="1">
      <c r="A73" s="753" t="s">
        <v>504</v>
      </c>
      <c r="B73" s="754"/>
      <c r="C73" s="763" t="s">
        <v>505</v>
      </c>
      <c r="D73" s="756">
        <v>0</v>
      </c>
      <c r="E73" s="756">
        <v>0</v>
      </c>
      <c r="F73" s="757">
        <f t="shared" si="0"/>
        <v>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2847</v>
      </c>
      <c r="E76" s="756">
        <v>0</v>
      </c>
      <c r="F76" s="757">
        <f t="shared" si="1"/>
        <v>2847</v>
      </c>
    </row>
    <row r="77" spans="1:6" s="17" customFormat="1" ht="30" customHeight="1">
      <c r="A77" s="753" t="s">
        <v>511</v>
      </c>
      <c r="B77" s="754"/>
      <c r="C77" s="763" t="s">
        <v>512</v>
      </c>
      <c r="D77" s="756">
        <v>0</v>
      </c>
      <c r="E77" s="756">
        <v>0</v>
      </c>
      <c r="F77" s="757">
        <f t="shared" si="1"/>
        <v>0</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189</v>
      </c>
      <c r="E90" s="756">
        <v>0</v>
      </c>
      <c r="F90" s="757">
        <f t="shared" si="1"/>
        <v>189</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17839</v>
      </c>
      <c r="E93" s="264">
        <f>SUM(E64:E92)</f>
        <v>0</v>
      </c>
      <c r="F93" s="264">
        <f t="shared" si="1"/>
        <v>17839</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690</v>
      </c>
      <c r="B103" s="1099"/>
      <c r="C103" s="1100">
        <v>73001</v>
      </c>
      <c r="D103" s="1124">
        <v>0</v>
      </c>
      <c r="E103" s="1124">
        <v>0</v>
      </c>
      <c r="F103" s="1056">
        <f t="shared" si="1"/>
        <v>0</v>
      </c>
    </row>
    <row r="104" spans="1:6" s="17" customFormat="1" ht="30" customHeight="1">
      <c r="A104" s="1101" t="s">
        <v>691</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687</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799261</v>
      </c>
      <c r="E113" s="264">
        <f>+E57+E93+E111</f>
        <v>0</v>
      </c>
      <c r="F113" s="264">
        <f>SUM(D113:E113)</f>
        <v>799261</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799261</v>
      </c>
      <c r="E118" s="756">
        <v>0</v>
      </c>
      <c r="F118" s="757">
        <f t="shared" ref="F118:F128" si="3">+D118+E118</f>
        <v>799261</v>
      </c>
    </row>
    <row r="119" spans="1:6" s="69" customFormat="1" ht="30" customHeight="1">
      <c r="A119" s="753" t="s">
        <v>611</v>
      </c>
      <c r="B119" s="602"/>
      <c r="C119" s="765"/>
      <c r="D119" s="1080">
        <f>'EXHIBIT C'!F19</f>
        <v>0</v>
      </c>
      <c r="E119" s="756">
        <v>0</v>
      </c>
      <c r="F119" s="757">
        <f t="shared" si="3"/>
        <v>0</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685</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799261</v>
      </c>
      <c r="E129" s="258">
        <f>SUM(E117:E128)</f>
        <v>0</v>
      </c>
      <c r="F129" s="259">
        <f>SUM(F117:F128)</f>
        <v>799261</v>
      </c>
    </row>
    <row r="130" spans="1:6" ht="14.1" customHeight="1">
      <c r="A130" s="247"/>
      <c r="B130" s="247"/>
      <c r="C130" s="248"/>
      <c r="D130" s="249"/>
      <c r="E130" s="249"/>
      <c r="F130" s="249"/>
    </row>
    <row r="131" spans="1:6" ht="83.25" customHeight="1">
      <c r="A131" s="931" t="s">
        <v>701</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702</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tvh1GUoiH2xPfHSjIFyPl5wSU8sL7OakyW5DU9y8zJQb0kNClMv2gHEovqoZaR9L/991sUN5B1J6PZVTsKCpKQ==" saltValue="JoDBpf5Fj/mJMPsH1I/Wnw=="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743</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709</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28" zoomScale="130" zoomScaleNormal="13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773</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755</v>
      </c>
      <c r="C3" s="64"/>
      <c r="D3" s="73"/>
      <c r="E3" s="72"/>
    </row>
    <row r="4" spans="1:10" ht="25.35" customHeight="1" thickBot="1">
      <c r="A4" s="62">
        <v>1</v>
      </c>
      <c r="B4" s="52">
        <v>2</v>
      </c>
      <c r="C4" s="52">
        <v>3</v>
      </c>
      <c r="D4" s="52">
        <v>4</v>
      </c>
      <c r="E4" s="19"/>
    </row>
    <row r="5" spans="1:10" ht="44.1" customHeight="1" thickBot="1">
      <c r="A5" s="38" t="s">
        <v>16</v>
      </c>
      <c r="B5" s="1068" t="s">
        <v>718</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719</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745</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756</v>
      </c>
      <c r="B40" s="936" t="s">
        <v>768</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757</v>
      </c>
      <c r="C43" s="626"/>
      <c r="D43" s="626">
        <v>650000</v>
      </c>
      <c r="E43" s="627">
        <f t="shared" ref="E43:E53" si="1">C43+D43</f>
        <v>650000</v>
      </c>
    </row>
    <row r="44" spans="1:12" ht="63">
      <c r="A44" s="944" t="str">
        <f>A11</f>
        <v>Daytona State College</v>
      </c>
      <c r="B44" s="628" t="s">
        <v>758</v>
      </c>
      <c r="C44" s="626"/>
      <c r="D44" s="626">
        <v>570000</v>
      </c>
      <c r="E44" s="627">
        <f t="shared" si="1"/>
        <v>570000</v>
      </c>
    </row>
    <row r="45" spans="1:12" ht="84.75" customHeight="1">
      <c r="A45" s="942" t="s">
        <v>25</v>
      </c>
      <c r="B45" s="628" t="s">
        <v>759</v>
      </c>
      <c r="C45" s="626"/>
      <c r="D45" s="626">
        <v>541000</v>
      </c>
      <c r="E45" s="627">
        <f t="shared" si="1"/>
        <v>541000</v>
      </c>
    </row>
    <row r="46" spans="1:12" ht="84.75" customHeight="1">
      <c r="A46" s="942" t="s">
        <v>25</v>
      </c>
      <c r="B46" s="1019" t="s">
        <v>760</v>
      </c>
      <c r="C46" s="1020"/>
      <c r="D46" s="1020">
        <v>1500000</v>
      </c>
      <c r="E46" s="627">
        <f t="shared" si="1"/>
        <v>1500000</v>
      </c>
    </row>
    <row r="47" spans="1:12" ht="84.75" customHeight="1">
      <c r="A47" s="942" t="s">
        <v>717</v>
      </c>
      <c r="B47" s="1019" t="s">
        <v>761</v>
      </c>
      <c r="C47" s="1020"/>
      <c r="D47" s="1020">
        <v>1500000</v>
      </c>
      <c r="E47" s="627">
        <f t="shared" si="1"/>
        <v>1500000</v>
      </c>
      <c r="G47" s="161" t="s">
        <v>10</v>
      </c>
    </row>
    <row r="48" spans="1:12" ht="62.45" customHeight="1">
      <c r="A48" s="942" t="s">
        <v>717</v>
      </c>
      <c r="B48" s="628" t="s">
        <v>762</v>
      </c>
      <c r="C48" s="626"/>
      <c r="D48" s="626">
        <v>2248487</v>
      </c>
      <c r="E48" s="627">
        <f t="shared" si="1"/>
        <v>2248487</v>
      </c>
    </row>
    <row r="49" spans="1:5" ht="62.45" customHeight="1">
      <c r="A49" s="942" t="s">
        <v>35</v>
      </c>
      <c r="B49" s="1019" t="s">
        <v>763</v>
      </c>
      <c r="C49" s="1020"/>
      <c r="D49" s="1020">
        <v>500000</v>
      </c>
      <c r="E49" s="627">
        <f t="shared" si="1"/>
        <v>500000</v>
      </c>
    </row>
    <row r="50" spans="1:5" ht="62.45" customHeight="1">
      <c r="A50" s="942" t="s">
        <v>35</v>
      </c>
      <c r="B50" s="1019" t="s">
        <v>764</v>
      </c>
      <c r="C50" s="1020"/>
      <c r="D50" s="1020">
        <v>2500000</v>
      </c>
      <c r="E50" s="627">
        <f t="shared" si="1"/>
        <v>2500000</v>
      </c>
    </row>
    <row r="51" spans="1:5" ht="62.45" customHeight="1">
      <c r="A51" s="1138" t="s">
        <v>765</v>
      </c>
      <c r="B51" s="1019" t="s">
        <v>766</v>
      </c>
      <c r="C51" s="1020"/>
      <c r="D51" s="1020">
        <v>1500000</v>
      </c>
      <c r="E51" s="1122">
        <f t="shared" si="1"/>
        <v>1500000</v>
      </c>
    </row>
    <row r="52" spans="1:5" ht="62.45" customHeight="1" thickBot="1">
      <c r="A52" s="1143" t="s">
        <v>46</v>
      </c>
      <c r="B52" s="1144" t="s">
        <v>767</v>
      </c>
      <c r="C52" s="1145"/>
      <c r="D52" s="1145">
        <v>1975000</v>
      </c>
      <c r="E52" s="1146">
        <f t="shared" si="1"/>
        <v>1975000</v>
      </c>
    </row>
    <row r="53" spans="1:5" ht="62.45" customHeight="1" thickBot="1">
      <c r="A53" s="1143" t="s">
        <v>34</v>
      </c>
      <c r="B53" s="1144" t="s">
        <v>771</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720</v>
      </c>
      <c r="B58" s="391" t="s">
        <v>769</v>
      </c>
      <c r="C58" s="16" t="s">
        <v>10</v>
      </c>
      <c r="D58" s="16"/>
    </row>
    <row r="59" spans="1:5" ht="69" customHeight="1" thickBot="1">
      <c r="A59" s="1037" t="s">
        <v>770</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721</v>
      </c>
      <c r="B65" s="1039" t="s">
        <v>746</v>
      </c>
      <c r="C65" s="1040"/>
      <c r="D65" s="1040"/>
      <c r="E65" s="1041"/>
      <c r="F65" s="18"/>
      <c r="G65" s="16"/>
    </row>
    <row r="66" spans="1:7" ht="87.6" customHeight="1" thickBot="1">
      <c r="A66" s="40" t="s">
        <v>17</v>
      </c>
      <c r="B66" s="24" t="s">
        <v>744</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747</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748</v>
      </c>
      <c r="B104" s="1023" t="s">
        <v>752</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692</v>
      </c>
      <c r="U106" s="32"/>
      <c r="V106" s="33"/>
      <c r="W106" s="34"/>
      <c r="X106" s="35"/>
      <c r="Y106" s="59"/>
      <c r="Z106" s="1046"/>
      <c r="AA106" s="1047"/>
      <c r="AB106" s="1048"/>
      <c r="AC106" s="19"/>
      <c r="AD106" s="1137" t="s">
        <v>749</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716</v>
      </c>
      <c r="R107" s="1062"/>
      <c r="S107" s="1063"/>
      <c r="T107" s="1121"/>
      <c r="U107" s="21"/>
      <c r="V107" s="1031" t="s">
        <v>78</v>
      </c>
      <c r="W107" s="1032"/>
      <c r="X107" s="1036"/>
      <c r="Y107" s="1066"/>
      <c r="Z107" s="1031" t="s">
        <v>79</v>
      </c>
      <c r="AA107" s="1032"/>
      <c r="AB107" s="1033"/>
      <c r="AD107" s="43" t="s">
        <v>80</v>
      </c>
      <c r="AF107" s="19"/>
      <c r="AI107" s="1067" t="s">
        <v>693</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750</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751</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686</v>
      </c>
      <c r="V139" s="53"/>
      <c r="W139" s="53"/>
      <c r="X139" s="53"/>
      <c r="Y139" s="53"/>
      <c r="Z139" s="53"/>
      <c r="AA139" s="53"/>
      <c r="AB139" s="53"/>
    </row>
    <row r="140" spans="1:44">
      <c r="A140" s="17" t="s">
        <v>753</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715</v>
      </c>
      <c r="B145" s="1029"/>
      <c r="C145" s="1110"/>
      <c r="D145" s="1110"/>
    </row>
    <row r="146" spans="1:4" ht="21.75" thickBot="1">
      <c r="A146" s="62"/>
      <c r="B146" s="63" t="s">
        <v>754</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715</v>
      </c>
      <c r="B180" s="1029"/>
    </row>
    <row r="181" spans="1:2" ht="21.75" thickBot="1">
      <c r="A181" s="62"/>
      <c r="B181" s="63" t="s">
        <v>754</v>
      </c>
    </row>
    <row r="182" spans="1:2" ht="21.75" thickBot="1">
      <c r="A182" s="62">
        <v>1</v>
      </c>
      <c r="B182" s="52">
        <v>2</v>
      </c>
    </row>
    <row r="183" spans="1:2" ht="54" thickBot="1">
      <c r="A183" s="1112" t="s">
        <v>694</v>
      </c>
      <c r="B183" s="1106" t="str">
        <f>B5</f>
        <v xml:space="preserve">2024-25 BASE BUDGET </v>
      </c>
    </row>
    <row r="184" spans="1:2" ht="42.75" thickBot="1">
      <c r="A184" s="290" t="s">
        <v>17</v>
      </c>
      <c r="B184" s="23" t="s">
        <v>694</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31" colorId="22" zoomScale="70" zoomScaleNormal="70" zoomScaleSheetLayoutView="51" zoomScalePageLayoutView="60" workbookViewId="0">
      <selection activeCell="C109" sqref="C109"/>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722</v>
      </c>
      <c r="B2" s="901"/>
      <c r="C2" s="901"/>
      <c r="D2" s="901"/>
      <c r="E2" s="901"/>
      <c r="F2" s="901"/>
      <c r="G2" s="901"/>
    </row>
    <row r="3" spans="1:9" ht="20.100000000000001" customHeight="1">
      <c r="A3" s="901"/>
      <c r="B3" s="901"/>
      <c r="C3" s="901"/>
      <c r="D3" s="901"/>
      <c r="E3" s="901"/>
      <c r="F3" s="901"/>
      <c r="G3" s="901"/>
      <c r="H3" s="88"/>
    </row>
    <row r="4" spans="1:9" ht="28.35" customHeight="1">
      <c r="A4" s="1126" t="s">
        <v>710</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23</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737</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0.28341795262058445</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720</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8130</v>
      </c>
      <c r="E44" s="114">
        <f>+'EXHIBIT C'!F10</f>
        <v>8373.61</v>
      </c>
      <c r="F44" s="115">
        <f t="shared" ref="F44:F50" si="0">IF(D44=0,"0",(E44/D44-1))</f>
        <v>2.9964329643296539E-2</v>
      </c>
      <c r="G44" s="116" t="str">
        <f t="shared" ref="G44:G50" si="1">IF(OR(F44&gt;3%, F44&lt;-3%),"YES","NO")</f>
        <v>NO</v>
      </c>
      <c r="H44" s="88"/>
    </row>
    <row r="45" spans="1:8" ht="20.100000000000001" customHeight="1">
      <c r="C45" s="117" t="s">
        <v>126</v>
      </c>
      <c r="D45" s="650">
        <f>VLOOKUP($D$7,VLOOKUP!$A$109:$S$137,5)*30+D60</f>
        <v>61360.843087432833</v>
      </c>
      <c r="E45" s="118">
        <f>+'EXHIBIT C'!F11</f>
        <v>63197.919999999998</v>
      </c>
      <c r="F45" s="651">
        <f t="shared" si="0"/>
        <v>2.9938912507273097E-2</v>
      </c>
      <c r="G45" s="652" t="str">
        <f t="shared" si="1"/>
        <v>NO</v>
      </c>
      <c r="H45" s="88"/>
    </row>
    <row r="46" spans="1:8" ht="20.100000000000001" customHeight="1">
      <c r="C46" s="653" t="s">
        <v>127</v>
      </c>
      <c r="D46" s="654">
        <f>VLOOKUP($D$7,VLOOKUP!$A$109:$S$137,8)*30</f>
        <v>33919.874049027894</v>
      </c>
      <c r="E46" s="655">
        <f>+'EXHIBIT C'!F12</f>
        <v>34935.040000000001</v>
      </c>
      <c r="F46" s="651">
        <f t="shared" si="0"/>
        <v>2.9928352608408426E-2</v>
      </c>
      <c r="G46" s="652" t="str">
        <f t="shared" si="1"/>
        <v>NO</v>
      </c>
      <c r="H46" s="88"/>
    </row>
    <row r="47" spans="1:8" ht="20.100000000000001" customHeight="1">
      <c r="C47" s="653" t="s">
        <v>76</v>
      </c>
      <c r="D47" s="654">
        <f>VLOOKUP($D$7,VLOOKUP!$A$109:$S$137,17)*30</f>
        <v>3536.4426877470355</v>
      </c>
      <c r="E47" s="655">
        <f>+'EXHIBIT C'!F13</f>
        <v>3640.86</v>
      </c>
      <c r="F47" s="651">
        <f t="shared" si="0"/>
        <v>2.9526086373390603E-2</v>
      </c>
      <c r="G47" s="652" t="str">
        <f t="shared" si="1"/>
        <v>NO</v>
      </c>
      <c r="H47" s="88"/>
    </row>
    <row r="48" spans="1:8" ht="20.100000000000001" customHeight="1">
      <c r="C48" s="653" t="s">
        <v>128</v>
      </c>
      <c r="D48" s="654">
        <f>VLOOKUP($D$7,VLOOKUP!$A$109:$S$137,11)*30</f>
        <v>2824.7102212855639</v>
      </c>
      <c r="E48" s="655">
        <f>+'EXHIBIT C'!F14</f>
        <v>2908.46</v>
      </c>
      <c r="F48" s="651">
        <f t="shared" si="0"/>
        <v>2.9648980657676294E-2</v>
      </c>
      <c r="G48" s="652" t="str">
        <f t="shared" si="1"/>
        <v>NO</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109771.87004549334</v>
      </c>
      <c r="E50" s="121">
        <f>+'EXHIBIT C'!F17</f>
        <v>113055.89000000001</v>
      </c>
      <c r="F50" s="122">
        <f t="shared" si="0"/>
        <v>2.9916771511186324E-2</v>
      </c>
      <c r="G50" s="123" t="str">
        <f t="shared" si="1"/>
        <v>NO</v>
      </c>
      <c r="H50" s="88"/>
    </row>
    <row r="51" spans="3:8" ht="46.5" customHeight="1" thickBot="1">
      <c r="C51" s="904" t="s">
        <v>130</v>
      </c>
      <c r="D51" s="905"/>
      <c r="E51" s="905"/>
      <c r="F51" s="905"/>
      <c r="G51" s="906"/>
      <c r="H51" s="88"/>
    </row>
    <row r="52" spans="3:8" ht="24.6" customHeight="1" thickBot="1">
      <c r="C52" s="828" t="s">
        <v>711</v>
      </c>
      <c r="D52" s="829"/>
      <c r="E52" s="829"/>
      <c r="F52" s="829"/>
      <c r="G52" s="830"/>
      <c r="H52" s="124"/>
    </row>
    <row r="53" spans="3:8" ht="205.5" customHeight="1" thickBot="1">
      <c r="C53" s="1086"/>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0</v>
      </c>
      <c r="F59" s="662" t="str">
        <f t="shared" ref="F59:F65" si="2">IF(D59=0,"0",(E59/D59-1))</f>
        <v>0</v>
      </c>
      <c r="G59" s="663" t="str">
        <f>IF(OR(F59&gt;5%, F59&lt;-5%),"YES","NO")</f>
        <v>NO</v>
      </c>
    </row>
    <row r="60" spans="3:8" ht="20.100000000000001" customHeight="1">
      <c r="C60" s="117" t="s">
        <v>126</v>
      </c>
      <c r="D60" s="661">
        <f>VLOOKUP($D$7,VLOOKUP!$A$109:$S$137,6)*30</f>
        <v>2859.2123130753534</v>
      </c>
      <c r="E60" s="131">
        <f>+'EXHIBIT C'!D20</f>
        <v>3000</v>
      </c>
      <c r="F60" s="662">
        <f t="shared" si="2"/>
        <v>4.9240025401686927E-2</v>
      </c>
      <c r="G60" s="663" t="str">
        <f t="shared" ref="G60:G65" si="3">IF(OR(F60&gt;5%, F60&lt;-5%),"YES","NO")</f>
        <v>NO</v>
      </c>
      <c r="H60" s="88"/>
    </row>
    <row r="61" spans="3:8" ht="20.100000000000001" customHeight="1">
      <c r="C61" s="653" t="s">
        <v>127</v>
      </c>
      <c r="D61" s="664">
        <f>VLOOKUP($D$7,VLOOKUP!$A$109:$S$137,9)*30</f>
        <v>1488.6365173288252</v>
      </c>
      <c r="E61" s="665">
        <f>+'EXHIBIT C'!D21</f>
        <v>1550</v>
      </c>
      <c r="F61" s="662">
        <f t="shared" si="2"/>
        <v>4.1221266546170643E-2</v>
      </c>
      <c r="G61" s="663" t="str">
        <f t="shared" si="3"/>
        <v>NO</v>
      </c>
      <c r="H61" s="88"/>
    </row>
    <row r="62" spans="3:8" ht="20.100000000000001" customHeight="1">
      <c r="C62" s="653" t="s">
        <v>76</v>
      </c>
      <c r="D62" s="664">
        <f>VLOOKUP($D$7,VLOOKUP!$A$109:$S$137,18)*30</f>
        <v>21.249011857707508</v>
      </c>
      <c r="E62" s="665">
        <f>+'EXHIBIT C'!D22</f>
        <v>22</v>
      </c>
      <c r="F62" s="662">
        <f t="shared" si="2"/>
        <v>3.5342261904762085E-2</v>
      </c>
      <c r="G62" s="663" t="str">
        <f t="shared" si="3"/>
        <v>NO</v>
      </c>
      <c r="H62" s="88"/>
    </row>
    <row r="63" spans="3:8" ht="20.100000000000001" customHeight="1">
      <c r="C63" s="653" t="s">
        <v>128</v>
      </c>
      <c r="D63" s="664">
        <f>VLOOKUP($D$7,VLOOKUP!$A$109:$S$137,12)*30</f>
        <v>625.28977871443612</v>
      </c>
      <c r="E63" s="665">
        <f>+'EXHIBIT C'!D23</f>
        <v>650</v>
      </c>
      <c r="F63" s="662">
        <f t="shared" si="2"/>
        <v>3.9518031681833765E-2</v>
      </c>
      <c r="G63" s="663" t="str">
        <f t="shared" si="3"/>
        <v>NO</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4994.3876209763221</v>
      </c>
      <c r="E65" s="133">
        <f>SUM(E59:E64)</f>
        <v>5222</v>
      </c>
      <c r="F65" s="134">
        <f t="shared" si="2"/>
        <v>4.5573631102982626E-2</v>
      </c>
      <c r="G65" s="135" t="str">
        <f t="shared" si="3"/>
        <v>NO</v>
      </c>
      <c r="H65" s="88"/>
    </row>
    <row r="66" spans="1:8" ht="42" customHeight="1" thickBot="1">
      <c r="C66" s="904" t="s">
        <v>135</v>
      </c>
      <c r="D66" s="905"/>
      <c r="E66" s="905"/>
      <c r="F66" s="905"/>
      <c r="G66" s="906"/>
      <c r="H66" s="88"/>
    </row>
    <row r="67" spans="1:8" ht="24.6" customHeight="1" thickBot="1">
      <c r="A67" s="98"/>
      <c r="B67" s="98"/>
      <c r="C67" s="825" t="s">
        <v>711</v>
      </c>
      <c r="D67" s="826"/>
      <c r="E67" s="826"/>
      <c r="F67" s="826"/>
      <c r="G67" s="827"/>
      <c r="H67" s="88"/>
    </row>
    <row r="68" spans="1:8" ht="227.25" customHeight="1" thickBot="1">
      <c r="A68" s="98"/>
      <c r="B68" s="98"/>
      <c r="C68" s="1089"/>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35165545.160336338</v>
      </c>
      <c r="E84" s="1127">
        <f>+'EXHIBIT D'!G76</f>
        <v>35165545.160336338</v>
      </c>
      <c r="F84" s="1127">
        <f>D84-E84</f>
        <v>0</v>
      </c>
      <c r="G84" s="88"/>
      <c r="H84" s="88"/>
    </row>
    <row r="85" spans="1:8" ht="20.100000000000001" customHeight="1">
      <c r="A85" s="98"/>
      <c r="B85" s="98"/>
      <c r="C85" s="672" t="s">
        <v>150</v>
      </c>
      <c r="D85" s="671">
        <f>VLOOKUP($D$7,VLOOKUP!$A$150:$B$178,2)</f>
        <v>580642</v>
      </c>
      <c r="E85" s="1127">
        <f>'EXHIBIT D'!G78</f>
        <v>580642</v>
      </c>
      <c r="F85" s="1127">
        <f>D85-E85</f>
        <v>0</v>
      </c>
      <c r="G85" s="88"/>
      <c r="H85" s="88"/>
    </row>
    <row r="86" spans="1:8" ht="20.100000000000001" customHeight="1">
      <c r="A86" s="98"/>
      <c r="B86" s="98"/>
      <c r="C86" s="672" t="s">
        <v>151</v>
      </c>
      <c r="D86" s="671">
        <f>VLOOKUP($D$7,VLOOKUP!$A$7:$E$35,3)</f>
        <v>5543604.8396636629</v>
      </c>
      <c r="E86" s="1127">
        <f>'EXHIBIT D'!G82</f>
        <v>5543604.8396636629</v>
      </c>
      <c r="F86" s="1127">
        <f>D86-E86</f>
        <v>0</v>
      </c>
      <c r="G86" s="88"/>
      <c r="H86" s="88"/>
    </row>
    <row r="87" spans="1:8" ht="20.100000000000001" customHeight="1" thickBot="1">
      <c r="A87" s="97"/>
      <c r="B87" s="97"/>
      <c r="C87" s="143" t="s">
        <v>694</v>
      </c>
      <c r="D87" s="671">
        <f>VLOOKUP($D$7,VLOOKUP!$A$185:$B$213,2)</f>
        <v>1049273</v>
      </c>
      <c r="E87" s="1128">
        <f>'EXHIBIT D'!G77</f>
        <v>1049273</v>
      </c>
      <c r="F87" s="1127">
        <f>D87-E87</f>
        <v>0</v>
      </c>
      <c r="G87" s="88"/>
      <c r="H87" s="88"/>
    </row>
    <row r="88" spans="1:8" ht="20.100000000000001" customHeight="1" thickBot="1">
      <c r="A88" s="97"/>
      <c r="B88" s="97"/>
      <c r="C88" s="144" t="s">
        <v>152</v>
      </c>
      <c r="D88" s="145">
        <f>SUM(D84:D87)</f>
        <v>42339065</v>
      </c>
      <c r="E88" s="145">
        <f>SUM(E84:E87)</f>
        <v>42339065</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738</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23338807</v>
      </c>
      <c r="D101" s="819" t="s">
        <v>739</v>
      </c>
      <c r="E101" s="819"/>
      <c r="F101" s="819"/>
      <c r="G101" s="88"/>
      <c r="H101" s="88"/>
    </row>
    <row r="102" spans="1:8" ht="20.100000000000001" customHeight="1">
      <c r="A102" s="95"/>
      <c r="B102" s="95"/>
      <c r="C102" s="674">
        <f>'EXHIBIT D'!G267-'EXHIBIT D'!G253-'EXHIBIT D'!G265</f>
        <v>23338807</v>
      </c>
      <c r="D102" s="821" t="s">
        <v>740</v>
      </c>
      <c r="E102" s="821"/>
      <c r="F102" s="821"/>
      <c r="G102" s="88"/>
      <c r="H102" s="88"/>
    </row>
    <row r="103" spans="1:8" ht="66.599999999999994" customHeight="1">
      <c r="A103" s="151"/>
      <c r="B103" s="151"/>
      <c r="C103" s="675">
        <f>C101-C102</f>
        <v>0</v>
      </c>
      <c r="D103" s="909" t="s">
        <v>703</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708</v>
      </c>
      <c r="D106" s="902"/>
      <c r="E106" s="902"/>
      <c r="F106" s="902"/>
      <c r="G106" s="902"/>
      <c r="H106" s="820"/>
    </row>
    <row r="107" spans="1:8" ht="20.100000000000001" customHeight="1">
      <c r="A107" s="151"/>
      <c r="B107" s="151"/>
    </row>
    <row r="108" spans="1:8" ht="24.75" customHeight="1">
      <c r="A108" s="151"/>
      <c r="B108" s="151"/>
      <c r="C108" s="154">
        <f>'EXHIBIT A'!E14</f>
        <v>23143259</v>
      </c>
      <c r="D108" s="17" t="s">
        <v>741</v>
      </c>
    </row>
    <row r="109" spans="1:8" ht="26.25" customHeight="1">
      <c r="A109" s="151"/>
      <c r="B109" s="151"/>
      <c r="C109" s="676">
        <f>'EXHIBIT A'!E36</f>
        <v>23153259</v>
      </c>
      <c r="D109" s="17" t="s">
        <v>742</v>
      </c>
    </row>
    <row r="110" spans="1:8" ht="26.1" customHeight="1">
      <c r="A110" s="151"/>
      <c r="B110" s="151"/>
      <c r="C110" s="677">
        <f>C108-C109</f>
        <v>-10000</v>
      </c>
      <c r="D110" s="89" t="s">
        <v>160</v>
      </c>
      <c r="E110" s="89"/>
      <c r="F110" s="89"/>
      <c r="G110" s="89"/>
    </row>
    <row r="111" spans="1:8" ht="20.100000000000001" customHeight="1">
      <c r="A111" s="151"/>
      <c r="B111" s="151"/>
      <c r="C111" s="154"/>
    </row>
    <row r="112" spans="1:8" ht="26.1" customHeight="1">
      <c r="A112" s="151"/>
      <c r="B112" s="151"/>
      <c r="C112" s="675">
        <f>'EXHIBIT D'!G187</f>
        <v>10000</v>
      </c>
      <c r="D112" s="148" t="s">
        <v>161</v>
      </c>
      <c r="E112" s="92"/>
      <c r="F112" s="92"/>
    </row>
    <row r="113" spans="1:8" ht="20.100000000000001" customHeight="1"/>
    <row r="114" spans="1:8" ht="38.450000000000003" customHeight="1">
      <c r="C114" s="1130">
        <f>C110+C112</f>
        <v>0</v>
      </c>
      <c r="D114" s="909" t="s">
        <v>704</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95.449991103000968</v>
      </c>
      <c r="D119" s="17" t="s">
        <v>81</v>
      </c>
    </row>
    <row r="120" spans="1:8" ht="20.100000000000001" customHeight="1">
      <c r="C120" s="157"/>
    </row>
    <row r="121" spans="1:8" ht="20.100000000000001" customHeight="1">
      <c r="C121" s="158" t="str">
        <f>IF('EXHIBIT G'!D119=0,"No Credit Hours or Not Applicable",('EXHIBIT G'!D119/'EXHIBIT C'!D19))</f>
        <v>No Credit Hours or Not Applicable</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705</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706</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707</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712</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pageSetUpPr fitToPage="1"/>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723</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College of Central Florida</v>
      </c>
      <c r="D8" s="836"/>
      <c r="E8" s="836"/>
      <c r="F8" s="283"/>
      <c r="G8" s="283"/>
    </row>
    <row r="9" spans="2:7" ht="25.35" customHeight="1"/>
    <row r="10" spans="2:7" ht="41.45" customHeight="1">
      <c r="E10" s="577" t="s">
        <v>173</v>
      </c>
    </row>
    <row r="11" spans="2:7" ht="25.35" customHeight="1">
      <c r="B11" s="28" t="s">
        <v>728</v>
      </c>
      <c r="D11" s="28"/>
      <c r="E11" s="161"/>
    </row>
    <row r="12" spans="2:7" ht="25.35" customHeight="1">
      <c r="B12" s="28"/>
      <c r="C12" s="28"/>
      <c r="D12" s="28"/>
    </row>
    <row r="13" spans="2:7" ht="25.35" customHeight="1">
      <c r="B13" s="17" t="s">
        <v>729</v>
      </c>
      <c r="C13" s="28"/>
      <c r="D13" s="28"/>
      <c r="E13" s="1135">
        <v>185548.01</v>
      </c>
    </row>
    <row r="14" spans="2:7" ht="25.35" customHeight="1">
      <c r="B14" s="17" t="s">
        <v>174</v>
      </c>
      <c r="D14" s="28"/>
      <c r="E14" s="1136">
        <v>23143259</v>
      </c>
    </row>
    <row r="15" spans="2:7" ht="25.35" customHeight="1">
      <c r="B15" s="28"/>
      <c r="D15" s="28"/>
      <c r="E15" s="162"/>
    </row>
    <row r="16" spans="2:7" ht="25.35" customHeight="1">
      <c r="B16" s="17" t="s">
        <v>730</v>
      </c>
      <c r="C16" s="28"/>
      <c r="D16" s="28"/>
      <c r="E16" s="578">
        <f>+E14+E13</f>
        <v>23328807.010000002</v>
      </c>
    </row>
    <row r="17" spans="2:7" ht="25.35" customHeight="1">
      <c r="B17" s="28"/>
      <c r="C17" s="28"/>
      <c r="D17" s="28"/>
      <c r="E17" s="163"/>
    </row>
    <row r="18" spans="2:7" ht="25.35" customHeight="1">
      <c r="B18" s="17" t="s">
        <v>175</v>
      </c>
      <c r="C18" s="28"/>
      <c r="D18" s="28"/>
      <c r="E18" s="173">
        <f>+'EXHIBIT D'!G143-SUM(+'EXHIBIT D'!G133+'EXHIBIT D'!G134)</f>
        <v>58845649.340000004</v>
      </c>
      <c r="G18" s="138"/>
    </row>
    <row r="19" spans="2:7" ht="25.35" customHeight="1">
      <c r="B19" s="17" t="s">
        <v>176</v>
      </c>
      <c r="D19" s="28"/>
      <c r="E19" s="578">
        <f>+'EXHIBIT D'!G133+'EXHIBIT D'!G134</f>
        <v>173210</v>
      </c>
    </row>
    <row r="20" spans="2:7" ht="25.35" customHeight="1">
      <c r="B20" s="28"/>
      <c r="D20" s="28"/>
      <c r="E20" s="168"/>
    </row>
    <row r="21" spans="2:7" ht="25.35" customHeight="1">
      <c r="B21" s="17" t="s">
        <v>177</v>
      </c>
      <c r="C21" s="28"/>
      <c r="D21" s="28"/>
      <c r="E21" s="579">
        <f>+E19+E18</f>
        <v>59018859.340000004</v>
      </c>
    </row>
    <row r="22" spans="2:7" ht="25.35" customHeight="1">
      <c r="B22" s="28"/>
      <c r="C22" s="28"/>
      <c r="D22" s="28"/>
      <c r="E22" s="168"/>
    </row>
    <row r="23" spans="2:7" ht="25.35" customHeight="1">
      <c r="B23" s="28" t="s">
        <v>178</v>
      </c>
      <c r="C23" s="28"/>
      <c r="D23" s="28"/>
      <c r="E23" s="579">
        <f>+E21+E16</f>
        <v>82347666.350000009</v>
      </c>
    </row>
    <row r="24" spans="2:7" ht="25.35" customHeight="1">
      <c r="B24" s="28"/>
      <c r="C24" s="28"/>
      <c r="D24" s="28"/>
      <c r="E24" s="168"/>
    </row>
    <row r="25" spans="2:7" ht="25.35" customHeight="1">
      <c r="B25" s="17" t="s">
        <v>179</v>
      </c>
      <c r="C25" s="28"/>
      <c r="D25" s="28"/>
      <c r="E25" s="174">
        <f>'EXHIBIT D'!G249-SUM(+'EXHIBIT D'!G223+'EXHIBIT D'!G224)</f>
        <v>58968859</v>
      </c>
    </row>
    <row r="26" spans="2:7" ht="25.35" customHeight="1">
      <c r="B26" s="17" t="s">
        <v>180</v>
      </c>
      <c r="D26" s="28"/>
      <c r="E26" s="578">
        <f>'EXHIBIT D'!G223+'EXHIBIT D'!G224</f>
        <v>1250000</v>
      </c>
    </row>
    <row r="27" spans="2:7" ht="25.35" customHeight="1">
      <c r="B27" s="28"/>
      <c r="D27" s="28"/>
      <c r="E27" s="168"/>
    </row>
    <row r="28" spans="2:7" ht="25.35" customHeight="1">
      <c r="B28" s="28" t="s">
        <v>181</v>
      </c>
      <c r="C28" s="28"/>
      <c r="D28" s="28"/>
      <c r="E28" s="580">
        <f>+E26+E25</f>
        <v>60218859</v>
      </c>
    </row>
    <row r="29" spans="2:7" ht="25.35" customHeight="1">
      <c r="B29" s="28"/>
      <c r="C29" s="28"/>
      <c r="D29" s="28"/>
      <c r="E29" s="164"/>
    </row>
    <row r="30" spans="2:7" ht="25.35" customHeight="1">
      <c r="B30" s="28" t="s">
        <v>731</v>
      </c>
      <c r="C30" s="28"/>
      <c r="D30" s="28"/>
      <c r="E30" s="164"/>
    </row>
    <row r="31" spans="2:7" ht="25.35" customHeight="1">
      <c r="B31" s="28"/>
      <c r="C31" s="28"/>
      <c r="D31" s="28"/>
      <c r="E31" s="164"/>
    </row>
    <row r="32" spans="2:7" ht="25.35" customHeight="1">
      <c r="B32" s="17" t="s">
        <v>182</v>
      </c>
      <c r="C32" s="28"/>
      <c r="D32" s="165">
        <f>+E23-E28</f>
        <v>22128807.350000009</v>
      </c>
      <c r="E32" s="164"/>
    </row>
    <row r="33" spans="2:10" ht="25.35" customHeight="1">
      <c r="B33" s="17" t="s">
        <v>183</v>
      </c>
      <c r="C33" s="28"/>
      <c r="D33" s="581">
        <f>+'EXHIBIT D'!G187</f>
        <v>10000</v>
      </c>
      <c r="E33" s="164"/>
    </row>
    <row r="34" spans="2:10" ht="25.35" customHeight="1">
      <c r="B34" s="28"/>
      <c r="D34" s="28"/>
      <c r="E34" s="164"/>
      <c r="J34" s="166"/>
    </row>
    <row r="35" spans="2:10" ht="25.35" customHeight="1">
      <c r="B35" s="17" t="s">
        <v>732</v>
      </c>
      <c r="C35" s="28"/>
      <c r="D35" s="28"/>
      <c r="E35" s="167">
        <f>+D32+D33</f>
        <v>22138807.350000009</v>
      </c>
    </row>
    <row r="36" spans="2:10" ht="25.35" customHeight="1">
      <c r="B36" s="17" t="s">
        <v>733</v>
      </c>
      <c r="C36" s="28"/>
      <c r="D36" s="28"/>
      <c r="E36" s="579">
        <f>-'EXHIBIT D'!G265</f>
        <v>23153259</v>
      </c>
      <c r="J36" s="48"/>
    </row>
    <row r="37" spans="2:10" ht="25.35" customHeight="1">
      <c r="D37" s="28"/>
      <c r="E37" s="167"/>
    </row>
    <row r="38" spans="2:10" ht="25.35" customHeight="1">
      <c r="B38" s="28" t="s">
        <v>734</v>
      </c>
      <c r="D38" s="28"/>
      <c r="E38" s="578">
        <f>+E35-E36</f>
        <v>-1014451.6499999911</v>
      </c>
    </row>
    <row r="39" spans="2:10" ht="25.35" customHeight="1">
      <c r="B39" s="28"/>
      <c r="C39" s="28"/>
      <c r="D39" s="28"/>
      <c r="E39" s="168"/>
    </row>
    <row r="40" spans="2:10" ht="25.35" customHeight="1">
      <c r="B40" s="17" t="s">
        <v>735</v>
      </c>
      <c r="C40" s="28"/>
      <c r="D40" s="28"/>
      <c r="E40" s="580">
        <f>'EXHIBIT D'!G254+'EXHIBIT D'!G255+'EXHIBIT D'!G256+'EXHIBIT D'!G257+'EXHIBIT D'!G258+'EXHIBIT D'!G259+'EXHIBIT D'!G260+'EXHIBIT D'!G261</f>
        <v>23338807</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736</v>
      </c>
      <c r="C44" s="28"/>
      <c r="D44" s="28"/>
      <c r="E44" s="582">
        <f>+E40/E23</f>
        <v>0.28341795262058445</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XIWs7f0C1im+lFIgc355a9Zd04y4T8u67i3PqjHlkqxta3xAkMcd2euuMDzuKukdhf5QzDsfar0p3VU9c+0ACw==" saltValue="xNBxOAtdUjkwyXv4XoU67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paperSize="2" scale="57" fitToHeight="0" orientation="portrait" r:id="rId1"/>
  <headerFooter alignWithMargins="0">
    <oddFooter>&amp;R&amp;D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60" zoomScaleNormal="6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724</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College of Central Florida</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95.45</v>
      </c>
      <c r="C14" s="962">
        <v>4.7699999999999996</v>
      </c>
      <c r="D14" s="962">
        <v>9.5399999999999991</v>
      </c>
      <c r="E14" s="962">
        <v>14.74</v>
      </c>
      <c r="F14" s="962">
        <v>4.7699999999999996</v>
      </c>
      <c r="G14" s="679">
        <f>SUM(B14:F14)</f>
        <v>129.26999999999998</v>
      </c>
      <c r="H14" s="365">
        <f>G14*30</f>
        <v>3878.0999999999995</v>
      </c>
    </row>
    <row r="15" spans="1:18" s="17" customFormat="1" ht="20.100000000000001" customHeight="1">
      <c r="A15" s="28" t="s">
        <v>201</v>
      </c>
      <c r="B15" s="963">
        <v>82.78</v>
      </c>
      <c r="C15" s="963">
        <v>4.1399999999999997</v>
      </c>
      <c r="D15" s="963">
        <v>8.2799999999999994</v>
      </c>
      <c r="E15" s="963">
        <v>13.58</v>
      </c>
      <c r="F15" s="963">
        <v>4.1399999999999997</v>
      </c>
      <c r="G15" s="679">
        <f>SUM(B15:F15)</f>
        <v>112.92</v>
      </c>
      <c r="H15" s="338">
        <f>G15*30</f>
        <v>3387.6</v>
      </c>
    </row>
    <row r="16" spans="1:18" s="17" customFormat="1" ht="20.100000000000001" customHeight="1" thickBot="1">
      <c r="A16" s="28" t="s">
        <v>76</v>
      </c>
      <c r="B16" s="964">
        <v>73.400000000000006</v>
      </c>
      <c r="C16" s="964">
        <v>7.34</v>
      </c>
      <c r="D16" s="965"/>
      <c r="E16" s="964">
        <v>3.67</v>
      </c>
      <c r="F16" s="964">
        <v>3.67</v>
      </c>
      <c r="G16" s="339">
        <f>SUM(B16:F16)</f>
        <v>88.080000000000013</v>
      </c>
      <c r="H16" s="680">
        <f>G16*30</f>
        <v>2642.4000000000005</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30</v>
      </c>
      <c r="C19" s="366"/>
      <c r="D19" s="366"/>
      <c r="E19" s="366"/>
      <c r="F19" s="366"/>
      <c r="G19" s="679">
        <f>B19</f>
        <v>30</v>
      </c>
      <c r="H19" s="607">
        <f>G19*3</f>
        <v>90</v>
      </c>
    </row>
    <row r="20" spans="1:11" s="17" customFormat="1" ht="20.100000000000001" customHeight="1" thickBot="1">
      <c r="A20" s="28" t="s">
        <v>205</v>
      </c>
      <c r="B20" s="596">
        <v>30</v>
      </c>
      <c r="C20" s="320"/>
      <c r="D20" s="320"/>
      <c r="E20" s="320"/>
      <c r="F20" s="320"/>
      <c r="G20" s="341">
        <f>B20</f>
        <v>30</v>
      </c>
      <c r="H20" s="566">
        <f>G20*3</f>
        <v>90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95.45</v>
      </c>
      <c r="C29" s="962">
        <v>353.16</v>
      </c>
      <c r="D29" s="962">
        <v>22.42</v>
      </c>
      <c r="E29" s="536">
        <f>D14</f>
        <v>9.5399999999999991</v>
      </c>
      <c r="F29" s="962">
        <v>88.4</v>
      </c>
      <c r="G29" s="962">
        <v>22.42</v>
      </c>
      <c r="H29" s="346">
        <f>SUM(B29:G29)</f>
        <v>591.39</v>
      </c>
      <c r="I29" s="359">
        <f>H29*30</f>
        <v>17741.7</v>
      </c>
    </row>
    <row r="30" spans="1:11" s="17" customFormat="1" ht="20.100000000000001" customHeight="1">
      <c r="A30" s="28" t="str">
        <f t="shared" si="0"/>
        <v>LOWER LEVEL - CREDIT (A &amp; P, PSV, DEVELOPMENTAL EDUCATION AND EPI)</v>
      </c>
      <c r="B30" s="683">
        <f t="shared" si="0"/>
        <v>82.78</v>
      </c>
      <c r="C30" s="966">
        <v>248.34</v>
      </c>
      <c r="D30" s="966">
        <v>16.559999999999999</v>
      </c>
      <c r="E30" s="684">
        <f>D15</f>
        <v>8.2799999999999994</v>
      </c>
      <c r="F30" s="966">
        <v>65.680000000000007</v>
      </c>
      <c r="G30" s="966">
        <v>16.559999999999999</v>
      </c>
      <c r="H30" s="679">
        <f>SUM(B30:G30)</f>
        <v>438.2</v>
      </c>
      <c r="I30" s="338">
        <f>H30*30</f>
        <v>13146</v>
      </c>
    </row>
    <row r="31" spans="1:11" s="17" customFormat="1" ht="20.100000000000001" customHeight="1">
      <c r="A31" s="28" t="str">
        <f t="shared" si="0"/>
        <v>CAREER CERTIFICATE AND APPLIED TECHNOLOGY DIPLOMA</v>
      </c>
      <c r="B31" s="1148">
        <f t="shared" si="0"/>
        <v>73.400000000000006</v>
      </c>
      <c r="C31" s="963">
        <v>220.19</v>
      </c>
      <c r="D31" s="963">
        <v>29.36</v>
      </c>
      <c r="E31" s="1149"/>
      <c r="F31" s="963">
        <v>14.68</v>
      </c>
      <c r="G31" s="963">
        <v>14.68</v>
      </c>
      <c r="H31" s="1150">
        <f>SUM(B31:G31)</f>
        <v>352.31000000000006</v>
      </c>
      <c r="I31" s="1150">
        <f>H31*30</f>
        <v>10569.300000000001</v>
      </c>
    </row>
    <row r="32" spans="1:11" s="17" customFormat="1" ht="20.100000000000001" customHeight="1" thickBot="1">
      <c r="A32" s="28" t="s">
        <v>777</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30</v>
      </c>
      <c r="C35" s="366"/>
      <c r="D35" s="366"/>
      <c r="E35" s="366"/>
      <c r="F35" s="366"/>
      <c r="G35" s="366"/>
      <c r="H35" s="685">
        <f>B35</f>
        <v>30</v>
      </c>
      <c r="I35" s="360">
        <f>H35*3</f>
        <v>90</v>
      </c>
      <c r="J35" s="344"/>
      <c r="K35" s="344"/>
    </row>
    <row r="36" spans="1:11" s="17" customFormat="1" ht="20.100000000000001" customHeight="1" thickBot="1">
      <c r="A36" s="28" t="str">
        <f>A20</f>
        <v>ADULT GENERAL EDUCATION AND SECONDARY (PER TERM)</v>
      </c>
      <c r="B36" s="686">
        <f>B20</f>
        <v>30</v>
      </c>
      <c r="C36" s="320"/>
      <c r="D36" s="320"/>
      <c r="E36" s="320"/>
      <c r="F36" s="320"/>
      <c r="G36" s="320"/>
      <c r="H36" s="350">
        <f>B36</f>
        <v>30</v>
      </c>
      <c r="I36" s="687">
        <f>H36*3</f>
        <v>90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776</v>
      </c>
      <c r="B41" s="915"/>
      <c r="C41" s="915"/>
      <c r="D41" s="915"/>
      <c r="E41" s="915"/>
      <c r="F41" s="915"/>
      <c r="G41" s="915"/>
      <c r="H41" s="915"/>
      <c r="I41" s="915"/>
      <c r="J41" s="175"/>
    </row>
    <row r="42" spans="1:11" ht="20.25" customHeight="1">
      <c r="A42" s="17" t="s">
        <v>778</v>
      </c>
      <c r="B42" s="177"/>
      <c r="C42" s="177"/>
      <c r="D42" s="177"/>
      <c r="E42" s="177"/>
      <c r="F42" s="177"/>
      <c r="G42" s="177"/>
      <c r="H42" s="177"/>
      <c r="I42" s="177"/>
    </row>
    <row r="43" spans="1:11" ht="20.25" customHeight="1">
      <c r="A43" s="17" t="s">
        <v>779</v>
      </c>
      <c r="B43" s="177"/>
      <c r="C43" s="177"/>
      <c r="D43" s="177"/>
      <c r="E43" s="177"/>
      <c r="F43" s="177"/>
      <c r="G43" s="177"/>
      <c r="H43" s="177"/>
      <c r="I43" s="177"/>
    </row>
    <row r="44" spans="1:11" ht="20.25" customHeight="1">
      <c r="A44" s="17" t="s">
        <v>780</v>
      </c>
      <c r="B44" s="177"/>
      <c r="C44" s="177"/>
      <c r="D44" s="177"/>
      <c r="E44" s="177"/>
      <c r="F44" s="177"/>
      <c r="G44" s="177"/>
      <c r="H44" s="177"/>
      <c r="I44" s="177"/>
    </row>
    <row r="45" spans="1:11" ht="20.25" customHeight="1">
      <c r="A45" s="17" t="s">
        <v>781</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FuzpWl93HFMpW/WsnIj6YS19g6neLc2d1gFf89ehbzAg66g1DMwDHs7vDNOFpJe3y5H8E02MgzXL5ItvagzZ2w==" saltValue="BaI0vy5WoHwPHwMWsKh3t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725</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College of Central Florida</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8413</v>
      </c>
      <c r="E10" s="539">
        <f>39*101%</f>
        <v>39.39</v>
      </c>
      <c r="F10" s="540">
        <f t="shared" ref="F10:F15" si="0">+D10-E10</f>
        <v>8373.61</v>
      </c>
      <c r="G10" s="540">
        <f>'EXHIBIT B'!B14</f>
        <v>95.45</v>
      </c>
      <c r="H10" s="541">
        <f>ROUND(+F10*G10,0)</f>
        <v>799261</v>
      </c>
    </row>
    <row r="11" spans="1:9" ht="20.100000000000001" customHeight="1">
      <c r="A11" s="690" t="s">
        <v>194</v>
      </c>
      <c r="B11" s="690" t="s">
        <v>126</v>
      </c>
      <c r="C11" s="691" t="s">
        <v>221</v>
      </c>
      <c r="D11" s="689">
        <v>69832</v>
      </c>
      <c r="E11" s="689">
        <f>6504*102%</f>
        <v>6634.08</v>
      </c>
      <c r="F11" s="692">
        <f t="shared" si="0"/>
        <v>63197.919999999998</v>
      </c>
      <c r="G11" s="692">
        <f>+'EXHIBIT B'!B15</f>
        <v>82.78</v>
      </c>
      <c r="H11" s="693">
        <f t="shared" ref="H11:H15" si="1">ROUND(+F11*G11,0)</f>
        <v>5231524</v>
      </c>
    </row>
    <row r="12" spans="1:9" ht="20.100000000000001" customHeight="1">
      <c r="A12" s="690" t="s">
        <v>194</v>
      </c>
      <c r="B12" s="690" t="s">
        <v>127</v>
      </c>
      <c r="C12" s="691" t="s">
        <v>222</v>
      </c>
      <c r="D12" s="689">
        <v>36565</v>
      </c>
      <c r="E12" s="689">
        <f>1598*102%</f>
        <v>1629.96</v>
      </c>
      <c r="F12" s="692">
        <f t="shared" si="0"/>
        <v>34935.040000000001</v>
      </c>
      <c r="G12" s="692">
        <f>+'EXHIBIT B'!B15</f>
        <v>82.78</v>
      </c>
      <c r="H12" s="693">
        <f t="shared" si="1"/>
        <v>2891923</v>
      </c>
    </row>
    <row r="13" spans="1:9" ht="20.100000000000001" customHeight="1">
      <c r="A13" s="690" t="s">
        <v>194</v>
      </c>
      <c r="B13" s="690" t="s">
        <v>76</v>
      </c>
      <c r="C13" s="691" t="s">
        <v>223</v>
      </c>
      <c r="D13" s="694">
        <v>4515</v>
      </c>
      <c r="E13" s="694">
        <f>857*102%</f>
        <v>874.14</v>
      </c>
      <c r="F13" s="692">
        <f t="shared" si="0"/>
        <v>3640.86</v>
      </c>
      <c r="G13" s="692">
        <f>+'EXHIBIT B'!B16</f>
        <v>73.400000000000006</v>
      </c>
      <c r="H13" s="693">
        <f t="shared" si="1"/>
        <v>267239</v>
      </c>
    </row>
    <row r="14" spans="1:9" ht="20.100000000000001" customHeight="1">
      <c r="A14" s="690" t="s">
        <v>194</v>
      </c>
      <c r="B14" s="690" t="s">
        <v>128</v>
      </c>
      <c r="C14" s="691" t="s">
        <v>224</v>
      </c>
      <c r="D14" s="689">
        <v>4160</v>
      </c>
      <c r="E14" s="689">
        <f>1227*102%</f>
        <v>1251.54</v>
      </c>
      <c r="F14" s="692">
        <f t="shared" si="0"/>
        <v>2908.46</v>
      </c>
      <c r="G14" s="692">
        <f>+'EXHIBIT B'!B15</f>
        <v>82.78</v>
      </c>
      <c r="H14" s="693">
        <f t="shared" si="1"/>
        <v>240762</v>
      </c>
    </row>
    <row r="15" spans="1:9" ht="20.100000000000001" customHeight="1" thickBot="1">
      <c r="A15" s="695" t="s">
        <v>194</v>
      </c>
      <c r="B15" s="695" t="s">
        <v>129</v>
      </c>
      <c r="C15" s="696">
        <v>40160</v>
      </c>
      <c r="D15" s="697">
        <v>0</v>
      </c>
      <c r="E15" s="697">
        <v>0</v>
      </c>
      <c r="F15" s="698">
        <f t="shared" si="0"/>
        <v>0</v>
      </c>
      <c r="G15" s="698">
        <f>+'EXHIBIT B'!B15</f>
        <v>82.78</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123485</v>
      </c>
      <c r="E17" s="302">
        <f>SUM(E10:E15)</f>
        <v>10429.11</v>
      </c>
      <c r="F17" s="303">
        <f>SUM(F10:F15)</f>
        <v>113055.89000000001</v>
      </c>
      <c r="G17" s="303"/>
      <c r="H17" s="304">
        <f>SUM(H10:H15)</f>
        <v>9430709</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0</v>
      </c>
      <c r="E19" s="701">
        <f>'EXHIBIT B'!C29</f>
        <v>353.16</v>
      </c>
      <c r="F19" s="702">
        <f t="shared" ref="F19:F25" si="2">ROUND(+D19*E19,0)</f>
        <v>0</v>
      </c>
      <c r="G19" s="306"/>
      <c r="H19" s="306"/>
    </row>
    <row r="20" spans="1:9" ht="20.100000000000001" customHeight="1">
      <c r="A20" s="641" t="s">
        <v>209</v>
      </c>
      <c r="B20" s="641" t="s">
        <v>126</v>
      </c>
      <c r="C20" s="703" t="s">
        <v>228</v>
      </c>
      <c r="D20" s="710">
        <v>3000</v>
      </c>
      <c r="E20" s="704">
        <f>+'EXHIBIT B'!C30</f>
        <v>248.34</v>
      </c>
      <c r="F20" s="705">
        <f t="shared" si="2"/>
        <v>745020</v>
      </c>
      <c r="G20" s="48"/>
      <c r="H20" s="48"/>
    </row>
    <row r="21" spans="1:9" ht="20.100000000000001" customHeight="1">
      <c r="A21" s="641" t="s">
        <v>209</v>
      </c>
      <c r="B21" s="641" t="s">
        <v>127</v>
      </c>
      <c r="C21" s="703" t="s">
        <v>229</v>
      </c>
      <c r="D21" s="710">
        <v>1550</v>
      </c>
      <c r="E21" s="704">
        <f>+'EXHIBIT B'!C30</f>
        <v>248.34</v>
      </c>
      <c r="F21" s="705">
        <f t="shared" si="2"/>
        <v>384927</v>
      </c>
      <c r="G21" s="48"/>
      <c r="H21" s="48"/>
    </row>
    <row r="22" spans="1:9" ht="20.100000000000001" customHeight="1">
      <c r="A22" s="641" t="s">
        <v>209</v>
      </c>
      <c r="B22" s="641" t="s">
        <v>76</v>
      </c>
      <c r="C22" s="703" t="s">
        <v>230</v>
      </c>
      <c r="D22" s="710">
        <v>22</v>
      </c>
      <c r="E22" s="704">
        <f>+'EXHIBIT B'!C31</f>
        <v>220.19</v>
      </c>
      <c r="F22" s="705">
        <f t="shared" si="2"/>
        <v>4844</v>
      </c>
      <c r="G22" s="48"/>
      <c r="H22" s="48"/>
    </row>
    <row r="23" spans="1:9" ht="20.100000000000001" customHeight="1">
      <c r="A23" s="641" t="s">
        <v>209</v>
      </c>
      <c r="B23" s="641" t="s">
        <v>128</v>
      </c>
      <c r="C23" s="703" t="s">
        <v>231</v>
      </c>
      <c r="D23" s="710">
        <v>650</v>
      </c>
      <c r="E23" s="704">
        <f>+'EXHIBIT B'!C30</f>
        <v>248.34</v>
      </c>
      <c r="F23" s="705">
        <f t="shared" si="2"/>
        <v>161421</v>
      </c>
      <c r="G23" s="48"/>
      <c r="H23" s="48"/>
    </row>
    <row r="24" spans="1:9" ht="20.100000000000001" customHeight="1">
      <c r="A24" s="1057" t="s">
        <v>209</v>
      </c>
      <c r="B24" s="1057" t="s">
        <v>129</v>
      </c>
      <c r="C24" s="1153">
        <v>40360</v>
      </c>
      <c r="D24" s="1154">
        <v>0</v>
      </c>
      <c r="E24" s="1155">
        <f>+'EXHIBIT B'!C30</f>
        <v>248.34</v>
      </c>
      <c r="F24" s="1156">
        <f t="shared" si="2"/>
        <v>0</v>
      </c>
      <c r="G24" s="48"/>
      <c r="H24" s="48"/>
    </row>
    <row r="25" spans="1:9" ht="20.100000000000001" customHeight="1" thickBot="1">
      <c r="A25" s="383" t="s">
        <v>209</v>
      </c>
      <c r="B25" s="383" t="s">
        <v>774</v>
      </c>
      <c r="C25" s="1151" t="s">
        <v>775</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5222</v>
      </c>
      <c r="E27" s="708"/>
      <c r="F27" s="709">
        <f>SUM(F19:F25)</f>
        <v>1296212</v>
      </c>
      <c r="G27" s="310"/>
      <c r="H27" s="310"/>
    </row>
    <row r="28" spans="1:9" ht="20.100000000000001" customHeight="1" thickBot="1">
      <c r="A28" s="311" t="s">
        <v>232</v>
      </c>
      <c r="B28" s="311"/>
      <c r="C28" s="311"/>
      <c r="D28" s="311"/>
      <c r="E28" s="311"/>
      <c r="F28" s="312"/>
      <c r="G28" s="542"/>
      <c r="H28" s="313">
        <f>H17+F27</f>
        <v>10726921</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30</v>
      </c>
      <c r="H33" s="547">
        <f>ROUND(+F33*G33,0)</f>
        <v>0</v>
      </c>
    </row>
    <row r="34" spans="1:8" ht="20.100000000000001" customHeight="1">
      <c r="A34" s="641" t="s">
        <v>238</v>
      </c>
      <c r="B34" s="641" t="s">
        <v>241</v>
      </c>
      <c r="C34" s="703" t="s">
        <v>242</v>
      </c>
      <c r="D34" s="710">
        <f>490*102%</f>
        <v>499.8</v>
      </c>
      <c r="E34" s="710">
        <v>0</v>
      </c>
      <c r="F34" s="704">
        <f>D34-E34</f>
        <v>499.8</v>
      </c>
      <c r="G34" s="704">
        <f>'EXHIBIT B'!B20</f>
        <v>30</v>
      </c>
      <c r="H34" s="705">
        <f>ROUND(+F34*G34,0)</f>
        <v>14994</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499.8</v>
      </c>
      <c r="E37" s="316">
        <f>SUM(E33:E36)</f>
        <v>0</v>
      </c>
      <c r="F37" s="317">
        <f>D37-E37</f>
        <v>499.8</v>
      </c>
      <c r="G37" s="317"/>
      <c r="H37" s="318">
        <f>SUM(H33:H36)</f>
        <v>14994</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30</v>
      </c>
      <c r="F40" s="547">
        <f>D40*E40</f>
        <v>0</v>
      </c>
    </row>
    <row r="41" spans="1:8" ht="20.100000000000001" customHeight="1">
      <c r="A41" s="641" t="s">
        <v>238</v>
      </c>
      <c r="B41" s="641" t="s">
        <v>241</v>
      </c>
      <c r="C41" s="703">
        <v>40390</v>
      </c>
      <c r="D41" s="710">
        <v>0</v>
      </c>
      <c r="E41" s="704">
        <f>'EXHIBIT B'!B36</f>
        <v>30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14994</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10741915</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714</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782</v>
      </c>
      <c r="B55" s="968">
        <v>1250000</v>
      </c>
      <c r="C55" s="1133">
        <v>42110</v>
      </c>
      <c r="D55" s="1134"/>
      <c r="E55" s="970" t="s">
        <v>783</v>
      </c>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1250000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784</v>
      </c>
      <c r="B64" s="969">
        <v>173210</v>
      </c>
      <c r="C64" s="970">
        <v>62910</v>
      </c>
      <c r="D64" s="971"/>
      <c r="E64" s="970">
        <v>49230</v>
      </c>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173210</v>
      </c>
      <c r="C70" s="980"/>
      <c r="D70" s="981"/>
      <c r="E70" s="980"/>
      <c r="F70" s="981"/>
    </row>
    <row r="71" spans="1:6" ht="24.95" customHeight="1" thickBot="1">
      <c r="A71" s="290" t="s">
        <v>257</v>
      </c>
      <c r="B71" s="291">
        <f>+B70+B61</f>
        <v>1423210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T4a0gBbcWLjw7TmP7X3OAJEZVgbe4uLr1z1jvfyzDP/n441ZaJ100+L+81H/1i7ZnlFYYBvo8DGx1FYQRbMj3g==" saltValue="E8zgLxcQxSvh7xfchHTAlw=="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College of Central Florida</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774</v>
      </c>
      <c r="C28" s="420" t="s">
        <v>775</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6wvW9kkbk3KZcvvJKyud1dbkAqYiwJRDiSmA2Riehe7PUfWqCxrmchyojlekJfji6cUPYiNi0xkpK4WSWQkoSw==" saltValue="wPS8CnHItJ6K1QP0tXa90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College of Central Florida</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726</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799261</v>
      </c>
    </row>
    <row r="13" spans="1:8" ht="20.100000000000001" customHeight="1">
      <c r="A13" s="492" t="s">
        <v>194</v>
      </c>
      <c r="B13" s="182"/>
      <c r="C13" s="175" t="s">
        <v>126</v>
      </c>
      <c r="D13" s="182"/>
      <c r="E13" s="182"/>
      <c r="F13" s="187" t="s">
        <v>221</v>
      </c>
      <c r="G13" s="186">
        <f>+'EXHIBIT C'!H11+'EXHIBIT C(2)'!E14</f>
        <v>5231524</v>
      </c>
    </row>
    <row r="14" spans="1:8" ht="20.100000000000001" customHeight="1">
      <c r="A14" s="492" t="s">
        <v>194</v>
      </c>
      <c r="B14" s="182"/>
      <c r="C14" s="182" t="s">
        <v>127</v>
      </c>
      <c r="D14" s="182"/>
      <c r="E14" s="182"/>
      <c r="F14" s="187" t="s">
        <v>222</v>
      </c>
      <c r="G14" s="513">
        <f>+'EXHIBIT C'!H12+'EXHIBIT C(2)'!E15</f>
        <v>2891923</v>
      </c>
    </row>
    <row r="15" spans="1:8" ht="20.100000000000001" customHeight="1">
      <c r="A15" s="492" t="s">
        <v>194</v>
      </c>
      <c r="B15" s="182"/>
      <c r="C15" s="188" t="s">
        <v>274</v>
      </c>
      <c r="D15" s="182"/>
      <c r="E15" s="182"/>
      <c r="F15" s="187" t="s">
        <v>223</v>
      </c>
      <c r="G15" s="513">
        <f>+'EXHIBIT C'!H13+'EXHIBIT C(2)'!E16</f>
        <v>267239</v>
      </c>
    </row>
    <row r="16" spans="1:8" ht="20.100000000000001" customHeight="1">
      <c r="A16" s="492" t="s">
        <v>194</v>
      </c>
      <c r="B16" s="182"/>
      <c r="C16" s="188" t="s">
        <v>275</v>
      </c>
      <c r="D16" s="182"/>
      <c r="E16" s="182"/>
      <c r="F16" s="187" t="s">
        <v>224</v>
      </c>
      <c r="G16" s="514">
        <f>+'EXHIBIT C'!H14+'EXHIBIT C(2)'!E17</f>
        <v>240762</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9430709</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0</v>
      </c>
    </row>
    <row r="22" spans="1:7" ht="20.100000000000001" customHeight="1">
      <c r="A22" s="492" t="s">
        <v>209</v>
      </c>
      <c r="B22" s="182"/>
      <c r="C22" s="175" t="s">
        <v>126</v>
      </c>
      <c r="D22" s="182"/>
      <c r="E22" s="182"/>
      <c r="F22" s="187" t="s">
        <v>228</v>
      </c>
      <c r="G22" s="191">
        <f>+'EXHIBIT C'!F20+'EXHIBIT C(2)'!E23</f>
        <v>745020</v>
      </c>
    </row>
    <row r="23" spans="1:7" ht="20.100000000000001" customHeight="1">
      <c r="A23" s="492" t="s">
        <v>209</v>
      </c>
      <c r="B23" s="182"/>
      <c r="C23" s="182" t="s">
        <v>127</v>
      </c>
      <c r="D23" s="182"/>
      <c r="E23" s="182"/>
      <c r="F23" s="187" t="s">
        <v>229</v>
      </c>
      <c r="G23" s="196">
        <f>+'EXHIBIT C'!F21+'EXHIBIT C(2)'!E24</f>
        <v>384927</v>
      </c>
    </row>
    <row r="24" spans="1:7" ht="20.100000000000001" customHeight="1">
      <c r="A24" s="492" t="s">
        <v>209</v>
      </c>
      <c r="B24" s="182"/>
      <c r="C24" s="188" t="s">
        <v>274</v>
      </c>
      <c r="D24" s="182"/>
      <c r="E24" s="182"/>
      <c r="F24" s="187" t="s">
        <v>230</v>
      </c>
      <c r="G24" s="196">
        <f>+'EXHIBIT C'!F22+'EXHIBIT C(2)'!E25</f>
        <v>4844</v>
      </c>
    </row>
    <row r="25" spans="1:7" ht="20.100000000000001" customHeight="1">
      <c r="A25" s="492" t="s">
        <v>209</v>
      </c>
      <c r="B25" s="182"/>
      <c r="C25" s="188" t="s">
        <v>275</v>
      </c>
      <c r="D25" s="182"/>
      <c r="E25" s="182"/>
      <c r="F25" s="187" t="s">
        <v>231</v>
      </c>
      <c r="G25" s="196">
        <f>+'EXHIBIT C'!F23+'EXHIBIT C(2)'!E26</f>
        <v>161421</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774</v>
      </c>
      <c r="D27" s="182"/>
      <c r="E27" s="182"/>
      <c r="F27" s="185" t="s">
        <v>775</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1296212</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14994</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14994</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10741915</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385000</v>
      </c>
    </row>
    <row r="49" spans="1:7" ht="20.100000000000001" customHeight="1">
      <c r="A49" s="492" t="s">
        <v>289</v>
      </c>
      <c r="C49" s="197"/>
      <c r="D49" s="197"/>
      <c r="E49" s="197"/>
      <c r="F49" s="198" t="s">
        <v>290</v>
      </c>
      <c r="G49" s="442">
        <v>100000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826500</v>
      </c>
    </row>
    <row r="52" spans="1:7" ht="20.100000000000001" customHeight="1">
      <c r="A52" s="492" t="s">
        <v>295</v>
      </c>
      <c r="B52" s="182"/>
      <c r="C52" s="182"/>
      <c r="D52" s="182"/>
      <c r="E52" s="182"/>
      <c r="F52" s="185">
        <v>40450</v>
      </c>
      <c r="G52" s="442">
        <v>625000</v>
      </c>
    </row>
    <row r="53" spans="1:7" ht="20.100000000000001" customHeight="1">
      <c r="A53" s="492" t="s">
        <v>296</v>
      </c>
      <c r="B53" s="182"/>
      <c r="C53" s="182"/>
      <c r="D53" s="182"/>
      <c r="E53" s="182"/>
      <c r="F53" s="187" t="s">
        <v>297</v>
      </c>
      <c r="G53" s="442">
        <v>110000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8230</v>
      </c>
    </row>
    <row r="58" spans="1:7" ht="20.100000000000001" customHeight="1">
      <c r="A58" s="492" t="s">
        <v>306</v>
      </c>
      <c r="B58" s="182"/>
      <c r="C58" s="182"/>
      <c r="D58" s="182"/>
      <c r="E58" s="182"/>
      <c r="F58" s="187" t="s">
        <v>307</v>
      </c>
      <c r="G58" s="442">
        <v>600050</v>
      </c>
    </row>
    <row r="59" spans="1:7" ht="20.100000000000001" customHeight="1">
      <c r="A59" s="492" t="s">
        <v>308</v>
      </c>
      <c r="B59" s="182"/>
      <c r="C59" s="182"/>
      <c r="D59" s="182"/>
      <c r="E59" s="182"/>
      <c r="F59" s="199" t="s">
        <v>309</v>
      </c>
      <c r="G59" s="442">
        <v>26050</v>
      </c>
    </row>
    <row r="60" spans="1:7" ht="20.100000000000001" customHeight="1">
      <c r="A60" s="492" t="s">
        <v>310</v>
      </c>
      <c r="B60" s="182"/>
      <c r="C60" s="182"/>
      <c r="D60" s="182"/>
      <c r="E60" s="182"/>
      <c r="F60" s="187" t="s">
        <v>311</v>
      </c>
      <c r="G60" s="442">
        <v>52050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125000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13599795</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f>518688*103%</f>
        <v>534248.64</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534248.64</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35165545.160336338</v>
      </c>
    </row>
    <row r="77" spans="1:7" ht="20.100000000000001" customHeight="1">
      <c r="A77" s="492" t="s">
        <v>695</v>
      </c>
      <c r="B77" s="182"/>
      <c r="C77" s="182"/>
      <c r="D77" s="182"/>
      <c r="E77" s="182"/>
      <c r="F77" s="185">
        <v>42130</v>
      </c>
      <c r="G77" s="516">
        <v>1049273</v>
      </c>
    </row>
    <row r="78" spans="1:7" ht="20.100000000000001" customHeight="1">
      <c r="A78" s="494" t="s">
        <v>328</v>
      </c>
      <c r="B78" s="495"/>
      <c r="C78" s="495"/>
      <c r="D78" s="495"/>
      <c r="E78" s="495"/>
      <c r="F78" s="201" t="s">
        <v>329</v>
      </c>
      <c r="G78" s="517">
        <v>580642</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713</v>
      </c>
      <c r="B81" s="182"/>
      <c r="C81" s="182"/>
      <c r="D81" s="182"/>
      <c r="E81" s="182"/>
      <c r="F81" s="187" t="s">
        <v>334</v>
      </c>
      <c r="G81" s="516">
        <f>394000*103%</f>
        <v>405820</v>
      </c>
    </row>
    <row r="82" spans="1:10" ht="20.100000000000001" customHeight="1">
      <c r="A82" s="492" t="s">
        <v>335</v>
      </c>
      <c r="B82" s="182"/>
      <c r="C82" s="182"/>
      <c r="D82" s="182"/>
      <c r="E82" s="182"/>
      <c r="F82" s="187" t="s">
        <v>336</v>
      </c>
      <c r="G82" s="515">
        <f>'CHECK SHEET'!D86</f>
        <v>5543604.8396636629</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42744885</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f>93500*103%</f>
        <v>96305</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96305</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f>113690*103%</f>
        <v>117100.7</v>
      </c>
    </row>
    <row r="111" spans="1:7" ht="20.100000000000001" customHeight="1">
      <c r="A111" s="492" t="s">
        <v>362</v>
      </c>
      <c r="B111" s="182"/>
      <c r="C111" s="182"/>
      <c r="D111" s="182"/>
      <c r="E111" s="182"/>
      <c r="F111" s="187" t="s">
        <v>363</v>
      </c>
      <c r="G111" s="443">
        <v>435000</v>
      </c>
    </row>
    <row r="112" spans="1:7" ht="20.100000000000001" customHeight="1">
      <c r="A112" s="492" t="s">
        <v>364</v>
      </c>
      <c r="B112" s="182"/>
      <c r="C112" s="182"/>
      <c r="D112" s="182"/>
      <c r="E112" s="182"/>
      <c r="F112" s="187" t="s">
        <v>365</v>
      </c>
      <c r="G112" s="443">
        <v>788680</v>
      </c>
    </row>
    <row r="113" spans="1:7" ht="20.100000000000001" customHeight="1">
      <c r="A113" s="492" t="s">
        <v>366</v>
      </c>
      <c r="B113" s="182"/>
      <c r="C113" s="182"/>
      <c r="D113" s="182"/>
      <c r="E113" s="182"/>
      <c r="F113" s="187" t="s">
        <v>367</v>
      </c>
      <c r="G113" s="443">
        <v>173935</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1514715.7</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300000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700</v>
      </c>
    </row>
    <row r="127" spans="1:7" ht="20.100000000000001" customHeight="1">
      <c r="A127" s="492" t="s">
        <v>381</v>
      </c>
      <c r="B127" s="182"/>
      <c r="C127" s="182"/>
      <c r="D127" s="182"/>
      <c r="E127" s="182"/>
      <c r="F127" s="187" t="s">
        <v>382</v>
      </c>
      <c r="G127" s="443">
        <v>55000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355700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697</v>
      </c>
      <c r="B134" s="182"/>
      <c r="C134" s="182"/>
      <c r="D134" s="501"/>
      <c r="E134" s="197"/>
      <c r="F134" s="1166">
        <v>49200</v>
      </c>
      <c r="G134" s="443">
        <v>173210</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689</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173210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59018859.340000004</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1429723</v>
      </c>
    </row>
    <row r="148" spans="1:7" ht="20.100000000000001" customHeight="1">
      <c r="A148" s="492" t="s">
        <v>399</v>
      </c>
      <c r="F148" s="187" t="s">
        <v>400</v>
      </c>
      <c r="G148" s="447">
        <v>698098</v>
      </c>
    </row>
    <row r="149" spans="1:7" ht="20.100000000000001" customHeight="1">
      <c r="A149" s="492" t="s">
        <v>401</v>
      </c>
      <c r="F149" s="187" t="s">
        <v>402</v>
      </c>
      <c r="G149" s="447">
        <v>1055843</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9523193</v>
      </c>
    </row>
    <row r="153" spans="1:7" ht="20.100000000000001" customHeight="1">
      <c r="A153" s="492" t="s">
        <v>409</v>
      </c>
      <c r="B153" s="182"/>
      <c r="C153" s="182"/>
      <c r="D153" s="182"/>
      <c r="E153" s="182"/>
      <c r="F153" s="187" t="s">
        <v>410</v>
      </c>
      <c r="G153" s="447">
        <v>2093274</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5499741</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438583</v>
      </c>
    </row>
    <row r="166" spans="1:7" ht="20.100000000000001" customHeight="1">
      <c r="A166" s="492" t="s">
        <v>434</v>
      </c>
      <c r="B166" s="182"/>
      <c r="C166" s="182"/>
      <c r="D166" s="182"/>
      <c r="E166" s="182"/>
      <c r="F166" s="187" t="s">
        <v>435</v>
      </c>
      <c r="G166" s="447">
        <v>100444</v>
      </c>
    </row>
    <row r="167" spans="1:7" ht="20.100000000000001" customHeight="1">
      <c r="A167" s="492" t="s">
        <v>436</v>
      </c>
      <c r="B167" s="182"/>
      <c r="C167" s="182"/>
      <c r="D167" s="182"/>
      <c r="E167" s="182"/>
      <c r="F167" s="187" t="s">
        <v>437</v>
      </c>
      <c r="G167" s="447">
        <v>4712697</v>
      </c>
    </row>
    <row r="168" spans="1:7" ht="20.100000000000001" customHeight="1">
      <c r="A168" s="492" t="s">
        <v>438</v>
      </c>
      <c r="B168" s="182"/>
      <c r="C168" s="182"/>
      <c r="D168" s="182"/>
      <c r="E168" s="182"/>
      <c r="F168" s="187" t="s">
        <v>439</v>
      </c>
      <c r="G168" s="447">
        <v>0</v>
      </c>
    </row>
    <row r="169" spans="1:7" ht="20.100000000000001" customHeight="1">
      <c r="A169" s="492" t="s">
        <v>440</v>
      </c>
      <c r="B169" s="182"/>
      <c r="C169" s="182"/>
      <c r="D169" s="182"/>
      <c r="E169" s="182"/>
      <c r="F169" s="187" t="s">
        <v>441</v>
      </c>
      <c r="G169" s="447">
        <v>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0</v>
      </c>
    </row>
    <row r="172" spans="1:7" ht="20.100000000000001" customHeight="1">
      <c r="A172" s="492" t="s">
        <v>446</v>
      </c>
      <c r="B172" s="182"/>
      <c r="C172" s="182"/>
      <c r="D172" s="182"/>
      <c r="E172" s="182"/>
      <c r="F172" s="185">
        <v>56001</v>
      </c>
      <c r="G172" s="447">
        <v>2893997</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0</v>
      </c>
    </row>
    <row r="178" spans="1:7" ht="20.100000000000001" customHeight="1">
      <c r="A178" s="492" t="s">
        <v>455</v>
      </c>
      <c r="B178" s="182"/>
      <c r="C178" s="182"/>
      <c r="D178" s="182"/>
      <c r="E178" s="182"/>
      <c r="F178" s="187" t="s">
        <v>456</v>
      </c>
      <c r="G178" s="447">
        <v>2256423</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261720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1970860</v>
      </c>
    </row>
    <row r="186" spans="1:7" ht="20.100000000000001" customHeight="1">
      <c r="A186" s="492" t="s">
        <v>471</v>
      </c>
      <c r="B186" s="182"/>
      <c r="C186" s="182"/>
      <c r="D186" s="182"/>
      <c r="E186" s="182"/>
      <c r="F186" s="187" t="s">
        <v>472</v>
      </c>
      <c r="G186" s="447">
        <v>3404565</v>
      </c>
    </row>
    <row r="187" spans="1:7" ht="20.100000000000001" customHeight="1">
      <c r="A187" s="492" t="s">
        <v>473</v>
      </c>
      <c r="B187" s="182"/>
      <c r="C187" s="182"/>
      <c r="D187" s="182"/>
      <c r="E187" s="182"/>
      <c r="F187" s="187" t="s">
        <v>474</v>
      </c>
      <c r="G187" s="447">
        <v>10000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27400</v>
      </c>
    </row>
    <row r="191" spans="1:7" ht="20.100000000000001" customHeight="1">
      <c r="A191" s="492" t="s">
        <v>480</v>
      </c>
      <c r="B191" s="182"/>
      <c r="C191" s="182"/>
      <c r="D191" s="182"/>
      <c r="E191" s="182"/>
      <c r="F191" s="187" t="s">
        <v>481</v>
      </c>
      <c r="G191" s="447">
        <v>3191780</v>
      </c>
    </row>
    <row r="192" spans="1:7" ht="20.100000000000001" customHeight="1">
      <c r="A192" s="492" t="s">
        <v>482</v>
      </c>
      <c r="B192" s="182"/>
      <c r="C192" s="182"/>
      <c r="D192" s="182"/>
      <c r="E192" s="182"/>
      <c r="F192" s="187" t="s">
        <v>483</v>
      </c>
      <c r="G192" s="447">
        <v>43800</v>
      </c>
    </row>
    <row r="193" spans="1:7" ht="20.100000000000001" customHeight="1">
      <c r="A193" s="492" t="s">
        <v>484</v>
      </c>
      <c r="B193" s="182"/>
      <c r="C193" s="182"/>
      <c r="D193" s="182"/>
      <c r="E193" s="182"/>
      <c r="F193" s="187" t="s">
        <v>485</v>
      </c>
      <c r="G193" s="447">
        <v>1272396</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40884537</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507084</v>
      </c>
    </row>
    <row r="200" spans="1:7" ht="20.100000000000001" customHeight="1">
      <c r="A200" s="492" t="s">
        <v>490</v>
      </c>
      <c r="B200" s="182"/>
      <c r="C200" s="182"/>
      <c r="D200" s="182"/>
      <c r="E200" s="182"/>
      <c r="F200" s="187" t="s">
        <v>491</v>
      </c>
      <c r="G200" s="447">
        <v>102838</v>
      </c>
    </row>
    <row r="201" spans="1:7" ht="20.100000000000001" customHeight="1">
      <c r="A201" s="492" t="s">
        <v>492</v>
      </c>
      <c r="B201" s="182"/>
      <c r="C201" s="182"/>
      <c r="D201" s="182"/>
      <c r="E201" s="182"/>
      <c r="F201" s="187" t="s">
        <v>493</v>
      </c>
      <c r="G201" s="447">
        <v>365387</v>
      </c>
    </row>
    <row r="202" spans="1:7" ht="20.100000000000001" customHeight="1">
      <c r="A202" s="492" t="s">
        <v>494</v>
      </c>
      <c r="B202" s="182"/>
      <c r="C202" s="182"/>
      <c r="D202" s="182"/>
      <c r="E202" s="182"/>
      <c r="F202" s="187" t="s">
        <v>495</v>
      </c>
      <c r="G202" s="447">
        <v>152720</v>
      </c>
    </row>
    <row r="203" spans="1:7" ht="20.100000000000001" customHeight="1">
      <c r="A203" s="492" t="s">
        <v>496</v>
      </c>
      <c r="B203" s="182"/>
      <c r="C203" s="182"/>
      <c r="D203" s="182"/>
      <c r="E203" s="182"/>
      <c r="F203" s="187" t="s">
        <v>497</v>
      </c>
      <c r="G203" s="447">
        <v>2758233</v>
      </c>
    </row>
    <row r="204" spans="1:7" ht="20.100000000000001" customHeight="1">
      <c r="A204" s="492" t="s">
        <v>498</v>
      </c>
      <c r="B204" s="182"/>
      <c r="C204" s="182"/>
      <c r="D204" s="182"/>
      <c r="E204" s="182"/>
      <c r="F204" s="187" t="s">
        <v>499</v>
      </c>
      <c r="G204" s="447">
        <v>298034</v>
      </c>
    </row>
    <row r="205" spans="1:7" ht="20.100000000000001" customHeight="1">
      <c r="A205" s="492" t="s">
        <v>688</v>
      </c>
      <c r="B205" s="182"/>
      <c r="C205" s="182"/>
      <c r="D205" s="182"/>
      <c r="E205" s="182"/>
      <c r="F205" s="1006">
        <v>63100</v>
      </c>
      <c r="G205" s="447">
        <v>0</v>
      </c>
    </row>
    <row r="206" spans="1:7" ht="20.100000000000001" customHeight="1">
      <c r="A206" s="492" t="s">
        <v>500</v>
      </c>
      <c r="B206" s="182"/>
      <c r="C206" s="182"/>
      <c r="D206" s="182"/>
      <c r="E206" s="182"/>
      <c r="F206" s="187" t="s">
        <v>501</v>
      </c>
      <c r="G206" s="447">
        <v>1270357</v>
      </c>
    </row>
    <row r="207" spans="1:7" ht="20.100000000000001" customHeight="1">
      <c r="A207" s="492" t="s">
        <v>502</v>
      </c>
      <c r="B207" s="182"/>
      <c r="C207" s="182"/>
      <c r="D207" s="182"/>
      <c r="E207" s="182"/>
      <c r="F207" s="187" t="s">
        <v>503</v>
      </c>
      <c r="G207" s="447">
        <v>2643136</v>
      </c>
    </row>
    <row r="208" spans="1:7" ht="20.100000000000001" customHeight="1">
      <c r="A208" s="492" t="s">
        <v>504</v>
      </c>
      <c r="B208" s="182"/>
      <c r="C208" s="182"/>
      <c r="D208" s="182"/>
      <c r="E208" s="182"/>
      <c r="F208" s="187" t="s">
        <v>505</v>
      </c>
      <c r="G208" s="447">
        <v>3802739</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678428</v>
      </c>
    </row>
    <row r="212" spans="1:7" ht="20.100000000000001" customHeight="1">
      <c r="A212" s="492" t="s">
        <v>511</v>
      </c>
      <c r="B212" s="182"/>
      <c r="C212" s="182"/>
      <c r="D212" s="182"/>
      <c r="E212" s="182"/>
      <c r="F212" s="187" t="s">
        <v>512</v>
      </c>
      <c r="G212" s="447">
        <v>1074067</v>
      </c>
    </row>
    <row r="213" spans="1:7" ht="20.100000000000001" customHeight="1">
      <c r="A213" s="492" t="s">
        <v>513</v>
      </c>
      <c r="F213" s="205" t="s">
        <v>514</v>
      </c>
      <c r="G213" s="447">
        <v>58061</v>
      </c>
    </row>
    <row r="214" spans="1:7" ht="20.100000000000001" customHeight="1">
      <c r="A214" s="492" t="s">
        <v>515</v>
      </c>
      <c r="B214" s="182"/>
      <c r="C214" s="182"/>
      <c r="D214" s="182"/>
      <c r="E214" s="182"/>
      <c r="F214" s="187" t="s">
        <v>516</v>
      </c>
      <c r="G214" s="447">
        <v>164070</v>
      </c>
    </row>
    <row r="215" spans="1:7" ht="20.100000000000001" customHeight="1">
      <c r="A215" s="492" t="s">
        <v>517</v>
      </c>
      <c r="B215" s="182"/>
      <c r="C215" s="182"/>
      <c r="D215" s="182"/>
      <c r="E215" s="182"/>
      <c r="F215" s="187" t="s">
        <v>518</v>
      </c>
      <c r="G215" s="447">
        <v>406560</v>
      </c>
    </row>
    <row r="216" spans="1:7" ht="20.100000000000001" customHeight="1">
      <c r="A216" s="492" t="s">
        <v>519</v>
      </c>
      <c r="B216" s="182"/>
      <c r="C216" s="182"/>
      <c r="D216" s="182"/>
      <c r="E216" s="182"/>
      <c r="F216" s="187" t="s">
        <v>520</v>
      </c>
      <c r="G216" s="447">
        <v>128300</v>
      </c>
    </row>
    <row r="217" spans="1:7" ht="20.100000000000001" customHeight="1">
      <c r="A217" s="492" t="s">
        <v>521</v>
      </c>
      <c r="B217" s="182"/>
      <c r="C217" s="182"/>
      <c r="D217" s="182"/>
      <c r="E217" s="182"/>
      <c r="F217" s="203" t="s">
        <v>522</v>
      </c>
      <c r="G217" s="447">
        <v>2300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37600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698</v>
      </c>
      <c r="B223" s="182"/>
      <c r="C223" s="182"/>
      <c r="D223" s="211"/>
      <c r="E223" s="182"/>
      <c r="F223" s="1097">
        <v>69100</v>
      </c>
      <c r="G223" s="447">
        <v>0</v>
      </c>
    </row>
    <row r="224" spans="1:7" ht="20.100000000000001" customHeight="1">
      <c r="A224" s="503" t="s">
        <v>699</v>
      </c>
      <c r="B224" s="212"/>
      <c r="C224" s="212"/>
      <c r="D224" s="213"/>
      <c r="E224" s="212"/>
      <c r="F224" s="1096">
        <v>69200</v>
      </c>
      <c r="G224" s="447">
        <v>1250000</v>
      </c>
    </row>
    <row r="225" spans="1:9" ht="20.100000000000001" customHeight="1">
      <c r="A225" s="492" t="s">
        <v>533</v>
      </c>
      <c r="B225" s="182"/>
      <c r="C225" s="182"/>
      <c r="D225" s="182"/>
      <c r="E225" s="182"/>
      <c r="F225" s="187" t="s">
        <v>534</v>
      </c>
      <c r="G225" s="447">
        <v>439507</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1339695</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17479116</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v>0</v>
      </c>
    </row>
    <row r="236" spans="1:9" ht="20.100000000000001" customHeight="1">
      <c r="A236" s="492" t="s">
        <v>546</v>
      </c>
      <c r="B236" s="182"/>
      <c r="C236" s="182"/>
      <c r="D236" s="182"/>
      <c r="E236" s="182"/>
      <c r="F236" s="1052" t="s">
        <v>547</v>
      </c>
      <c r="G236" s="447">
        <v>1105206</v>
      </c>
    </row>
    <row r="237" spans="1:9" ht="20.100000000000001" customHeight="1">
      <c r="A237" s="492" t="s">
        <v>690</v>
      </c>
      <c r="B237" s="182"/>
      <c r="C237" s="182"/>
      <c r="D237" s="182"/>
      <c r="E237" s="182"/>
      <c r="F237" s="1052">
        <v>73001</v>
      </c>
      <c r="G237" s="447">
        <v>0</v>
      </c>
    </row>
    <row r="238" spans="1:9" ht="20.100000000000001" customHeight="1">
      <c r="A238" s="492" t="s">
        <v>691</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687</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750000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1855206</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60218859</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23338807</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23338807</v>
      </c>
    </row>
    <row r="264" spans="1:12" ht="20.100000000000001" customHeight="1">
      <c r="A264" s="493"/>
      <c r="B264" s="182"/>
      <c r="C264" s="182"/>
      <c r="D264" s="182"/>
      <c r="E264" s="182"/>
      <c r="F264" s="199"/>
      <c r="G264" s="215"/>
    </row>
    <row r="265" spans="1:12" ht="20.100000000000001" customHeight="1" thickBot="1">
      <c r="A265" s="504" t="s">
        <v>772</v>
      </c>
      <c r="F265" s="205">
        <v>30800</v>
      </c>
      <c r="G265" s="448">
        <v>-23153259</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185548</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xejrB8tR1isMRsmQmvZ3fNkJyCauzQeJdUdXK11tZwrUjlLCR4IkS36fpSXTNFZ6LFd5nCTBB4hupP4EUzvSsg==" saltValue="kjnvVXdiU2g+NXVLocmwi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4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6:H246 B245:F245 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67</vt:i4>
      </vt:variant>
    </vt:vector>
  </HeadingPairs>
  <TitlesOfParts>
    <vt:vector size="81"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College_G</vt:lpstr>
      <vt:lpstr>CURRENT_EXPENSE_______GLC_600S</vt:lpstr>
      <vt:lpstr>CURRENT_FUNDS___UNRESTRICTED_LOWER_AND_UPPER_LEVEL</vt:lpstr>
      <vt:lpstr>DISCIPLINE</vt:lpstr>
      <vt:lpstr>Discipline_C</vt:lpstr>
      <vt:lpstr>ESTIMATED_FUND_BALANCE___JUNE_30__2024</vt:lpstr>
      <vt:lpstr>FEE_EXEMPT__DUAL_ENROLLMENT____APPRENTICESHIP__ETC.</vt:lpstr>
      <vt:lpstr>FUNCTION</vt:lpstr>
      <vt:lpstr>GENERAL__LEDGER_CODE</vt:lpstr>
      <vt:lpstr>GENERAL_LEDGER_CODE</vt:lpstr>
      <vt:lpstr>GLCode</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Student_Tuition_D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2024-06-27T16:21:55Z</cp:lastPrinted>
  <dcterms:created xsi:type="dcterms:W3CDTF">2005-03-22T15:46:43Z</dcterms:created>
  <dcterms:modified xsi:type="dcterms:W3CDTF">2024-08-19T16:34:41Z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