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J:\Finance\FCS Finance Website\2023-24 Reports\"/>
    </mc:Choice>
  </mc:AlternateContent>
  <xr:revisionPtr revIDLastSave="0" documentId="8_{7F793FB2-D4A3-4D1C-8671-7276C0B560DA}" xr6:coauthVersionLast="47" xr6:coauthVersionMax="47" xr10:uidLastSave="{00000000-0000-0000-0000-000000000000}"/>
  <bookViews>
    <workbookView xWindow="-120" yWindow="-120" windowWidth="29040" windowHeight="15840" tabRatio="769" firstSheet="1" activeTab="3" xr2:uid="{00000000-000D-0000-FFFF-FFFF00000000}"/>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s="1"/>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c r="G32" i="7"/>
  <c r="F35" i="6"/>
  <c r="G35" i="6"/>
  <c r="E19" i="6"/>
  <c r="F19" i="6"/>
  <c r="G21" i="7" s="1"/>
  <c r="E20" i="6"/>
  <c r="F20" i="6"/>
  <c r="E21" i="6"/>
  <c r="F21" i="6"/>
  <c r="G23" i="7" s="1"/>
  <c r="E22" i="6"/>
  <c r="F22" i="6" s="1"/>
  <c r="G24" i="7" s="1"/>
  <c r="E23" i="6"/>
  <c r="F23" i="6"/>
  <c r="G25" i="7"/>
  <c r="E24" i="6"/>
  <c r="F24" i="6" s="1"/>
  <c r="G26" i="7" s="1"/>
  <c r="B34" i="5"/>
  <c r="E39" i="6"/>
  <c r="F39" i="6" s="1"/>
  <c r="B35" i="5"/>
  <c r="E40" i="6"/>
  <c r="F40" i="6" s="1"/>
  <c r="G38" i="7" s="1"/>
  <c r="B37" i="5"/>
  <c r="E41" i="6"/>
  <c r="F41" i="6"/>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s="1"/>
  <c r="D65" i="22"/>
  <c r="D67" i="22" s="1"/>
  <c r="D59" i="22"/>
  <c r="D60" i="22" s="1"/>
  <c r="B52" i="22"/>
  <c r="E33" i="22"/>
  <c r="E34" i="22"/>
  <c r="D33" i="22"/>
  <c r="D34" i="22" s="1"/>
  <c r="D26" i="22"/>
  <c r="D38" i="22"/>
  <c r="C38" i="22"/>
  <c r="E15" i="22"/>
  <c r="D15" i="22"/>
  <c r="B46" i="22"/>
  <c r="E26" i="22"/>
  <c r="E59" i="22"/>
  <c r="E61" i="22"/>
  <c r="E38" i="22"/>
  <c r="B29" i="5"/>
  <c r="H14" i="5"/>
  <c r="G246" i="7"/>
  <c r="E15" i="8"/>
  <c r="E36" i="6"/>
  <c r="F36" i="6" s="1"/>
  <c r="D36" i="6"/>
  <c r="D43" i="6"/>
  <c r="D26" i="6"/>
  <c r="E17" i="6"/>
  <c r="G20" i="5"/>
  <c r="H20" i="5"/>
  <c r="G19" i="5"/>
  <c r="H19" i="5"/>
  <c r="G22" i="5"/>
  <c r="H22" i="5"/>
  <c r="G23" i="5"/>
  <c r="H23" i="5" s="1"/>
  <c r="E20" i="12"/>
  <c r="E29" i="12"/>
  <c r="E30" i="12"/>
  <c r="G194" i="7"/>
  <c r="C93" i="3" s="1"/>
  <c r="D21" i="8"/>
  <c r="E59" i="3"/>
  <c r="C94" i="12"/>
  <c r="B31" i="5"/>
  <c r="H31" i="5"/>
  <c r="I31" i="5"/>
  <c r="B30" i="5"/>
  <c r="G16" i="5"/>
  <c r="H16" i="5" s="1"/>
  <c r="G15" i="5"/>
  <c r="H15" i="5" s="1"/>
  <c r="D96" i="8"/>
  <c r="C96" i="8"/>
  <c r="B69" i="6"/>
  <c r="C75" i="3" s="1"/>
  <c r="C74" i="3"/>
  <c r="E60" i="3"/>
  <c r="E61" i="3"/>
  <c r="E62" i="3"/>
  <c r="E63" i="3"/>
  <c r="E64" i="3"/>
  <c r="B21" i="8"/>
  <c r="C21" i="8"/>
  <c r="E10" i="8"/>
  <c r="E12" i="8"/>
  <c r="E16" i="8"/>
  <c r="E17" i="8"/>
  <c r="E18" i="8"/>
  <c r="E19" i="8"/>
  <c r="E20" i="8"/>
  <c r="E36" i="4"/>
  <c r="C109" i="3" s="1"/>
  <c r="D33" i="4"/>
  <c r="B60" i="6"/>
  <c r="C78" i="3" s="1"/>
  <c r="E16" i="4"/>
  <c r="G262" i="7"/>
  <c r="G266" i="7" s="1"/>
  <c r="C102" i="3" s="1"/>
  <c r="E67" i="22"/>
  <c r="E14" i="8"/>
  <c r="G228" i="7"/>
  <c r="X139" i="23"/>
  <c r="E60" i="22"/>
  <c r="H35" i="6"/>
  <c r="G33" i="7" s="1"/>
  <c r="H33" i="6"/>
  <c r="G31" i="7" s="1"/>
  <c r="H34" i="5"/>
  <c r="I34" i="5" s="1"/>
  <c r="E62" i="22"/>
  <c r="H38" i="5"/>
  <c r="I38" i="5"/>
  <c r="H30" i="5"/>
  <c r="I30" i="5" s="1"/>
  <c r="G22" i="7"/>
  <c r="H37" i="5"/>
  <c r="I37" i="5"/>
  <c r="D17" i="6"/>
  <c r="F12" i="6"/>
  <c r="H12" i="6"/>
  <c r="G14" i="7"/>
  <c r="F11" i="6"/>
  <c r="H11" i="6"/>
  <c r="G13" i="7" s="1"/>
  <c r="F14" i="6"/>
  <c r="H14" i="6" s="1"/>
  <c r="G16" i="7" s="1"/>
  <c r="H13" i="6"/>
  <c r="G15" i="7" s="1"/>
  <c r="F15" i="6"/>
  <c r="E49" i="3"/>
  <c r="F10" i="6"/>
  <c r="E44" i="3" s="1"/>
  <c r="E47" i="3"/>
  <c r="E46" i="3"/>
  <c r="E45" i="3"/>
  <c r="H15" i="6"/>
  <c r="G17" i="7" s="1"/>
  <c r="G30" i="7" l="1"/>
  <c r="H36" i="6"/>
  <c r="G37" i="7"/>
  <c r="F43" i="6"/>
  <c r="H44" i="6" s="1"/>
  <c r="D66" i="22"/>
  <c r="C95" i="3"/>
  <c r="E48" i="3"/>
  <c r="E68" i="22"/>
  <c r="D61" i="22"/>
  <c r="H29" i="5"/>
  <c r="I29" i="5" s="1"/>
  <c r="H10" i="6"/>
  <c r="E69" i="22"/>
  <c r="D62" i="22"/>
  <c r="F17" i="6"/>
  <c r="E50" i="3" s="1"/>
  <c r="B70" i="6"/>
  <c r="E21" i="8"/>
  <c r="C77" i="3"/>
  <c r="E65" i="3"/>
  <c r="G75" i="7"/>
  <c r="G85" i="7" s="1"/>
  <c r="D88" i="3"/>
  <c r="F111" i="15"/>
  <c r="G248" i="7"/>
  <c r="G35" i="7"/>
  <c r="T111" i="23"/>
  <c r="C94" i="3"/>
  <c r="C103" i="3"/>
  <c r="G28" i="7"/>
  <c r="G42" i="7"/>
  <c r="H17" i="6"/>
  <c r="F26" i="6"/>
  <c r="H27" i="6" s="1"/>
  <c r="H46" i="6" s="1"/>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E25" i="4" l="1"/>
  <c r="E28" i="4" s="1"/>
  <c r="D68" i="22"/>
  <c r="D69" i="22"/>
  <c r="D70" i="22"/>
  <c r="G12" i="7"/>
  <c r="G19" i="7" s="1"/>
  <c r="G44" i="7" s="1"/>
  <c r="G63" i="7" s="1"/>
  <c r="G142" i="7" s="1"/>
  <c r="D118" i="15"/>
  <c r="D129" i="15"/>
  <c r="D131" i="15"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<sst xmlns="http://schemas.openxmlformats.org/spreadsheetml/2006/main" count="1347" uniqueCount="781">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</sst>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7"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4" borderId="251" xfId="0" applyNumberFormat="1" applyFont="1" applyFill="1" applyBorder="1" applyAlignment="1">
      <alignment horizontal="right"/>
    </xf>
    <xf numFmtId="5" fontId="130" fillId="74"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4"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4" borderId="239"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4"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4" borderId="259" xfId="0" applyNumberFormat="1" applyFont="1" applyFill="1" applyBorder="1"/>
    <xf numFmtId="37" fontId="100" fillId="74"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5" xfId="0" applyNumberFormat="1" applyFont="1" applyFill="1" applyBorder="1"/>
    <xf numFmtId="37" fontId="100" fillId="24" borderId="255" xfId="0" applyNumberFormat="1" applyFont="1" applyFill="1" applyBorder="1"/>
    <xf numFmtId="5" fontId="108" fillId="74"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5" borderId="268" xfId="0" applyFont="1" applyFill="1" applyBorder="1"/>
    <xf numFmtId="0" fontId="106" fillId="0" borderId="272" xfId="0" applyFont="1" applyBorder="1"/>
    <xf numFmtId="0" fontId="106" fillId="75"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8" borderId="43" xfId="0" applyFont="1" applyFill="1" applyBorder="1"/>
    <xf numFmtId="0" fontId="72" fillId="78" borderId="214" xfId="0" applyFont="1" applyFill="1" applyBorder="1"/>
    <xf numFmtId="0" fontId="72" fillId="78" borderId="217" xfId="0" applyFont="1" applyFill="1" applyBorder="1"/>
    <xf numFmtId="0" fontId="72" fillId="78"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1"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79" borderId="17" xfId="0" applyFont="1" applyFill="1" applyBorder="1" applyAlignment="1">
      <alignment horizontal="centerContinuous" wrapText="1"/>
    </xf>
    <xf numFmtId="0" fontId="181"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5" xfId="0" applyNumberFormat="1" applyFont="1" applyBorder="1" applyAlignment="1">
      <alignment horizontal="right"/>
    </xf>
    <xf numFmtId="37" fontId="76"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561975</xdr:colOff>
          <xdr:row>8</xdr:row>
          <xdr:rowOff>66675</xdr:rowOff>
        </xdr:from>
        <xdr:to>
          <xdr:col>0</xdr:col>
          <xdr:colOff>6391275</xdr:colOff>
          <xdr:row>53</xdr:row>
          <xdr:rowOff>47625</xdr:rowOff>
        </xdr:to>
        <xdr:sp macro="" textlink="">
          <xdr:nvSpPr>
            <xdr:cNvPr id="1026" name="Object 2" descr="2023-24 Annual Operating Budget Instructions"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180975</xdr:colOff>
          <xdr:row>7</xdr:row>
          <xdr:rowOff>66675</xdr:rowOff>
        </xdr:from>
        <xdr:to>
          <xdr:col>2</xdr:col>
          <xdr:colOff>171450</xdr:colOff>
          <xdr:row>54</xdr:row>
          <xdr:rowOff>0</xdr:rowOff>
        </xdr:to>
        <xdr:sp macro="" textlink="">
          <xdr:nvSpPr>
            <xdr:cNvPr id="38914" name="Object 2" descr="Exhibit F Sample Letter" hidden="1">
              <a:extLst>
                <a:ext uri="{63B3BB69-23CF-44E3-9099-C40C66FF867C}">
                  <a14:compatExt spid="_x0000_s38914"/>
                </a:ext>
                <a:ext uri="{FF2B5EF4-FFF2-40B4-BE49-F238E27FC236}">
                  <a16:creationId xmlns:a16="http://schemas.microsoft.com/office/drawing/2014/main" id="{00000000-0008-0000-0A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2</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10" sqref="B10"/>
    </sheetView>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2" t="s">
        <v>178</v>
      </c>
      <c r="B3" s="931" t="str">
        <f>'CHECK SHEET'!D7</f>
        <v>COLLEGE NAME</v>
      </c>
      <c r="C3" s="931"/>
      <c r="D3" s="931"/>
      <c r="E3" s="931"/>
      <c r="F3" s="285"/>
      <c r="G3" s="333"/>
    </row>
    <row r="4" spans="1:8" ht="24" customHeight="1">
      <c r="A4" s="928" t="s">
        <v>580</v>
      </c>
      <c r="B4" s="928"/>
      <c r="C4" s="928"/>
      <c r="D4" s="928"/>
      <c r="E4" s="928"/>
      <c r="F4" s="285"/>
    </row>
    <row r="5" spans="1:8" ht="24" customHeight="1">
      <c r="A5" s="928" t="s">
        <v>581</v>
      </c>
      <c r="B5" s="928"/>
      <c r="C5" s="928"/>
      <c r="D5" s="928"/>
      <c r="E5" s="928"/>
      <c r="F5" s="285"/>
    </row>
    <row r="6" spans="1:8" ht="24" customHeight="1">
      <c r="A6" s="928" t="s">
        <v>717</v>
      </c>
      <c r="B6" s="928"/>
      <c r="C6" s="928"/>
      <c r="D6" s="928"/>
      <c r="E6" s="928"/>
      <c r="F6" s="285"/>
    </row>
    <row r="7" spans="1:8" ht="20.100000000000001" customHeight="1">
      <c r="A7" s="857"/>
      <c r="B7" s="857"/>
      <c r="C7" s="857"/>
      <c r="D7" s="933"/>
      <c r="E7" s="933"/>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0</v>
      </c>
      <c r="C10" s="456">
        <v>0</v>
      </c>
      <c r="D10" s="456">
        <v>0</v>
      </c>
      <c r="E10" s="371">
        <f>SUM(B10:D10)</f>
        <v>0</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0</v>
      </c>
      <c r="C14" s="458">
        <v>0</v>
      </c>
      <c r="D14" s="458">
        <v>0</v>
      </c>
      <c r="E14" s="372">
        <f t="shared" ref="E14:E20" si="0">SUM(B14:D14)</f>
        <v>0</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0</v>
      </c>
      <c r="C16" s="446">
        <v>0</v>
      </c>
      <c r="D16" s="446">
        <v>0</v>
      </c>
      <c r="E16" s="372">
        <f t="shared" si="0"/>
        <v>0</v>
      </c>
      <c r="F16" s="354"/>
    </row>
    <row r="17" spans="1:6" s="17" customFormat="1" ht="20.100000000000001" customHeight="1">
      <c r="A17" s="370" t="s">
        <v>594</v>
      </c>
      <c r="B17" s="457">
        <v>0</v>
      </c>
      <c r="C17" s="446">
        <v>0</v>
      </c>
      <c r="D17" s="446">
        <v>0</v>
      </c>
      <c r="E17" s="372">
        <f t="shared" si="0"/>
        <v>0</v>
      </c>
      <c r="F17" s="354"/>
    </row>
    <row r="18" spans="1:6" s="17" customFormat="1" ht="20.100000000000001" customHeight="1">
      <c r="A18" s="370" t="s">
        <v>595</v>
      </c>
      <c r="B18" s="457">
        <v>0</v>
      </c>
      <c r="C18" s="446">
        <v>0</v>
      </c>
      <c r="D18" s="446">
        <v>0</v>
      </c>
      <c r="E18" s="372">
        <f t="shared" si="0"/>
        <v>0</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0</v>
      </c>
      <c r="C21" s="358">
        <f>SUM(C10:C20)</f>
        <v>0</v>
      </c>
      <c r="D21" s="358">
        <f>SUM(D10:D20)</f>
        <v>0</v>
      </c>
      <c r="E21" s="357">
        <f>SUM(E10:E20)</f>
        <v>0</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4" r:id="rId4">
          <objectPr defaultSize="0" altText="Exhibit F Sample Letter" r:id="rId5">
            <anchor moveWithCells="1">
              <from>
                <xdr:col>0</xdr:col>
                <xdr:colOff>180975</xdr:colOff>
                <xdr:row>7</xdr:row>
                <xdr:rowOff>66675</xdr:rowOff>
              </from>
              <to>
                <xdr:col>2</xdr:col>
                <xdr:colOff>171450</xdr:colOff>
                <xdr:row>54</xdr:row>
                <xdr:rowOff>0</xdr:rowOff>
              </to>
            </anchor>
          </objectPr>
        </oleObject>
      </mc:Choice>
      <mc:Fallback>
        <oleObject progId="Acrobat.Document.DC" shapeId="38914"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election activeCell="D10" sqref="D10"/>
    </sheetView>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8" t="s">
        <v>178</v>
      </c>
      <c r="B1" s="946" t="str">
        <f>'CHECK SHEET'!D7</f>
        <v>COLLEGE NAME</v>
      </c>
      <c r="C1" s="946"/>
      <c r="D1" s="946"/>
      <c r="E1" s="946"/>
      <c r="F1" s="946"/>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7" t="s">
        <v>601</v>
      </c>
      <c r="B2" s="947"/>
      <c r="C2" s="947"/>
      <c r="D2" s="947"/>
      <c r="E2" s="947"/>
      <c r="F2" s="947"/>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8" t="s">
        <v>602</v>
      </c>
      <c r="B3" s="928"/>
      <c r="C3" s="928"/>
      <c r="D3" s="928"/>
      <c r="E3" s="928"/>
      <c r="F3" s="928"/>
    </row>
    <row r="4" spans="1:224" ht="30" customHeight="1">
      <c r="A4" s="947" t="s">
        <v>717</v>
      </c>
      <c r="B4" s="947"/>
      <c r="C4" s="947"/>
      <c r="D4" s="947"/>
      <c r="E4" s="947"/>
      <c r="F4" s="947"/>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7" t="s">
        <v>603</v>
      </c>
      <c r="B8" s="1008"/>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0</v>
      </c>
      <c r="E15" s="773">
        <v>0</v>
      </c>
      <c r="F15" s="774">
        <f t="shared" si="0"/>
        <v>0</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0</v>
      </c>
      <c r="E48" s="773">
        <v>0</v>
      </c>
      <c r="F48" s="774">
        <f t="shared" si="0"/>
        <v>0</v>
      </c>
    </row>
    <row r="49" spans="1:6" s="17" customFormat="1" ht="30" customHeight="1">
      <c r="A49" s="770" t="s">
        <v>478</v>
      </c>
      <c r="B49" s="771"/>
      <c r="C49" s="772" t="s">
        <v>479</v>
      </c>
      <c r="D49" s="773">
        <v>0</v>
      </c>
      <c r="E49" s="773">
        <v>0</v>
      </c>
      <c r="F49" s="774">
        <f t="shared" si="0"/>
        <v>0</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0</v>
      </c>
      <c r="E54" s="773">
        <v>0</v>
      </c>
      <c r="F54" s="774">
        <f t="shared" si="0"/>
        <v>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0</v>
      </c>
      <c r="E57" s="270">
        <f>SUM(E10:E56)</f>
        <v>0</v>
      </c>
      <c r="F57" s="270">
        <f t="shared" si="0"/>
        <v>0</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7" t="s">
        <v>603</v>
      </c>
      <c r="B62" s="1008"/>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0</v>
      </c>
      <c r="E64" s="459">
        <v>0</v>
      </c>
      <c r="F64" s="236">
        <f t="shared" si="0"/>
        <v>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39" t="s">
        <v>697</v>
      </c>
      <c r="B70" s="771"/>
      <c r="C70" s="1036">
        <v>63100</v>
      </c>
      <c r="D70" s="1037">
        <v>0</v>
      </c>
      <c r="E70" s="1037">
        <v>0</v>
      </c>
      <c r="F70" s="1038">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0</v>
      </c>
      <c r="E77" s="773">
        <v>0</v>
      </c>
      <c r="F77" s="774">
        <f t="shared" si="1"/>
        <v>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0</v>
      </c>
      <c r="E93" s="266">
        <f>SUM(E64:E92)</f>
        <v>0</v>
      </c>
      <c r="F93" s="266">
        <f t="shared" si="1"/>
        <v>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09" t="s">
        <v>163</v>
      </c>
      <c r="B97" s="1010"/>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6" t="s">
        <v>557</v>
      </c>
      <c r="D102" s="1037">
        <v>0</v>
      </c>
      <c r="E102" s="1037">
        <v>0</v>
      </c>
      <c r="F102" s="1038">
        <f t="shared" si="1"/>
        <v>0</v>
      </c>
    </row>
    <row r="103" spans="1:6" s="17" customFormat="1" ht="30" customHeight="1">
      <c r="A103" s="1120" t="s">
        <v>701</v>
      </c>
      <c r="B103" s="1121"/>
      <c r="C103" s="1122">
        <v>73001</v>
      </c>
      <c r="D103" s="1146">
        <v>0</v>
      </c>
      <c r="E103" s="1146">
        <v>0</v>
      </c>
      <c r="F103" s="1077">
        <f t="shared" si="1"/>
        <v>0</v>
      </c>
    </row>
    <row r="104" spans="1:6" s="17" customFormat="1" ht="30" customHeight="1">
      <c r="A104" s="1123" t="s">
        <v>702</v>
      </c>
      <c r="B104" s="1124"/>
      <c r="C104" s="1125">
        <v>73002</v>
      </c>
      <c r="D104" s="1147">
        <v>0</v>
      </c>
      <c r="E104" s="1147">
        <v>0</v>
      </c>
      <c r="F104" s="1078">
        <f t="shared" si="1"/>
        <v>0</v>
      </c>
    </row>
    <row r="105" spans="1:6" s="17" customFormat="1" ht="30" customHeight="1">
      <c r="A105" s="770" t="s">
        <v>555</v>
      </c>
      <c r="B105" s="771"/>
      <c r="C105" s="1074">
        <v>73050</v>
      </c>
      <c r="D105" s="1075">
        <v>0</v>
      </c>
      <c r="E105" s="1075">
        <v>0</v>
      </c>
      <c r="F105" s="1076">
        <f>+D105+E105</f>
        <v>0</v>
      </c>
    </row>
    <row r="106" spans="1:6" s="17" customFormat="1" ht="30" customHeight="1">
      <c r="A106" s="1039" t="s">
        <v>696</v>
      </c>
      <c r="B106" s="771"/>
      <c r="C106" s="1036">
        <v>73100</v>
      </c>
      <c r="D106" s="1037">
        <v>0</v>
      </c>
      <c r="E106" s="1037">
        <v>0</v>
      </c>
      <c r="F106" s="1076">
        <f>+D106+E106</f>
        <v>0</v>
      </c>
    </row>
    <row r="107" spans="1:6" s="17" customFormat="1" ht="47.25" customHeight="1">
      <c r="A107" s="1103" t="s">
        <v>614</v>
      </c>
      <c r="B107" s="1104"/>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0</v>
      </c>
      <c r="E113" s="266">
        <f>+E57+E93+E111</f>
        <v>0</v>
      </c>
      <c r="F113" s="266">
        <f>SUM(D113:E113)</f>
        <v>0</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7" t="s">
        <v>615</v>
      </c>
      <c r="B116" s="1008"/>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2">
        <f>'EXHIBIT C'!H10</f>
        <v>0</v>
      </c>
      <c r="E118" s="773">
        <v>0</v>
      </c>
      <c r="F118" s="774">
        <f t="shared" ref="F118:F128" si="3">+D118+E118</f>
        <v>0</v>
      </c>
    </row>
    <row r="119" spans="1:6" s="69" customFormat="1" ht="30" customHeight="1">
      <c r="A119" s="770" t="s">
        <v>618</v>
      </c>
      <c r="B119" s="615"/>
      <c r="C119" s="782"/>
      <c r="D119" s="1102">
        <f>'EXHIBIT C'!F19</f>
        <v>0</v>
      </c>
      <c r="E119" s="773">
        <v>0</v>
      </c>
      <c r="F119" s="774">
        <f t="shared" si="3"/>
        <v>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1"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0</v>
      </c>
      <c r="E129" s="260">
        <f>SUM(E117:E128)</f>
        <v>0</v>
      </c>
      <c r="F129" s="261">
        <f>SUM(F117:F128)</f>
        <v>0</v>
      </c>
    </row>
    <row r="130" spans="1:6" ht="14.1" customHeight="1">
      <c r="A130" s="249"/>
      <c r="B130" s="249"/>
      <c r="C130" s="250"/>
      <c r="D130" s="251"/>
      <c r="E130" s="251"/>
      <c r="F130" s="251"/>
    </row>
    <row r="131" spans="1:6" ht="83.25" customHeight="1">
      <c r="A131" s="948" t="s">
        <v>715</v>
      </c>
      <c r="B131" s="948"/>
      <c r="C131" s="949"/>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5"/>
      <c r="B134" s="1106"/>
      <c r="C134" s="1106"/>
      <c r="D134" s="1106"/>
      <c r="E134" s="1106"/>
      <c r="F134" s="1107"/>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5"/>
      <c r="B137" s="1106"/>
      <c r="C137" s="1106"/>
      <c r="D137" s="1106"/>
      <c r="E137" s="1106"/>
      <c r="F137" s="1107"/>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8" t="s">
        <v>11</v>
      </c>
      <c r="C1" s="928"/>
      <c r="D1" s="928"/>
      <c r="E1" s="928"/>
      <c r="F1" s="276"/>
      <c r="G1" s="276"/>
    </row>
    <row r="2" spans="2:7" ht="26.25">
      <c r="B2" s="928" t="s">
        <v>745</v>
      </c>
      <c r="C2" s="928"/>
      <c r="D2" s="928"/>
      <c r="E2" s="928"/>
      <c r="F2" s="276"/>
      <c r="G2" s="276"/>
    </row>
    <row r="3" spans="2:7" ht="21">
      <c r="B3" s="918"/>
      <c r="C3" s="918"/>
      <c r="D3" s="918"/>
      <c r="E3" s="918"/>
      <c r="F3" s="276"/>
      <c r="G3" s="276"/>
    </row>
    <row r="4" spans="2:7" ht="21.75" thickBot="1">
      <c r="B4" s="1035"/>
      <c r="C4" s="1035"/>
      <c r="D4" s="1035"/>
      <c r="E4" s="1035"/>
      <c r="F4" s="276"/>
      <c r="G4" s="276"/>
    </row>
    <row r="5" spans="2:7" ht="48" customHeight="1">
      <c r="B5" s="911" t="s">
        <v>629</v>
      </c>
      <c r="C5" s="1015" t="s">
        <v>630</v>
      </c>
      <c r="D5" s="1016"/>
      <c r="E5" s="1017"/>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2" t="s">
        <v>630</v>
      </c>
      <c r="D13" s="1013"/>
      <c r="E13" s="1014"/>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8" t="s">
        <v>630</v>
      </c>
      <c r="D23" s="1019"/>
      <c r="E23" s="1020"/>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2" t="s">
        <v>630</v>
      </c>
      <c r="D31" s="1013"/>
      <c r="E31" s="1021"/>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0"/>
    </row>
    <row r="47" spans="2:7">
      <c r="B47" s="283" t="s">
        <v>651</v>
      </c>
      <c r="G47" s="951"/>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8" t="s">
        <v>630</v>
      </c>
      <c r="D56" s="1019"/>
      <c r="E56" s="1020"/>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2" t="s">
        <v>630</v>
      </c>
      <c r="D63" s="1013"/>
      <c r="E63" s="1021"/>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8" t="s">
        <v>659</v>
      </c>
      <c r="D72" s="1019"/>
      <c r="E72" s="1020"/>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2"/>
      <c r="D85" s="952"/>
      <c r="E85" s="952"/>
    </row>
    <row r="86" spans="2:5">
      <c r="C86" s="282"/>
      <c r="D86" s="282"/>
      <c r="E86" s="282"/>
    </row>
    <row r="87" spans="2:5">
      <c r="C87" s="950"/>
    </row>
    <row r="88" spans="2:5">
      <c r="C88" s="950"/>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8" t="s">
        <v>11</v>
      </c>
      <c r="B1" s="928"/>
      <c r="C1" s="928"/>
    </row>
    <row r="2" spans="1:3" s="85" customFormat="1" ht="21" customHeight="1" thickBot="1">
      <c r="A2" s="928" t="s">
        <v>746</v>
      </c>
      <c r="B2" s="928"/>
      <c r="C2" s="928"/>
    </row>
    <row r="3" spans="1:3" s="85" customFormat="1" ht="26.45" customHeight="1">
      <c r="A3" s="1034" t="s">
        <v>664</v>
      </c>
      <c r="B3" s="1022"/>
      <c r="C3" s="1023"/>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8" t="s">
        <v>669</v>
      </c>
      <c r="B7" s="1029"/>
      <c r="C7" s="1030"/>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8" t="s">
        <v>671</v>
      </c>
      <c r="B11" s="1029"/>
      <c r="C11" s="1030"/>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1" t="s">
        <v>675</v>
      </c>
      <c r="B14" s="1032"/>
      <c r="C14" s="1033"/>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8" t="s">
        <v>677</v>
      </c>
      <c r="B17" s="1029"/>
      <c r="C17" s="1030"/>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8" t="s">
        <v>680</v>
      </c>
      <c r="B20" s="1029"/>
      <c r="C20" s="1030"/>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8" t="s">
        <v>681</v>
      </c>
      <c r="B23" s="1029"/>
      <c r="C23" s="1030"/>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8" t="s">
        <v>682</v>
      </c>
      <c r="B26" s="1029"/>
      <c r="C26" s="1030"/>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4" t="s">
        <v>683</v>
      </c>
      <c r="B30" s="1024"/>
      <c r="C30" s="1024"/>
    </row>
    <row r="31" spans="1:3" ht="14.45" customHeight="1">
      <c r="A31" s="1025"/>
      <c r="B31" s="1025"/>
      <c r="C31" s="1025"/>
    </row>
    <row r="32" spans="1:3" ht="31.35" customHeight="1">
      <c r="A32" s="1024" t="s">
        <v>684</v>
      </c>
      <c r="B32" s="1024"/>
      <c r="C32" s="1024"/>
    </row>
    <row r="33" spans="1:3" ht="14.45" customHeight="1">
      <c r="A33" s="1025"/>
      <c r="B33" s="1025"/>
      <c r="C33" s="1025"/>
    </row>
    <row r="34" spans="1:3" ht="30" customHeight="1">
      <c r="A34" s="1024" t="s">
        <v>685</v>
      </c>
      <c r="B34" s="1024"/>
      <c r="C34" s="1024"/>
    </row>
    <row r="35" spans="1:3" ht="14.45" customHeight="1">
      <c r="A35" s="1025"/>
      <c r="B35" s="1025"/>
      <c r="C35" s="1025"/>
    </row>
    <row r="36" spans="1:3" ht="15" customHeight="1">
      <c r="A36" s="1026" t="s">
        <v>686</v>
      </c>
      <c r="B36" s="1025"/>
      <c r="C36" s="1025"/>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6" r:id="rId4">
          <objectPr defaultSize="0" altText="2023-24 Annual Operating Budget Instructions" r:id="rId5">
            <anchor moveWithCells="1">
              <from>
                <xdr:col>0</xdr:col>
                <xdr:colOff>561975</xdr:colOff>
                <xdr:row>8</xdr:row>
                <xdr:rowOff>66675</xdr:rowOff>
              </from>
              <to>
                <xdr:col>0</xdr:col>
                <xdr:colOff>6391275</xdr:colOff>
                <xdr:row>53</xdr:row>
                <xdr:rowOff>47625</xdr:rowOff>
              </to>
            </anchor>
          </objectPr>
        </oleObject>
      </mc:Choice>
      <mc:Fallback>
        <oleObject progId="Acrobat.Document.DC"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3" t="s">
        <v>14</v>
      </c>
      <c r="B1" s="1043"/>
      <c r="C1" s="1043"/>
      <c r="D1" s="1043"/>
      <c r="E1" s="16"/>
    </row>
    <row r="2" spans="1:10" ht="33.6" customHeight="1" thickBot="1">
      <c r="A2" s="1050" t="s">
        <v>15</v>
      </c>
      <c r="B2" s="1050"/>
      <c r="C2" s="1050"/>
      <c r="D2" s="1050"/>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89" t="s">
        <v>765</v>
      </c>
      <c r="C5" s="1090"/>
      <c r="D5" s="1091"/>
      <c r="E5" s="594"/>
      <c r="F5" s="19"/>
    </row>
    <row r="6" spans="1:10" ht="89.1" customHeight="1" thickBot="1">
      <c r="A6" s="292" t="s">
        <v>17</v>
      </c>
      <c r="B6" s="61" t="s">
        <v>18</v>
      </c>
      <c r="C6" s="23" t="s">
        <v>19</v>
      </c>
      <c r="D6" s="76" t="s">
        <v>20</v>
      </c>
      <c r="F6" s="19"/>
    </row>
    <row r="7" spans="1:10" ht="25.35" customHeight="1">
      <c r="A7" s="410" t="s">
        <v>21</v>
      </c>
      <c r="B7" s="957">
        <f>53283437-C7</f>
        <v>43041873</v>
      </c>
      <c r="C7" s="958">
        <v>10241564</v>
      </c>
      <c r="D7" s="81">
        <f t="shared" ref="D7:D34" si="0">SUM(B7:C7)</f>
        <v>53283437</v>
      </c>
      <c r="E7" s="437"/>
      <c r="F7" s="438"/>
      <c r="G7" s="48"/>
      <c r="I7" s="48"/>
      <c r="J7" s="48"/>
    </row>
    <row r="8" spans="1:10" ht="25.35" customHeight="1">
      <c r="A8" s="390" t="s">
        <v>22</v>
      </c>
      <c r="B8" s="1145">
        <f>109661903-C8</f>
        <v>89136073</v>
      </c>
      <c r="C8" s="960">
        <v>20525830</v>
      </c>
      <c r="D8" s="74">
        <f t="shared" si="0"/>
        <v>109661903</v>
      </c>
      <c r="E8" s="413"/>
      <c r="F8" s="48"/>
      <c r="G8" s="48"/>
      <c r="I8" s="48"/>
      <c r="J8" s="48"/>
    </row>
    <row r="9" spans="1:10" ht="25.35" customHeight="1">
      <c r="A9" s="390" t="s">
        <v>23</v>
      </c>
      <c r="B9" s="959">
        <f>40709150+1649800-C9</f>
        <v>36495661</v>
      </c>
      <c r="C9" s="960">
        <v>5863289</v>
      </c>
      <c r="D9" s="74">
        <f t="shared" si="0"/>
        <v>42358950</v>
      </c>
      <c r="E9" s="413"/>
      <c r="F9" s="48"/>
      <c r="G9" s="48"/>
      <c r="I9" s="48"/>
      <c r="J9" s="48"/>
    </row>
    <row r="10" spans="1:10" ht="25.35" customHeight="1">
      <c r="A10" s="390" t="s">
        <v>24</v>
      </c>
      <c r="B10" s="959">
        <f>15452951-C10</f>
        <v>12227907</v>
      </c>
      <c r="C10" s="960">
        <v>3225044</v>
      </c>
      <c r="D10" s="74">
        <f t="shared" si="0"/>
        <v>15452951</v>
      </c>
      <c r="E10" s="413"/>
      <c r="F10" s="48"/>
      <c r="G10" s="48"/>
      <c r="I10" s="48"/>
      <c r="J10" s="48"/>
    </row>
    <row r="11" spans="1:10" ht="25.35" customHeight="1">
      <c r="A11" s="390" t="s">
        <v>25</v>
      </c>
      <c r="B11" s="959">
        <f>60952010+650000-C11</f>
        <v>49278774</v>
      </c>
      <c r="C11" s="960">
        <v>12323236</v>
      </c>
      <c r="D11" s="74">
        <f t="shared" si="0"/>
        <v>61602010</v>
      </c>
      <c r="E11" s="413"/>
      <c r="F11" s="48"/>
      <c r="G11" s="48"/>
      <c r="I11" s="48"/>
      <c r="J11" s="48"/>
    </row>
    <row r="12" spans="1:10" ht="25.35" customHeight="1">
      <c r="A12" s="390" t="s">
        <v>26</v>
      </c>
      <c r="B12" s="959">
        <f>49896992+970000-C12</f>
        <v>43015397</v>
      </c>
      <c r="C12" s="960">
        <v>7851595</v>
      </c>
      <c r="D12" s="74">
        <f t="shared" si="0"/>
        <v>50866992</v>
      </c>
      <c r="E12" s="413"/>
      <c r="F12" s="48"/>
      <c r="G12" s="48"/>
      <c r="I12" s="48"/>
      <c r="J12" s="48"/>
    </row>
    <row r="13" spans="1:10" ht="25.35" customHeight="1">
      <c r="A13" s="390" t="s">
        <v>27</v>
      </c>
      <c r="B13" s="959">
        <f>87966155-C13</f>
        <v>69516327</v>
      </c>
      <c r="C13" s="960">
        <v>18449828</v>
      </c>
      <c r="D13" s="74">
        <f t="shared" si="0"/>
        <v>87966155</v>
      </c>
      <c r="E13" s="413"/>
      <c r="F13" s="48"/>
      <c r="G13" s="48"/>
      <c r="I13" s="48"/>
      <c r="J13" s="48"/>
    </row>
    <row r="14" spans="1:10" ht="25.35" customHeight="1">
      <c r="A14" s="390" t="s">
        <v>28</v>
      </c>
      <c r="B14" s="959">
        <f>10777267-C14</f>
        <v>9114843</v>
      </c>
      <c r="C14" s="960">
        <v>1662424</v>
      </c>
      <c r="D14" s="74">
        <f t="shared" si="0"/>
        <v>10777267</v>
      </c>
      <c r="E14" s="413"/>
      <c r="F14" s="48"/>
      <c r="G14" s="48"/>
      <c r="I14" s="48"/>
      <c r="J14" s="48"/>
    </row>
    <row r="15" spans="1:10" ht="25.35" customHeight="1">
      <c r="A15" s="390" t="s">
        <v>29</v>
      </c>
      <c r="B15" s="959">
        <f>27074121-C15</f>
        <v>21817302</v>
      </c>
      <c r="C15" s="960">
        <v>5256819</v>
      </c>
      <c r="D15" s="74">
        <f t="shared" si="0"/>
        <v>27074121</v>
      </c>
      <c r="E15" s="413"/>
      <c r="F15" s="48"/>
      <c r="G15" s="48"/>
      <c r="I15" s="48"/>
      <c r="J15" s="48"/>
    </row>
    <row r="16" spans="1:10" ht="25.35" customHeight="1">
      <c r="A16" s="390" t="s">
        <v>30</v>
      </c>
      <c r="B16" s="959">
        <f>84333300+500000-C16</f>
        <v>70892957</v>
      </c>
      <c r="C16" s="960">
        <v>13940343</v>
      </c>
      <c r="D16" s="74">
        <f t="shared" si="0"/>
        <v>84833300</v>
      </c>
      <c r="E16" s="413"/>
      <c r="F16" s="48"/>
      <c r="G16" s="48"/>
      <c r="I16" s="48"/>
      <c r="J16" s="48"/>
    </row>
    <row r="17" spans="1:10" ht="25.35" customHeight="1">
      <c r="A17" s="390" t="s">
        <v>31</v>
      </c>
      <c r="B17" s="959">
        <f>60019348+2200000-C17</f>
        <v>50922046</v>
      </c>
      <c r="C17" s="960">
        <v>11297302</v>
      </c>
      <c r="D17" s="74">
        <f t="shared" si="0"/>
        <v>62219348</v>
      </c>
      <c r="E17" s="413"/>
      <c r="F17" s="48"/>
      <c r="G17" s="48"/>
      <c r="I17" s="48"/>
      <c r="J17" s="48"/>
    </row>
    <row r="18" spans="1:10" ht="25.35" customHeight="1">
      <c r="A18" s="390" t="s">
        <v>32</v>
      </c>
      <c r="B18" s="959">
        <f>18336804-C18</f>
        <v>15047680</v>
      </c>
      <c r="C18" s="960">
        <v>3289124</v>
      </c>
      <c r="D18" s="74">
        <f t="shared" si="0"/>
        <v>18336804</v>
      </c>
      <c r="E18" s="413"/>
      <c r="F18" s="48"/>
      <c r="G18" s="48"/>
      <c r="I18" s="48"/>
      <c r="J18" s="48"/>
    </row>
    <row r="19" spans="1:10" ht="25.35" customHeight="1">
      <c r="A19" s="390" t="s">
        <v>33</v>
      </c>
      <c r="B19" s="959">
        <f>24190865-C19</f>
        <v>20958984</v>
      </c>
      <c r="C19" s="960">
        <v>3231881</v>
      </c>
      <c r="D19" s="74">
        <f t="shared" si="0"/>
        <v>24190865</v>
      </c>
      <c r="E19" s="413"/>
      <c r="F19" s="48"/>
      <c r="G19" s="48"/>
      <c r="I19" s="48"/>
      <c r="J19" s="48"/>
    </row>
    <row r="20" spans="1:10" ht="25.35" customHeight="1">
      <c r="A20" s="390" t="s">
        <v>34</v>
      </c>
      <c r="B20" s="959">
        <f>33434210+3850000-C20</f>
        <v>31838529</v>
      </c>
      <c r="C20" s="960">
        <v>5445681</v>
      </c>
      <c r="D20" s="74">
        <f t="shared" si="0"/>
        <v>37284210</v>
      </c>
      <c r="E20" s="413"/>
      <c r="F20" s="48"/>
      <c r="G20" s="48"/>
      <c r="H20" s="48"/>
      <c r="I20" s="48"/>
      <c r="J20" s="48"/>
    </row>
    <row r="21" spans="1:10" ht="25.35" customHeight="1">
      <c r="A21" s="390" t="s">
        <v>35</v>
      </c>
      <c r="B21" s="959">
        <f>202008901-C21</f>
        <v>160382392</v>
      </c>
      <c r="C21" s="960">
        <v>41626509</v>
      </c>
      <c r="D21" s="74">
        <f t="shared" si="0"/>
        <v>202008901</v>
      </c>
      <c r="E21" s="413"/>
      <c r="F21" s="48"/>
      <c r="G21" s="48"/>
      <c r="I21" s="48"/>
      <c r="J21" s="48"/>
    </row>
    <row r="22" spans="1:10" ht="25.35" customHeight="1">
      <c r="A22" s="390" t="s">
        <v>36</v>
      </c>
      <c r="B22" s="959">
        <f>10606679-C22</f>
        <v>8854398</v>
      </c>
      <c r="C22" s="960">
        <v>1752281</v>
      </c>
      <c r="D22" s="74">
        <f t="shared" si="0"/>
        <v>10606679</v>
      </c>
      <c r="E22" s="413"/>
      <c r="F22" s="48"/>
      <c r="G22" s="48"/>
      <c r="I22" s="48"/>
      <c r="J22" s="48"/>
    </row>
    <row r="23" spans="1:10" ht="25.35" customHeight="1">
      <c r="A23" s="390" t="s">
        <v>37</v>
      </c>
      <c r="B23" s="959">
        <f>29133735+990000-C23</f>
        <v>25493548</v>
      </c>
      <c r="C23" s="960">
        <v>4630187</v>
      </c>
      <c r="D23" s="74">
        <f t="shared" si="0"/>
        <v>30123735</v>
      </c>
      <c r="E23" s="413"/>
      <c r="F23" s="48"/>
      <c r="G23" s="48"/>
      <c r="I23" s="48"/>
      <c r="J23" s="48"/>
    </row>
    <row r="24" spans="1:10" ht="25.35" customHeight="1">
      <c r="A24" s="390" t="s">
        <v>38</v>
      </c>
      <c r="B24" s="959">
        <f>79008687-C24</f>
        <v>65047135</v>
      </c>
      <c r="C24" s="960">
        <v>13961552</v>
      </c>
      <c r="D24" s="74">
        <f t="shared" si="0"/>
        <v>79008687</v>
      </c>
      <c r="E24" s="413"/>
      <c r="F24" s="48"/>
      <c r="G24" s="48"/>
      <c r="I24" s="48"/>
      <c r="J24" s="48"/>
    </row>
    <row r="25" spans="1:10" ht="25.35" customHeight="1">
      <c r="A25" s="390" t="s">
        <v>39</v>
      </c>
      <c r="B25" s="959">
        <f>50017798-C25</f>
        <v>43276705</v>
      </c>
      <c r="C25" s="960">
        <v>6741093</v>
      </c>
      <c r="D25" s="74">
        <f t="shared" si="0"/>
        <v>50017798</v>
      </c>
      <c r="E25" s="413"/>
      <c r="F25" s="48"/>
      <c r="G25" s="48"/>
      <c r="I25" s="48"/>
      <c r="J25" s="48"/>
    </row>
    <row r="26" spans="1:10" ht="25.35" customHeight="1">
      <c r="A26" s="390" t="s">
        <v>40</v>
      </c>
      <c r="B26" s="959">
        <f>66736548-C26</f>
        <v>58376378</v>
      </c>
      <c r="C26" s="960">
        <v>8360170</v>
      </c>
      <c r="D26" s="74">
        <f t="shared" si="0"/>
        <v>66736548</v>
      </c>
      <c r="E26" s="413"/>
      <c r="F26" s="48"/>
      <c r="G26" s="48"/>
      <c r="I26" s="48"/>
      <c r="J26" s="48"/>
    </row>
    <row r="27" spans="1:10" ht="25.35" customHeight="1">
      <c r="A27" s="390" t="s">
        <v>41</v>
      </c>
      <c r="B27" s="959">
        <f>50059240-C27</f>
        <v>43206598</v>
      </c>
      <c r="C27" s="960">
        <v>6852642</v>
      </c>
      <c r="D27" s="74">
        <f t="shared" si="0"/>
        <v>50059240</v>
      </c>
      <c r="E27" s="413"/>
      <c r="F27" s="48"/>
      <c r="G27" s="48"/>
      <c r="I27" s="48"/>
      <c r="J27" s="48"/>
    </row>
    <row r="28" spans="1:10" ht="25.35" customHeight="1">
      <c r="A28" s="390" t="s">
        <v>42</v>
      </c>
      <c r="B28" s="959">
        <f>35352158-C28</f>
        <v>30677558</v>
      </c>
      <c r="C28" s="960">
        <v>4674600</v>
      </c>
      <c r="D28" s="74">
        <f t="shared" si="0"/>
        <v>35352158</v>
      </c>
      <c r="E28" s="413"/>
      <c r="F28" s="48"/>
      <c r="G28" s="48"/>
      <c r="I28" s="48"/>
      <c r="J28" s="48"/>
    </row>
    <row r="29" spans="1:10" ht="25.35" customHeight="1">
      <c r="A29" s="390" t="s">
        <v>43</v>
      </c>
      <c r="B29" s="959">
        <f>93333325+386940-C29</f>
        <v>76965923</v>
      </c>
      <c r="C29" s="960">
        <v>16754342</v>
      </c>
      <c r="D29" s="74">
        <f t="shared" si="0"/>
        <v>93720265</v>
      </c>
      <c r="E29" s="413"/>
      <c r="F29" s="48"/>
      <c r="G29" s="48"/>
      <c r="I29" s="48"/>
      <c r="J29" s="48"/>
    </row>
    <row r="30" spans="1:10" ht="25.35" customHeight="1">
      <c r="A30" s="390" t="s">
        <v>44</v>
      </c>
      <c r="B30" s="959">
        <f>53864947-C30</f>
        <v>45359068</v>
      </c>
      <c r="C30" s="960">
        <v>8505879</v>
      </c>
      <c r="D30" s="74">
        <f t="shared" si="0"/>
        <v>53864947</v>
      </c>
      <c r="E30" s="413"/>
      <c r="F30" s="48"/>
      <c r="G30" s="48"/>
      <c r="I30" s="48"/>
      <c r="J30" s="48"/>
    </row>
    <row r="31" spans="1:10" ht="25.35" customHeight="1">
      <c r="A31" s="390" t="s">
        <v>45</v>
      </c>
      <c r="B31" s="959">
        <f>56282435-C31</f>
        <v>47118829</v>
      </c>
      <c r="C31" s="960">
        <v>9163606</v>
      </c>
      <c r="D31" s="74">
        <f t="shared" si="0"/>
        <v>56282435</v>
      </c>
      <c r="E31" s="413"/>
      <c r="F31" s="48"/>
      <c r="G31" s="48"/>
      <c r="I31" s="48"/>
      <c r="J31" s="48"/>
    </row>
    <row r="32" spans="1:10" ht="25.35" customHeight="1">
      <c r="A32" s="390" t="s">
        <v>46</v>
      </c>
      <c r="B32" s="959">
        <f>27556204-C32</f>
        <v>23622370</v>
      </c>
      <c r="C32" s="960">
        <v>3933834</v>
      </c>
      <c r="D32" s="74">
        <f t="shared" si="0"/>
        <v>27556204</v>
      </c>
      <c r="E32" s="413"/>
      <c r="F32" s="48"/>
      <c r="G32" s="48"/>
      <c r="I32" s="48" t="s">
        <v>47</v>
      </c>
      <c r="J32" s="48"/>
    </row>
    <row r="33" spans="1:12" ht="25.35" customHeight="1">
      <c r="A33" s="390" t="s">
        <v>48</v>
      </c>
      <c r="B33" s="959">
        <f>41379691+750000-C33</f>
        <v>34477912</v>
      </c>
      <c r="C33" s="960">
        <v>7651779</v>
      </c>
      <c r="D33" s="74">
        <f t="shared" si="0"/>
        <v>42129691</v>
      </c>
      <c r="E33" s="413"/>
      <c r="F33" s="48"/>
      <c r="G33" s="48"/>
      <c r="I33" s="413"/>
      <c r="J33" s="48"/>
      <c r="K33" s="413"/>
    </row>
    <row r="34" spans="1:12" ht="25.35" customHeight="1" thickBot="1">
      <c r="A34" s="391" t="s">
        <v>49</v>
      </c>
      <c r="B34" s="959">
        <f>122831247-C34</f>
        <v>106185684</v>
      </c>
      <c r="C34" s="960">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2" t="s">
        <v>51</v>
      </c>
      <c r="B36" s="1092"/>
      <c r="C36" s="1092"/>
      <c r="D36" s="1092"/>
      <c r="E36" s="483"/>
      <c r="K36" s="413"/>
    </row>
    <row r="37" spans="1:12" ht="44.45" customHeight="1">
      <c r="A37" s="1093" t="s">
        <v>707</v>
      </c>
      <c r="B37" s="1093"/>
      <c r="C37" s="1093"/>
      <c r="D37" s="1093"/>
      <c r="E37" s="482"/>
      <c r="K37" s="413"/>
    </row>
    <row r="38" spans="1:12" ht="26.45" customHeight="1">
      <c r="A38" s="1063"/>
      <c r="B38" s="1063"/>
      <c r="C38" s="1063"/>
      <c r="D38" s="1063"/>
      <c r="E38" s="482"/>
      <c r="K38" s="413"/>
    </row>
    <row r="39" spans="1:12" ht="36.6" customHeight="1" thickBot="1">
      <c r="A39" s="477" t="s">
        <v>15</v>
      </c>
      <c r="B39" s="478"/>
      <c r="C39" s="478"/>
      <c r="K39" s="171"/>
    </row>
    <row r="40" spans="1:12" ht="24" customHeight="1" thickBot="1">
      <c r="A40" s="44" t="s">
        <v>700</v>
      </c>
      <c r="B40" s="953" t="s">
        <v>779</v>
      </c>
      <c r="C40" s="954"/>
      <c r="D40" s="954"/>
      <c r="E40" s="955"/>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2" t="str">
        <f>A10</f>
        <v>Chipola College</v>
      </c>
      <c r="B43" s="638" t="s">
        <v>56</v>
      </c>
      <c r="C43" s="639">
        <v>200000</v>
      </c>
      <c r="D43" s="639"/>
      <c r="E43" s="640">
        <f t="shared" ref="E43:E55" si="1">C43+D43</f>
        <v>200000</v>
      </c>
    </row>
    <row r="44" spans="1:12" ht="42">
      <c r="A44" s="963" t="s">
        <v>23</v>
      </c>
      <c r="B44" s="1094" t="s">
        <v>706</v>
      </c>
      <c r="C44" s="1041"/>
      <c r="D44" s="1041">
        <v>1649800</v>
      </c>
      <c r="E44" s="640">
        <f t="shared" si="1"/>
        <v>1649800</v>
      </c>
    </row>
    <row r="45" spans="1:12" ht="42">
      <c r="A45" s="963" t="str">
        <f>A11</f>
        <v>Daytona State College</v>
      </c>
      <c r="B45" s="641" t="s">
        <v>57</v>
      </c>
      <c r="C45" s="639">
        <v>500000</v>
      </c>
      <c r="D45" s="639"/>
      <c r="E45" s="640">
        <f t="shared" si="1"/>
        <v>500000</v>
      </c>
    </row>
    <row r="46" spans="1:12" ht="84.75" customHeight="1">
      <c r="A46" s="961" t="s">
        <v>25</v>
      </c>
      <c r="B46" s="641" t="s">
        <v>767</v>
      </c>
      <c r="C46" s="639"/>
      <c r="D46" s="639">
        <v>650000</v>
      </c>
      <c r="E46" s="640">
        <f t="shared" si="1"/>
        <v>650000</v>
      </c>
    </row>
    <row r="47" spans="1:12" ht="84.75" customHeight="1">
      <c r="A47" s="961" t="s">
        <v>772</v>
      </c>
      <c r="B47" s="1040" t="s">
        <v>773</v>
      </c>
      <c r="C47" s="1041"/>
      <c r="D47" s="1041">
        <v>970000</v>
      </c>
      <c r="E47" s="1144"/>
      <c r="G47" s="163" t="s">
        <v>10</v>
      </c>
    </row>
    <row r="48" spans="1:12" ht="62.45" customHeight="1">
      <c r="A48" s="961" t="s">
        <v>30</v>
      </c>
      <c r="B48" s="641" t="s">
        <v>58</v>
      </c>
      <c r="C48" s="639">
        <v>2500000</v>
      </c>
      <c r="D48" s="639"/>
      <c r="E48" s="640">
        <f t="shared" si="1"/>
        <v>2500000</v>
      </c>
    </row>
    <row r="49" spans="1:5" ht="62.45" customHeight="1">
      <c r="A49" s="961" t="s">
        <v>30</v>
      </c>
      <c r="B49" s="1040" t="s">
        <v>770</v>
      </c>
      <c r="C49" s="1041"/>
      <c r="D49" s="1041">
        <v>500000</v>
      </c>
      <c r="E49" s="640">
        <f t="shared" si="1"/>
        <v>500000</v>
      </c>
    </row>
    <row r="50" spans="1:5" ht="62.45" customHeight="1">
      <c r="A50" s="961" t="s">
        <v>31</v>
      </c>
      <c r="B50" s="1040" t="s">
        <v>774</v>
      </c>
      <c r="C50" s="1041"/>
      <c r="D50" s="1041">
        <v>2200000</v>
      </c>
      <c r="E50" s="640">
        <f t="shared" si="1"/>
        <v>2200000</v>
      </c>
    </row>
    <row r="51" spans="1:5" ht="62.45" customHeight="1">
      <c r="A51" s="961" t="s">
        <v>776</v>
      </c>
      <c r="B51" s="1040" t="s">
        <v>777</v>
      </c>
      <c r="C51" s="1041"/>
      <c r="D51" s="1041">
        <v>3850000</v>
      </c>
      <c r="E51" s="1144">
        <f t="shared" si="1"/>
        <v>3850000</v>
      </c>
    </row>
    <row r="52" spans="1:5" ht="62.45" customHeight="1">
      <c r="A52" s="961" t="s">
        <v>37</v>
      </c>
      <c r="B52" s="1040" t="s">
        <v>771</v>
      </c>
      <c r="C52" s="1041"/>
      <c r="D52" s="1041">
        <v>990000</v>
      </c>
      <c r="E52" s="640">
        <f t="shared" si="1"/>
        <v>990000</v>
      </c>
    </row>
    <row r="53" spans="1:5">
      <c r="A53" s="961" t="str">
        <f>A25</f>
        <v>Pasco-Hernando State College</v>
      </c>
      <c r="B53" s="641" t="s">
        <v>59</v>
      </c>
      <c r="C53" s="639">
        <v>2306271</v>
      </c>
      <c r="D53" s="639"/>
      <c r="E53" s="640">
        <f t="shared" si="1"/>
        <v>2306271</v>
      </c>
    </row>
    <row r="54" spans="1:5" ht="42">
      <c r="A54" s="964" t="s">
        <v>43</v>
      </c>
      <c r="B54" s="641" t="s">
        <v>769</v>
      </c>
      <c r="C54" s="639"/>
      <c r="D54" s="639">
        <v>386940</v>
      </c>
      <c r="E54" s="640">
        <f t="shared" si="1"/>
        <v>386940</v>
      </c>
    </row>
    <row r="55" spans="1:5" ht="86.25" customHeight="1" thickBot="1">
      <c r="A55" s="964" t="s">
        <v>60</v>
      </c>
      <c r="B55" s="1040" t="s">
        <v>768</v>
      </c>
      <c r="C55" s="1041"/>
      <c r="D55" s="1041">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8" t="s">
        <v>775</v>
      </c>
      <c r="B61" s="1059"/>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0" t="s">
        <v>761</v>
      </c>
      <c r="C67" s="1061"/>
      <c r="D67" s="1061"/>
      <c r="E67" s="1062"/>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099">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1" t="s">
        <v>780</v>
      </c>
      <c r="B100" s="1051"/>
      <c r="C100" s="1051"/>
      <c r="D100" s="1051"/>
      <c r="E100" s="1051"/>
      <c r="F100" s="1051"/>
      <c r="G100" s="1051"/>
      <c r="H100" s="1051"/>
      <c r="I100" s="1051"/>
      <c r="J100" s="1051"/>
      <c r="K100" s="1051"/>
      <c r="L100" s="1051"/>
      <c r="M100" s="1051"/>
      <c r="N100" s="1051"/>
      <c r="O100" s="1051"/>
      <c r="P100" s="1051"/>
      <c r="Q100" s="1051"/>
      <c r="R100" s="1051"/>
    </row>
    <row r="101" spans="1:50" ht="20.100000000000001" customHeight="1">
      <c r="A101" s="1049" t="s">
        <v>68</v>
      </c>
      <c r="B101" s="1049"/>
      <c r="C101" s="1049"/>
      <c r="D101" s="1049"/>
      <c r="E101" s="1049"/>
      <c r="F101" s="1049"/>
      <c r="G101" s="1049"/>
      <c r="H101" s="1049"/>
      <c r="I101" s="1049"/>
      <c r="J101" s="1049"/>
      <c r="K101" s="1049"/>
      <c r="L101" s="1049"/>
      <c r="M101" s="1049"/>
      <c r="N101" s="1049"/>
      <c r="O101" s="1049"/>
      <c r="P101" s="1049"/>
      <c r="Q101" s="1049"/>
      <c r="R101" s="1049"/>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49" t="s">
        <v>70</v>
      </c>
      <c r="B103" s="1049"/>
      <c r="C103" s="1049"/>
      <c r="D103" s="1049"/>
      <c r="E103" s="1049"/>
      <c r="F103" s="1049"/>
      <c r="G103" s="1049"/>
      <c r="H103" s="1049"/>
      <c r="I103" s="1049"/>
      <c r="J103" s="1049"/>
      <c r="K103" s="1049"/>
      <c r="L103" s="1049"/>
      <c r="M103" s="1049"/>
      <c r="N103" s="1049"/>
      <c r="O103" s="1049"/>
      <c r="P103" s="1049"/>
      <c r="Q103" s="1049"/>
      <c r="R103" s="1049"/>
    </row>
    <row r="104" spans="1:50" ht="20.100000000000001" customHeight="1">
      <c r="A104" s="1049"/>
      <c r="B104" s="1049"/>
      <c r="C104" s="1049"/>
      <c r="D104" s="1049"/>
      <c r="E104" s="1049"/>
      <c r="F104" s="1049"/>
      <c r="G104" s="1049"/>
    </row>
    <row r="105" spans="1:50" ht="32.450000000000003" customHeight="1" thickBot="1">
      <c r="E105" s="476"/>
      <c r="F105" s="476"/>
      <c r="G105" s="476"/>
    </row>
    <row r="106" spans="1:50" ht="43.35" customHeight="1" thickBot="1">
      <c r="A106" s="47" t="s">
        <v>754</v>
      </c>
      <c r="B106" s="1044" t="s">
        <v>759</v>
      </c>
      <c r="C106" s="1045"/>
      <c r="D106" s="1046"/>
      <c r="E106" s="1047" t="s">
        <v>71</v>
      </c>
      <c r="F106" s="1047"/>
      <c r="G106" s="1047"/>
      <c r="H106" s="1047"/>
      <c r="I106" s="1047"/>
      <c r="J106" s="1047"/>
      <c r="K106" s="1047"/>
      <c r="L106" s="1047"/>
      <c r="M106" s="1047"/>
      <c r="N106" s="1047"/>
      <c r="O106" s="1047"/>
      <c r="P106" s="1047"/>
      <c r="Q106" s="1047"/>
      <c r="R106" s="1047"/>
      <c r="S106" s="1048"/>
      <c r="T106" s="19"/>
      <c r="U106" s="19"/>
      <c r="AC106" s="19"/>
      <c r="AK106" s="386"/>
    </row>
    <row r="107" spans="1:50" ht="39" customHeight="1" thickBot="1">
      <c r="A107" s="46">
        <v>1</v>
      </c>
      <c r="B107" s="44">
        <v>2</v>
      </c>
      <c r="C107" s="1047">
        <v>3</v>
      </c>
      <c r="D107" s="1048">
        <v>4</v>
      </c>
      <c r="E107" s="1047">
        <v>5</v>
      </c>
      <c r="F107" s="1047">
        <v>6</v>
      </c>
      <c r="G107" s="1047">
        <v>7</v>
      </c>
      <c r="H107" s="1047">
        <v>8</v>
      </c>
      <c r="I107" s="1047">
        <v>9</v>
      </c>
      <c r="J107" s="1047">
        <v>10</v>
      </c>
      <c r="K107" s="1047">
        <v>11</v>
      </c>
      <c r="L107" s="1047">
        <v>12</v>
      </c>
      <c r="M107" s="1047">
        <v>13</v>
      </c>
      <c r="N107" s="1047">
        <v>14</v>
      </c>
      <c r="O107" s="1047">
        <v>15</v>
      </c>
      <c r="P107" s="1047">
        <v>16</v>
      </c>
      <c r="Q107" s="1047">
        <v>17</v>
      </c>
      <c r="R107" s="1047">
        <v>18</v>
      </c>
      <c r="S107" s="1048">
        <v>19</v>
      </c>
      <c r="T107" s="1085" t="s">
        <v>50</v>
      </c>
      <c r="U107" s="28"/>
      <c r="V107" s="44">
        <v>20</v>
      </c>
      <c r="W107" s="1047">
        <v>21</v>
      </c>
      <c r="X107" s="1047">
        <v>22</v>
      </c>
      <c r="Y107" s="58"/>
      <c r="Z107" s="1047">
        <v>23</v>
      </c>
      <c r="AA107" s="1047">
        <v>24</v>
      </c>
      <c r="AB107" s="1048">
        <v>25</v>
      </c>
      <c r="AC107" s="31"/>
    </row>
    <row r="108" spans="1:50" ht="29.45" customHeight="1" thickBot="1">
      <c r="A108" s="55" t="s">
        <v>73</v>
      </c>
      <c r="B108" s="1095" t="s">
        <v>74</v>
      </c>
      <c r="C108" s="1096"/>
      <c r="D108" s="1097"/>
      <c r="E108" s="30"/>
      <c r="G108" s="1066"/>
      <c r="H108" s="1066"/>
      <c r="I108" s="1066"/>
      <c r="J108" s="1066" t="s">
        <v>75</v>
      </c>
      <c r="K108" s="1066"/>
      <c r="L108" s="1066"/>
      <c r="M108" s="1066"/>
      <c r="N108" s="1066"/>
      <c r="O108" s="1066"/>
      <c r="P108" s="1066"/>
      <c r="Q108" s="1079" t="s">
        <v>76</v>
      </c>
      <c r="R108" s="1080"/>
      <c r="S108" s="1081"/>
      <c r="T108" s="1086" t="s">
        <v>704</v>
      </c>
      <c r="U108" s="32"/>
      <c r="V108" s="33"/>
      <c r="W108" s="34"/>
      <c r="X108" s="35"/>
      <c r="Y108" s="59"/>
      <c r="Z108" s="1067"/>
      <c r="AA108" s="1068"/>
      <c r="AB108" s="1069"/>
      <c r="AC108" s="19"/>
      <c r="AD108" s="595" t="s">
        <v>756</v>
      </c>
      <c r="AF108" s="29"/>
    </row>
    <row r="109" spans="1:50" ht="66" customHeight="1" thickBot="1">
      <c r="A109" s="36"/>
      <c r="B109" s="44" t="s">
        <v>77</v>
      </c>
      <c r="C109" s="1047"/>
      <c r="D109" s="1048"/>
      <c r="E109" s="44" t="s">
        <v>78</v>
      </c>
      <c r="F109" s="1047"/>
      <c r="G109" s="1048"/>
      <c r="H109" s="44" t="s">
        <v>79</v>
      </c>
      <c r="I109" s="1047"/>
      <c r="J109" s="1048"/>
      <c r="K109" s="1055" t="s">
        <v>80</v>
      </c>
      <c r="L109" s="1055"/>
      <c r="M109" s="1055"/>
      <c r="N109" s="38" t="s">
        <v>81</v>
      </c>
      <c r="O109" s="1056"/>
      <c r="P109" s="39"/>
      <c r="Q109" s="1082" t="s">
        <v>755</v>
      </c>
      <c r="R109" s="1083"/>
      <c r="S109" s="1084"/>
      <c r="T109" s="1143"/>
      <c r="U109" s="21"/>
      <c r="V109" s="1052" t="s">
        <v>84</v>
      </c>
      <c r="W109" s="1053"/>
      <c r="X109" s="1057"/>
      <c r="Y109" s="1087"/>
      <c r="Z109" s="1052" t="s">
        <v>85</v>
      </c>
      <c r="AA109" s="1053"/>
      <c r="AB109" s="1054"/>
      <c r="AD109" s="43" t="s">
        <v>86</v>
      </c>
      <c r="AF109" s="19"/>
      <c r="AI109" s="1088" t="s">
        <v>705</v>
      </c>
      <c r="AJ109" s="1088"/>
      <c r="AK109" s="1088"/>
      <c r="AL109" s="1088"/>
      <c r="AM109" s="1088"/>
      <c r="AN109" s="1088"/>
      <c r="AO109" s="1088"/>
    </row>
    <row r="110" spans="1:50" ht="87" customHeight="1" thickBot="1">
      <c r="A110" s="40" t="s">
        <v>17</v>
      </c>
      <c r="B110" s="971" t="s">
        <v>87</v>
      </c>
      <c r="C110" s="384"/>
      <c r="D110" s="570" t="s">
        <v>55</v>
      </c>
      <c r="E110" s="970" t="s">
        <v>87</v>
      </c>
      <c r="F110" s="969" t="s">
        <v>88</v>
      </c>
      <c r="G110" s="19" t="s">
        <v>55</v>
      </c>
      <c r="H110" s="972" t="s">
        <v>87</v>
      </c>
      <c r="I110" s="973" t="s">
        <v>88</v>
      </c>
      <c r="J110" s="57" t="s">
        <v>55</v>
      </c>
      <c r="K110" s="974" t="s">
        <v>87</v>
      </c>
      <c r="L110" s="975" t="s">
        <v>88</v>
      </c>
      <c r="M110" s="601" t="s">
        <v>55</v>
      </c>
      <c r="N110" s="976" t="s">
        <v>87</v>
      </c>
      <c r="O110" s="975" t="s">
        <v>88</v>
      </c>
      <c r="P110" s="540" t="s">
        <v>55</v>
      </c>
      <c r="Q110" s="976" t="s">
        <v>87</v>
      </c>
      <c r="R110" s="969" t="s">
        <v>88</v>
      </c>
      <c r="S110" s="57" t="s">
        <v>55</v>
      </c>
      <c r="T110" s="1142" t="s">
        <v>83</v>
      </c>
      <c r="V110" s="977" t="s">
        <v>87</v>
      </c>
      <c r="W110" s="978" t="s">
        <v>88</v>
      </c>
      <c r="X110" s="645" t="s">
        <v>55</v>
      </c>
      <c r="Y110" s="56"/>
      <c r="Z110" s="37" t="s">
        <v>87</v>
      </c>
      <c r="AA110" s="979" t="s">
        <v>88</v>
      </c>
      <c r="AB110" s="80" t="s">
        <v>55</v>
      </c>
      <c r="AD110" s="40" t="s">
        <v>17</v>
      </c>
      <c r="AE110" s="980" t="s">
        <v>89</v>
      </c>
      <c r="AF110" s="981" t="s">
        <v>90</v>
      </c>
      <c r="AG110" s="23" t="s">
        <v>91</v>
      </c>
      <c r="AR110" s="28"/>
      <c r="AS110" s="28"/>
      <c r="AT110" s="28"/>
    </row>
    <row r="111" spans="1:50" ht="24.6" customHeight="1">
      <c r="A111" s="380" t="str">
        <f t="shared" ref="A111:A138" si="7">A7</f>
        <v>Eastern Florida State College</v>
      </c>
      <c r="B111" s="466">
        <v>904</v>
      </c>
      <c r="C111" s="1098"/>
      <c r="D111" s="965">
        <f t="shared" ref="D111:D138" si="8">B111+C111</f>
        <v>904</v>
      </c>
      <c r="E111" s="1070">
        <v>4070.6633523229893</v>
      </c>
      <c r="F111" s="467">
        <v>183.61735253529599</v>
      </c>
      <c r="G111" s="396">
        <f t="shared" ref="G111:G138" si="9">E111+F111</f>
        <v>4254.2807048582854</v>
      </c>
      <c r="H111" s="1136">
        <v>1521.3588197412328</v>
      </c>
      <c r="I111" s="1137">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5" t="s">
        <v>92</v>
      </c>
      <c r="AJ111" s="1065"/>
      <c r="AK111" s="1065"/>
      <c r="AL111" s="1065"/>
      <c r="AM111" s="1065"/>
      <c r="AN111" s="1065"/>
      <c r="AO111" s="42">
        <f>X139+AB139</f>
        <v>2673</v>
      </c>
      <c r="AR111" s="28"/>
      <c r="AS111" s="28"/>
      <c r="AT111" s="28"/>
    </row>
    <row r="112" spans="1:50" ht="25.35" customHeight="1">
      <c r="A112" s="648" t="str">
        <f t="shared" si="7"/>
        <v>Broward College</v>
      </c>
      <c r="B112" s="622">
        <v>1113</v>
      </c>
      <c r="C112" s="628"/>
      <c r="D112" s="966">
        <f t="shared" si="8"/>
        <v>1113</v>
      </c>
      <c r="E112" s="1071">
        <v>10769.338335884886</v>
      </c>
      <c r="F112" s="630">
        <v>476.04007571701146</v>
      </c>
      <c r="G112" s="629">
        <f t="shared" si="9"/>
        <v>11245.378411601898</v>
      </c>
      <c r="H112" s="1138">
        <v>5837.5073015000162</v>
      </c>
      <c r="I112" s="1139">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5" t="s">
        <v>93</v>
      </c>
      <c r="AJ112" s="1065"/>
      <c r="AK112" s="1065"/>
      <c r="AL112" s="1065"/>
      <c r="AM112" s="1065"/>
      <c r="AN112" s="1065"/>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6">
        <f t="shared" si="8"/>
        <v>281</v>
      </c>
      <c r="E113" s="1071">
        <v>1773.1988276570255</v>
      </c>
      <c r="F113" s="630">
        <v>69.360688002738328</v>
      </c>
      <c r="G113" s="629">
        <f t="shared" si="9"/>
        <v>1842.5595156597637</v>
      </c>
      <c r="H113" s="1138">
        <v>1075.7106295853951</v>
      </c>
      <c r="I113" s="1139">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5" t="s">
        <v>94</v>
      </c>
      <c r="AJ113" s="1065"/>
      <c r="AK113" s="1065"/>
      <c r="AL113" s="1065"/>
      <c r="AM113" s="1065"/>
      <c r="AN113" s="1065"/>
      <c r="AO113" s="582">
        <f>3747-0</f>
        <v>3747</v>
      </c>
    </row>
    <row r="114" spans="1:50" ht="25.35" customHeight="1">
      <c r="A114" s="654" t="str">
        <f t="shared" si="7"/>
        <v>Chipola College</v>
      </c>
      <c r="B114" s="622">
        <v>136</v>
      </c>
      <c r="C114" s="628"/>
      <c r="D114" s="966">
        <f t="shared" si="8"/>
        <v>136</v>
      </c>
      <c r="E114" s="1071">
        <v>587.8461337171268</v>
      </c>
      <c r="F114" s="630">
        <v>54.699463561428765</v>
      </c>
      <c r="G114" s="629">
        <f t="shared" si="9"/>
        <v>642.54559727855553</v>
      </c>
      <c r="H114" s="1138">
        <v>163.33010648596323</v>
      </c>
      <c r="I114" s="1139">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6">
        <f t="shared" si="8"/>
        <v>861</v>
      </c>
      <c r="E115" s="1071">
        <v>3924.0806598915729</v>
      </c>
      <c r="F115" s="630">
        <v>213.16398188990146</v>
      </c>
      <c r="G115" s="629">
        <f t="shared" si="9"/>
        <v>4137.2446417814745</v>
      </c>
      <c r="H115" s="1138">
        <v>1904.5630637291142</v>
      </c>
      <c r="I115" s="1139">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6">
        <f t="shared" si="8"/>
        <v>500</v>
      </c>
      <c r="E116" s="1071">
        <v>6485.1085390690969</v>
      </c>
      <c r="F116" s="630">
        <v>269.7336943023198</v>
      </c>
      <c r="G116" s="629">
        <f t="shared" si="9"/>
        <v>6754.842233371417</v>
      </c>
      <c r="H116" s="1138">
        <v>343.97809523809525</v>
      </c>
      <c r="I116" s="1139">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6">
        <f t="shared" si="8"/>
        <v>1500</v>
      </c>
      <c r="E117" s="1071">
        <v>6555.559169235682</v>
      </c>
      <c r="F117" s="630">
        <v>202.5386703349341</v>
      </c>
      <c r="G117" s="629">
        <f t="shared" si="9"/>
        <v>6758.0978395706161</v>
      </c>
      <c r="H117" s="1138">
        <v>2928.0981193785769</v>
      </c>
      <c r="I117" s="1139">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6">
        <f t="shared" si="8"/>
        <v>48</v>
      </c>
      <c r="E118" s="1071">
        <v>293.38483796296299</v>
      </c>
      <c r="F118" s="630">
        <v>34.806423611111107</v>
      </c>
      <c r="G118" s="629">
        <f t="shared" si="9"/>
        <v>328.19126157407408</v>
      </c>
      <c r="H118" s="1138">
        <v>235.06822880771881</v>
      </c>
      <c r="I118" s="1139">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4" t="s">
        <v>95</v>
      </c>
      <c r="AJ118" s="1064"/>
      <c r="AK118" s="1064"/>
      <c r="AL118" s="1064"/>
      <c r="AM118" s="1064"/>
      <c r="AN118" s="1064"/>
      <c r="AO118" s="387">
        <f>AO116-AO117</f>
        <v>235968.55882579324</v>
      </c>
    </row>
    <row r="119" spans="1:50" ht="25.35" customHeight="1">
      <c r="A119" s="654" t="str">
        <f t="shared" si="7"/>
        <v>Gulf Coast State College</v>
      </c>
      <c r="B119" s="622">
        <v>127</v>
      </c>
      <c r="C119" s="628"/>
      <c r="D119" s="966">
        <f t="shared" si="8"/>
        <v>127</v>
      </c>
      <c r="E119" s="1071">
        <v>1745.6002404290734</v>
      </c>
      <c r="F119" s="630">
        <v>111.88246717218421</v>
      </c>
      <c r="G119" s="629">
        <f t="shared" si="9"/>
        <v>1857.4827076012577</v>
      </c>
      <c r="H119" s="1138">
        <v>495.82181885534357</v>
      </c>
      <c r="I119" s="1139">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6">
        <f t="shared" si="8"/>
        <v>27</v>
      </c>
      <c r="E120" s="1071">
        <v>8757.1743018345696</v>
      </c>
      <c r="F120" s="630">
        <v>471.96092225258161</v>
      </c>
      <c r="G120" s="629">
        <f t="shared" si="9"/>
        <v>9229.1352240871511</v>
      </c>
      <c r="H120" s="1138">
        <v>4447.9587874659401</v>
      </c>
      <c r="I120" s="1139">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4" t="s">
        <v>758</v>
      </c>
      <c r="AJ120" s="1064"/>
      <c r="AK120" s="1064"/>
      <c r="AL120" s="1064"/>
      <c r="AM120" s="1064"/>
      <c r="AN120" s="1064"/>
      <c r="AO120" s="388">
        <f>AO114+AO118</f>
        <v>270875</v>
      </c>
    </row>
    <row r="121" spans="1:50" ht="25.35" customHeight="1">
      <c r="A121" s="654" t="str">
        <f t="shared" si="7"/>
        <v>Indian River State College</v>
      </c>
      <c r="B121" s="622">
        <v>1235</v>
      </c>
      <c r="C121" s="628"/>
      <c r="D121" s="966">
        <f t="shared" si="8"/>
        <v>1235</v>
      </c>
      <c r="E121" s="1071">
        <v>4028.0139814206623</v>
      </c>
      <c r="F121" s="630">
        <v>123.77273153795626</v>
      </c>
      <c r="G121" s="629">
        <f t="shared" si="9"/>
        <v>4151.7867129586184</v>
      </c>
      <c r="H121" s="1138">
        <v>2080.5948006613999</v>
      </c>
      <c r="I121" s="1139">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6">
        <f t="shared" si="8"/>
        <v>110</v>
      </c>
      <c r="E122" s="1071">
        <v>869.6032516379521</v>
      </c>
      <c r="F122" s="630">
        <v>11.258917738413007</v>
      </c>
      <c r="G122" s="629">
        <f t="shared" si="9"/>
        <v>880.86216937636516</v>
      </c>
      <c r="H122" s="1138">
        <v>341.11536358665938</v>
      </c>
      <c r="I122" s="1139">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6">
        <f t="shared" si="8"/>
        <v>120</v>
      </c>
      <c r="E123" s="1071">
        <v>1702.4992125275617</v>
      </c>
      <c r="F123" s="630">
        <v>28.217612383566571</v>
      </c>
      <c r="G123" s="629">
        <f t="shared" si="9"/>
        <v>1730.7168249111282</v>
      </c>
      <c r="H123" s="1138">
        <v>416.33072677092918</v>
      </c>
      <c r="I123" s="1139">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6">
        <f t="shared" si="8"/>
        <v>438</v>
      </c>
      <c r="E124" s="1071">
        <v>3989.8404151589352</v>
      </c>
      <c r="F124" s="630">
        <v>193.31379601742105</v>
      </c>
      <c r="G124" s="629">
        <f t="shared" si="9"/>
        <v>4183.1542111763565</v>
      </c>
      <c r="H124" s="1138">
        <v>591.90598713508166</v>
      </c>
      <c r="I124" s="1139">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6">
        <f t="shared" si="8"/>
        <v>2550</v>
      </c>
      <c r="E125" s="1071">
        <v>26855.966376270149</v>
      </c>
      <c r="F125" s="630">
        <v>1540.737158408348</v>
      </c>
      <c r="G125" s="629">
        <f t="shared" si="9"/>
        <v>28396.703534678498</v>
      </c>
      <c r="H125" s="1138">
        <v>4037.4676471311577</v>
      </c>
      <c r="I125" s="1139">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6">
        <f t="shared" si="8"/>
        <v>31</v>
      </c>
      <c r="E126" s="1071">
        <v>376.02913836253123</v>
      </c>
      <c r="F126" s="630">
        <v>10.557382910260992</v>
      </c>
      <c r="G126" s="629">
        <f t="shared" si="9"/>
        <v>386.5865212727922</v>
      </c>
      <c r="H126" s="1138">
        <v>93.426336375488916</v>
      </c>
      <c r="I126" s="1139">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6">
        <f t="shared" si="8"/>
        <v>260</v>
      </c>
      <c r="E127" s="1071">
        <v>1415.6479275376587</v>
      </c>
      <c r="F127" s="630">
        <v>129.07905877719799</v>
      </c>
      <c r="G127" s="629">
        <f t="shared" si="9"/>
        <v>1544.7269863148567</v>
      </c>
      <c r="H127" s="1138">
        <v>488.70819672131142</v>
      </c>
      <c r="I127" s="1139">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6">
        <f t="shared" si="8"/>
        <v>852</v>
      </c>
      <c r="E128" s="1071">
        <v>11128.474256581856</v>
      </c>
      <c r="F128" s="630">
        <v>610.18313971841644</v>
      </c>
      <c r="G128" s="629">
        <f t="shared" si="9"/>
        <v>11738.657396300272</v>
      </c>
      <c r="H128" s="1138">
        <v>1319.1051714119699</v>
      </c>
      <c r="I128" s="1139">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6">
        <f t="shared" si="8"/>
        <v>326</v>
      </c>
      <c r="E129" s="1071">
        <v>2691.449841723394</v>
      </c>
      <c r="F129" s="630">
        <v>34.112810600330562</v>
      </c>
      <c r="G129" s="629">
        <f t="shared" si="9"/>
        <v>2725.5626523237247</v>
      </c>
      <c r="H129" s="1138">
        <v>1506.2325516314995</v>
      </c>
      <c r="I129" s="1139">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6">
        <f t="shared" si="8"/>
        <v>372</v>
      </c>
      <c r="E130" s="1071">
        <v>2849.9901207464322</v>
      </c>
      <c r="F130" s="630">
        <v>69.04610318331504</v>
      </c>
      <c r="G130" s="629">
        <f t="shared" si="9"/>
        <v>2919.0362239297474</v>
      </c>
      <c r="H130" s="1138">
        <v>992.05412371134025</v>
      </c>
      <c r="I130" s="1139">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6">
        <f t="shared" si="8"/>
        <v>698</v>
      </c>
      <c r="E131" s="1071">
        <v>2847.6763703933107</v>
      </c>
      <c r="F131" s="630">
        <v>109.0284917931248</v>
      </c>
      <c r="G131" s="629">
        <f t="shared" si="9"/>
        <v>2956.7048621864355</v>
      </c>
      <c r="H131" s="1138">
        <v>1152.4091344618334</v>
      </c>
      <c r="I131" s="1139">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6">
        <f t="shared" si="8"/>
        <v>217</v>
      </c>
      <c r="E132" s="1071">
        <v>1770.5757854514582</v>
      </c>
      <c r="F132" s="630">
        <v>48.810359467874321</v>
      </c>
      <c r="G132" s="629">
        <f t="shared" si="9"/>
        <v>1819.3861449193325</v>
      </c>
      <c r="H132" s="1138">
        <v>605.7775961780236</v>
      </c>
      <c r="I132" s="1139">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6">
        <f t="shared" si="8"/>
        <v>2227</v>
      </c>
      <c r="E133" s="1071">
        <v>6213.5692149408414</v>
      </c>
      <c r="F133" s="630">
        <v>325.48750956700667</v>
      </c>
      <c r="G133" s="629">
        <f t="shared" si="9"/>
        <v>6539.0567245078482</v>
      </c>
      <c r="H133" s="1138">
        <v>3688.2180216031838</v>
      </c>
      <c r="I133" s="1139">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6">
        <f t="shared" si="8"/>
        <v>408</v>
      </c>
      <c r="E134" s="1071">
        <v>5223.5261437908503</v>
      </c>
      <c r="F134" s="630">
        <v>360.29971988795518</v>
      </c>
      <c r="G134" s="629">
        <f t="shared" si="9"/>
        <v>5583.825863678805</v>
      </c>
      <c r="H134" s="1138">
        <v>1933.6501919618993</v>
      </c>
      <c r="I134" s="1139">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6">
        <f t="shared" si="8"/>
        <v>828</v>
      </c>
      <c r="E135" s="1071">
        <v>5013.3920539481114</v>
      </c>
      <c r="F135" s="630">
        <v>132.29706341560643</v>
      </c>
      <c r="G135" s="629">
        <f t="shared" si="9"/>
        <v>5145.6891173637177</v>
      </c>
      <c r="H135" s="1138">
        <v>2390.8582342651098</v>
      </c>
      <c r="I135" s="1139">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6">
        <f t="shared" si="8"/>
        <v>107</v>
      </c>
      <c r="E136" s="1071">
        <v>1179.2592592592591</v>
      </c>
      <c r="F136" s="630">
        <v>13.544973544973546</v>
      </c>
      <c r="G136" s="629">
        <f t="shared" si="9"/>
        <v>1192.8042328042327</v>
      </c>
      <c r="H136" s="1138">
        <v>0.8125</v>
      </c>
      <c r="I136" s="1139">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6">
        <f t="shared" si="8"/>
        <v>32</v>
      </c>
      <c r="E137" s="1071">
        <v>6354.0720162617363</v>
      </c>
      <c r="F137" s="630">
        <v>309.3433632479223</v>
      </c>
      <c r="G137" s="629">
        <f t="shared" si="9"/>
        <v>6663.415379509659</v>
      </c>
      <c r="H137" s="1138">
        <v>1305.0127118644068</v>
      </c>
      <c r="I137" s="1139">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7">
        <f t="shared" si="8"/>
        <v>1158</v>
      </c>
      <c r="E138" s="1072">
        <v>16383.00091191689</v>
      </c>
      <c r="F138" s="603">
        <v>1334.1537360882294</v>
      </c>
      <c r="G138" s="572">
        <f t="shared" si="9"/>
        <v>17717.154648005118</v>
      </c>
      <c r="H138" s="1140">
        <v>7151.3431840866961</v>
      </c>
      <c r="I138" s="1141">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8">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3" t="s">
        <v>753</v>
      </c>
      <c r="B147" s="1050"/>
      <c r="C147" s="1132"/>
      <c r="D147" s="1132"/>
    </row>
    <row r="148" spans="1:4" ht="21.75" thickBot="1">
      <c r="A148" s="62"/>
      <c r="B148" s="63" t="s">
        <v>766</v>
      </c>
    </row>
    <row r="149" spans="1:4" ht="21.75" thickBot="1">
      <c r="A149" s="62">
        <v>1</v>
      </c>
      <c r="B149" s="52">
        <v>2</v>
      </c>
    </row>
    <row r="150" spans="1:4" ht="57" customHeight="1" thickBot="1">
      <c r="A150" s="38" t="s">
        <v>156</v>
      </c>
      <c r="B150" s="1128" t="s">
        <v>765</v>
      </c>
    </row>
    <row r="151" spans="1:4" ht="63.75" thickBot="1">
      <c r="A151" s="292" t="s">
        <v>17</v>
      </c>
      <c r="B151" s="23" t="s">
        <v>156</v>
      </c>
    </row>
    <row r="152" spans="1:4">
      <c r="A152" s="410" t="s">
        <v>21</v>
      </c>
      <c r="B152" s="1129">
        <v>1004407</v>
      </c>
    </row>
    <row r="153" spans="1:4">
      <c r="A153" s="390" t="s">
        <v>22</v>
      </c>
      <c r="B153" s="1130">
        <v>2716373</v>
      </c>
    </row>
    <row r="154" spans="1:4">
      <c r="A154" s="390" t="s">
        <v>23</v>
      </c>
      <c r="B154" s="1130">
        <v>609302</v>
      </c>
    </row>
    <row r="155" spans="1:4">
      <c r="A155" s="390" t="s">
        <v>24</v>
      </c>
      <c r="B155" s="1130">
        <v>206774</v>
      </c>
    </row>
    <row r="156" spans="1:4">
      <c r="A156" s="390" t="s">
        <v>25</v>
      </c>
      <c r="B156" s="1130">
        <v>757867</v>
      </c>
    </row>
    <row r="157" spans="1:4">
      <c r="A157" s="390" t="s">
        <v>26</v>
      </c>
      <c r="B157" s="1130">
        <v>858371</v>
      </c>
    </row>
    <row r="158" spans="1:4">
      <c r="A158" s="390" t="s">
        <v>27</v>
      </c>
      <c r="B158" s="1130">
        <v>1828775</v>
      </c>
    </row>
    <row r="159" spans="1:4">
      <c r="A159" s="390" t="s">
        <v>28</v>
      </c>
      <c r="B159" s="1130">
        <v>62550</v>
      </c>
    </row>
    <row r="160" spans="1:4">
      <c r="A160" s="390" t="s">
        <v>29</v>
      </c>
      <c r="B160" s="1130">
        <v>302379</v>
      </c>
    </row>
    <row r="161" spans="1:2">
      <c r="A161" s="390" t="s">
        <v>30</v>
      </c>
      <c r="B161" s="1130">
        <v>1281953</v>
      </c>
    </row>
    <row r="162" spans="1:2">
      <c r="A162" s="390" t="s">
        <v>31</v>
      </c>
      <c r="B162" s="1130">
        <v>859530</v>
      </c>
    </row>
    <row r="163" spans="1:2">
      <c r="A163" s="390" t="s">
        <v>32</v>
      </c>
      <c r="B163" s="1130">
        <v>239130</v>
      </c>
    </row>
    <row r="164" spans="1:2">
      <c r="A164" s="390" t="s">
        <v>33</v>
      </c>
      <c r="B164" s="1130">
        <v>338782</v>
      </c>
    </row>
    <row r="165" spans="1:2">
      <c r="A165" s="390" t="s">
        <v>34</v>
      </c>
      <c r="B165" s="1130">
        <v>590443</v>
      </c>
    </row>
    <row r="166" spans="1:2">
      <c r="A166" s="390" t="s">
        <v>35</v>
      </c>
      <c r="B166" s="1130">
        <v>4236132</v>
      </c>
    </row>
    <row r="167" spans="1:2">
      <c r="A167" s="390" t="s">
        <v>36</v>
      </c>
      <c r="B167" s="1130">
        <v>101236</v>
      </c>
    </row>
    <row r="168" spans="1:2">
      <c r="A168" s="390" t="s">
        <v>37</v>
      </c>
      <c r="B168" s="1130">
        <v>255008</v>
      </c>
    </row>
    <row r="169" spans="1:2">
      <c r="A169" s="390" t="s">
        <v>38</v>
      </c>
      <c r="B169" s="1130">
        <v>1524062</v>
      </c>
    </row>
    <row r="170" spans="1:2">
      <c r="A170" s="390" t="s">
        <v>39</v>
      </c>
      <c r="B170" s="1130">
        <v>685955</v>
      </c>
    </row>
    <row r="171" spans="1:2">
      <c r="A171" s="390" t="s">
        <v>40</v>
      </c>
      <c r="B171" s="1130">
        <v>469614</v>
      </c>
    </row>
    <row r="172" spans="1:2">
      <c r="A172" s="390" t="s">
        <v>41</v>
      </c>
      <c r="B172" s="1130">
        <v>524793</v>
      </c>
    </row>
    <row r="173" spans="1:2">
      <c r="A173" s="390" t="s">
        <v>42</v>
      </c>
      <c r="B173" s="1130">
        <v>320730</v>
      </c>
    </row>
    <row r="174" spans="1:2">
      <c r="A174" s="390" t="s">
        <v>43</v>
      </c>
      <c r="B174" s="1130">
        <v>1764500</v>
      </c>
    </row>
    <row r="175" spans="1:2">
      <c r="A175" s="390" t="s">
        <v>44</v>
      </c>
      <c r="B175" s="1130">
        <v>1130815</v>
      </c>
    </row>
    <row r="176" spans="1:2">
      <c r="A176" s="390" t="s">
        <v>45</v>
      </c>
      <c r="B176" s="1130">
        <v>1743287</v>
      </c>
    </row>
    <row r="177" spans="1:2">
      <c r="A177" s="390" t="s">
        <v>46</v>
      </c>
      <c r="B177" s="1130">
        <v>204592</v>
      </c>
    </row>
    <row r="178" spans="1:2">
      <c r="A178" s="390" t="s">
        <v>48</v>
      </c>
      <c r="B178" s="1130">
        <v>657964</v>
      </c>
    </row>
    <row r="179" spans="1:2" ht="21.75" thickBot="1">
      <c r="A179" s="391" t="s">
        <v>49</v>
      </c>
      <c r="B179" s="1131">
        <v>4724676</v>
      </c>
    </row>
    <row r="180" spans="1:2" ht="24" thickBot="1">
      <c r="A180" s="392" t="s">
        <v>50</v>
      </c>
      <c r="B180" s="433">
        <f>SUM(B152:B179)</f>
        <v>30000000</v>
      </c>
    </row>
    <row r="182" spans="1:2" ht="36.75" thickBot="1">
      <c r="A182" s="1133" t="s">
        <v>753</v>
      </c>
      <c r="B182" s="1050"/>
    </row>
    <row r="183" spans="1:2" ht="21.75" thickBot="1">
      <c r="A183" s="62"/>
      <c r="B183" s="63" t="s">
        <v>766</v>
      </c>
    </row>
    <row r="184" spans="1:2" ht="21.75" thickBot="1">
      <c r="A184" s="62">
        <v>1</v>
      </c>
      <c r="B184" s="52">
        <v>2</v>
      </c>
    </row>
    <row r="185" spans="1:2" ht="54" thickBot="1">
      <c r="A185" s="1134" t="s">
        <v>708</v>
      </c>
      <c r="B185" s="1128" t="s">
        <v>765</v>
      </c>
    </row>
    <row r="186" spans="1:2" ht="42.75" thickBot="1">
      <c r="A186" s="292" t="s">
        <v>17</v>
      </c>
      <c r="B186" s="23" t="s">
        <v>708</v>
      </c>
    </row>
    <row r="187" spans="1:2">
      <c r="A187" s="410" t="s">
        <v>21</v>
      </c>
      <c r="B187" s="1135">
        <v>1361076</v>
      </c>
    </row>
    <row r="188" spans="1:2">
      <c r="A188" s="390" t="s">
        <v>22</v>
      </c>
      <c r="B188" s="1130">
        <v>1664598</v>
      </c>
    </row>
    <row r="189" spans="1:2">
      <c r="A189" s="390" t="s">
        <v>23</v>
      </c>
      <c r="B189" s="1130">
        <v>814514</v>
      </c>
    </row>
    <row r="190" spans="1:2">
      <c r="A190" s="390" t="s">
        <v>24</v>
      </c>
      <c r="B190" s="1130">
        <v>494178</v>
      </c>
    </row>
    <row r="191" spans="1:2">
      <c r="A191" s="390" t="s">
        <v>25</v>
      </c>
      <c r="B191" s="1130">
        <v>2454251</v>
      </c>
    </row>
    <row r="192" spans="1:2">
      <c r="A192" s="390" t="s">
        <v>26</v>
      </c>
      <c r="B192" s="1130">
        <v>1601835</v>
      </c>
    </row>
    <row r="193" spans="1:2">
      <c r="A193" s="390" t="s">
        <v>27</v>
      </c>
      <c r="B193" s="1130">
        <v>2154031</v>
      </c>
    </row>
    <row r="194" spans="1:2">
      <c r="A194" s="390" t="s">
        <v>28</v>
      </c>
      <c r="B194" s="1130">
        <v>748137</v>
      </c>
    </row>
    <row r="195" spans="1:2">
      <c r="A195" s="390" t="s">
        <v>29</v>
      </c>
      <c r="B195" s="1130">
        <v>1777524</v>
      </c>
    </row>
    <row r="196" spans="1:2">
      <c r="A196" s="390" t="s">
        <v>30</v>
      </c>
      <c r="B196" s="1130">
        <v>714831</v>
      </c>
    </row>
    <row r="197" spans="1:2">
      <c r="A197" s="390" t="s">
        <v>31</v>
      </c>
      <c r="B197" s="1130">
        <v>1713555</v>
      </c>
    </row>
    <row r="198" spans="1:2">
      <c r="A198" s="390" t="s">
        <v>32</v>
      </c>
      <c r="B198" s="1130">
        <v>1501485</v>
      </c>
    </row>
    <row r="199" spans="1:2">
      <c r="A199" s="390" t="s">
        <v>33</v>
      </c>
      <c r="B199" s="1130">
        <v>764607</v>
      </c>
    </row>
    <row r="200" spans="1:2">
      <c r="A200" s="390" t="s">
        <v>34</v>
      </c>
      <c r="B200" s="1130">
        <v>1862607</v>
      </c>
    </row>
    <row r="201" spans="1:2">
      <c r="A201" s="390" t="s">
        <v>35</v>
      </c>
      <c r="B201" s="1130">
        <v>2299040</v>
      </c>
    </row>
    <row r="202" spans="1:2">
      <c r="A202" s="390" t="s">
        <v>36</v>
      </c>
      <c r="B202" s="1130">
        <v>1610425</v>
      </c>
    </row>
    <row r="203" spans="1:2">
      <c r="A203" s="390" t="s">
        <v>37</v>
      </c>
      <c r="B203" s="1130">
        <v>666964</v>
      </c>
    </row>
    <row r="204" spans="1:2">
      <c r="A204" s="390" t="s">
        <v>38</v>
      </c>
      <c r="B204" s="1130">
        <v>1576533</v>
      </c>
    </row>
    <row r="205" spans="1:2">
      <c r="A205" s="390" t="s">
        <v>39</v>
      </c>
      <c r="B205" s="1130">
        <v>1722262</v>
      </c>
    </row>
    <row r="206" spans="1:2">
      <c r="A206" s="390" t="s">
        <v>40</v>
      </c>
      <c r="B206" s="1130">
        <v>1053760</v>
      </c>
    </row>
    <row r="207" spans="1:2">
      <c r="A207" s="390" t="s">
        <v>41</v>
      </c>
      <c r="B207" s="1130">
        <v>1348353</v>
      </c>
    </row>
    <row r="208" spans="1:2">
      <c r="A208" s="390" t="s">
        <v>42</v>
      </c>
      <c r="B208" s="1130">
        <v>959639</v>
      </c>
    </row>
    <row r="209" spans="1:2">
      <c r="A209" s="390" t="s">
        <v>43</v>
      </c>
      <c r="B209" s="1130">
        <v>2073253</v>
      </c>
    </row>
    <row r="210" spans="1:2">
      <c r="A210" s="390" t="s">
        <v>44</v>
      </c>
      <c r="B210" s="1130">
        <v>1446897</v>
      </c>
    </row>
    <row r="211" spans="1:2">
      <c r="A211" s="390" t="s">
        <v>45</v>
      </c>
      <c r="B211" s="1130">
        <v>1538643</v>
      </c>
    </row>
    <row r="212" spans="1:2">
      <c r="A212" s="390" t="s">
        <v>46</v>
      </c>
      <c r="B212" s="1130">
        <v>1471106</v>
      </c>
    </row>
    <row r="213" spans="1:2">
      <c r="A213" s="390" t="s">
        <v>48</v>
      </c>
      <c r="B213" s="1130">
        <v>924068</v>
      </c>
    </row>
    <row r="214" spans="1:2" ht="21.75" thickBot="1">
      <c r="A214" s="391" t="s">
        <v>49</v>
      </c>
      <c r="B214" s="1131">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election activeCell="C1" sqref="C1"/>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8" t="s">
        <v>748</v>
      </c>
      <c r="B4" s="1148"/>
      <c r="C4" s="1148"/>
      <c r="D4" s="1148"/>
      <c r="E4" s="1148"/>
      <c r="F4" s="1148"/>
      <c r="G4" s="1148"/>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17</v>
      </c>
      <c r="E7" s="956"/>
      <c r="F7" s="956"/>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19" t="s">
        <v>720</v>
      </c>
      <c r="D10" s="919"/>
      <c r="E10" s="919"/>
      <c r="F10" s="919"/>
      <c r="G10" s="919"/>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t="e" vm="1">
        <f>IF(+'EXHIBIT A'!E44&gt;=0.0499,+'EXHIBIT A'!E44,"PERCENTAGE DOES NOT MEET STATUTORY GUIDELINES")</f>
        <v>#VALUE!</v>
      </c>
      <c r="D17" s="848"/>
      <c r="E17" s="848"/>
      <c r="F17" s="848"/>
      <c r="G17" s="848"/>
      <c r="H17" s="88"/>
    </row>
    <row r="18" spans="1:8" ht="20.100000000000001" customHeight="1">
      <c r="A18" s="841"/>
      <c r="B18" s="841"/>
      <c r="C18" s="920" t="s">
        <v>105</v>
      </c>
      <c r="D18" s="920"/>
      <c r="E18" s="920"/>
      <c r="F18" s="920"/>
      <c r="G18" s="920"/>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t="e" vm="2">
        <f>VLOOKUP($D$7,VLOOKUP!$A$111:$S$139,2)*30+D59</f>
        <v>#VALUE!</v>
      </c>
      <c r="E44" s="114">
        <f>+'EXHIBIT C'!F10</f>
        <v>0</v>
      </c>
      <c r="F44" s="115" t="e" vm="1">
        <f t="shared" ref="F44:F50" si="0">IF(D44=0,"0",(E44/D44-1))</f>
        <v>#VALUE!</v>
      </c>
      <c r="G44" s="116" t="e" vm="1">
        <f t="shared" ref="G44:G50" si="1">IF(OR(F44&gt;3%, F44&lt;-3%),"YES","NO")</f>
        <v>#VALUE!</v>
      </c>
      <c r="H44" s="88"/>
    </row>
    <row r="45" spans="1:8" ht="20.100000000000001" customHeight="1">
      <c r="C45" s="117" t="s">
        <v>132</v>
      </c>
      <c r="D45" s="664" t="e" vm="2">
        <f>VLOOKUP($D$7,VLOOKUP!$A$111:$S$139,5)*30+D60</f>
        <v>#VALUE!</v>
      </c>
      <c r="E45" s="118">
        <f>+'EXHIBIT C'!F11</f>
        <v>0</v>
      </c>
      <c r="F45" s="665" t="e" vm="1">
        <f t="shared" si="0"/>
        <v>#VALUE!</v>
      </c>
      <c r="G45" s="666" t="e" vm="1">
        <f t="shared" si="1"/>
        <v>#VALUE!</v>
      </c>
      <c r="H45" s="88"/>
    </row>
    <row r="46" spans="1:8" ht="20.100000000000001" customHeight="1">
      <c r="C46" s="667" t="s">
        <v>133</v>
      </c>
      <c r="D46" s="668" t="e" vm="2">
        <f>VLOOKUP($D$7,VLOOKUP!$A$111:$S$139,8)*30</f>
        <v>#VALUE!</v>
      </c>
      <c r="E46" s="669">
        <f>+'EXHIBIT C'!F12</f>
        <v>0</v>
      </c>
      <c r="F46" s="665" t="e" vm="1">
        <f t="shared" si="0"/>
        <v>#VALUE!</v>
      </c>
      <c r="G46" s="666" t="e" vm="1">
        <f t="shared" si="1"/>
        <v>#VALUE!</v>
      </c>
      <c r="H46" s="88"/>
    </row>
    <row r="47" spans="1:8" ht="20.100000000000001" customHeight="1">
      <c r="C47" s="667" t="s">
        <v>82</v>
      </c>
      <c r="D47" s="668" t="e" vm="2">
        <f>VLOOKUP($D$7,VLOOKUP!$A$111:$S$139,17)*30</f>
        <v>#VALUE!</v>
      </c>
      <c r="E47" s="669">
        <f>+'EXHIBIT C'!F13</f>
        <v>0</v>
      </c>
      <c r="F47" s="665" t="e" vm="1">
        <f t="shared" si="0"/>
        <v>#VALUE!</v>
      </c>
      <c r="G47" s="666" t="e" vm="1">
        <f t="shared" si="1"/>
        <v>#VALUE!</v>
      </c>
      <c r="H47" s="88"/>
    </row>
    <row r="48" spans="1:8" ht="20.100000000000001" customHeight="1">
      <c r="C48" s="667" t="s">
        <v>134</v>
      </c>
      <c r="D48" s="668" t="e" vm="2">
        <f>VLOOKUP($D$7,VLOOKUP!$A$111:$S$139,11)*30</f>
        <v>#VALUE!</v>
      </c>
      <c r="E48" s="669">
        <f>+'EXHIBIT C'!F14</f>
        <v>0</v>
      </c>
      <c r="F48" s="665" t="e" vm="1">
        <f t="shared" si="0"/>
        <v>#VALUE!</v>
      </c>
      <c r="G48" s="666" t="e" vm="1">
        <f t="shared" si="1"/>
        <v>#VALUE!</v>
      </c>
      <c r="H48" s="88"/>
    </row>
    <row r="49" spans="3:8" ht="20.100000000000001" customHeight="1" thickBot="1">
      <c r="C49" s="670" t="s">
        <v>135</v>
      </c>
      <c r="D49" s="671" t="e" vm="2">
        <f>VLOOKUP($D$7,VLOOKUP!$A$111:$S$139,14)*30</f>
        <v>#VALUE!</v>
      </c>
      <c r="E49" s="672">
        <f>+'EXHIBIT C'!F15</f>
        <v>0</v>
      </c>
      <c r="F49" s="673" t="e" vm="1">
        <f t="shared" si="0"/>
        <v>#VALUE!</v>
      </c>
      <c r="G49" s="674" t="e" vm="1">
        <f t="shared" si="1"/>
        <v>#VALUE!</v>
      </c>
      <c r="H49" s="88"/>
    </row>
    <row r="50" spans="3:8" ht="20.100000000000001" customHeight="1" thickBot="1">
      <c r="C50" s="119" t="s">
        <v>50</v>
      </c>
      <c r="D50" s="120" t="e" vm="1">
        <f>SUM(D44:D49)</f>
        <v>#VALUE!</v>
      </c>
      <c r="E50" s="121">
        <f>+'EXHIBIT C'!F17</f>
        <v>0</v>
      </c>
      <c r="F50" s="122" t="e" vm="1">
        <f t="shared" si="0"/>
        <v>#VALUE!</v>
      </c>
      <c r="G50" s="123" t="e" vm="1">
        <f t="shared" si="1"/>
        <v>#VALUE!</v>
      </c>
      <c r="H50" s="88"/>
    </row>
    <row r="51" spans="3:8" ht="46.5" customHeight="1" thickBot="1">
      <c r="C51" s="921" t="s">
        <v>136</v>
      </c>
      <c r="D51" s="922"/>
      <c r="E51" s="922"/>
      <c r="F51" s="922"/>
      <c r="G51" s="923"/>
      <c r="H51" s="88"/>
    </row>
    <row r="52" spans="3:8" ht="24.6" customHeight="1" thickBot="1">
      <c r="C52" s="845" t="s">
        <v>749</v>
      </c>
      <c r="D52" s="846"/>
      <c r="E52" s="846"/>
      <c r="F52" s="846"/>
      <c r="G52" s="847"/>
      <c r="H52" s="124"/>
    </row>
    <row r="53" spans="3:8" ht="205.5" customHeight="1" thickBot="1">
      <c r="C53" s="1108"/>
      <c r="D53" s="1109"/>
      <c r="E53" s="1109"/>
      <c r="F53" s="1109"/>
      <c r="G53" s="1110"/>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t="e" vm="2">
        <f>VLOOKUP($D$7,VLOOKUP!$A$111:$S$139,3)*30</f>
        <v>#VALUE!</v>
      </c>
      <c r="E59" s="130">
        <f>+'EXHIBIT C'!D19</f>
        <v>0</v>
      </c>
      <c r="F59" s="676" t="e" vm="1">
        <f t="shared" ref="F59:F65" si="2">IF(D59=0,"0",(E59/D59-1))</f>
        <v>#VALUE!</v>
      </c>
      <c r="G59" s="677" t="e" vm="1">
        <f>IF(OR(F59&gt;5%, F59&lt;-5%),"YES","NO")</f>
        <v>#VALUE!</v>
      </c>
    </row>
    <row r="60" spans="3:8" ht="20.100000000000001" customHeight="1">
      <c r="C60" s="117" t="s">
        <v>132</v>
      </c>
      <c r="D60" s="675" t="e" vm="2">
        <f>VLOOKUP($D$7,VLOOKUP!$A$111:$S$139,6)*30</f>
        <v>#VALUE!</v>
      </c>
      <c r="E60" s="131">
        <f>+'EXHIBIT C'!D20</f>
        <v>0</v>
      </c>
      <c r="F60" s="676" t="e" vm="1">
        <f t="shared" si="2"/>
        <v>#VALUE!</v>
      </c>
      <c r="G60" s="677" t="e" vm="1">
        <f t="shared" ref="G60:G65" si="3">IF(OR(F60&gt;5%, F60&lt;-5%),"YES","NO")</f>
        <v>#VALUE!</v>
      </c>
      <c r="H60" s="88"/>
    </row>
    <row r="61" spans="3:8" ht="20.100000000000001" customHeight="1">
      <c r="C61" s="667" t="s">
        <v>133</v>
      </c>
      <c r="D61" s="678" t="e" vm="2">
        <f>VLOOKUP($D$7,VLOOKUP!$A$111:$S$139,9)*30</f>
        <v>#VALUE!</v>
      </c>
      <c r="E61" s="679">
        <f>+'EXHIBIT C'!D21</f>
        <v>0</v>
      </c>
      <c r="F61" s="676" t="e" vm="1">
        <f t="shared" si="2"/>
        <v>#VALUE!</v>
      </c>
      <c r="G61" s="677" t="e" vm="1">
        <f t="shared" si="3"/>
        <v>#VALUE!</v>
      </c>
      <c r="H61" s="88"/>
    </row>
    <row r="62" spans="3:8" ht="20.100000000000001" customHeight="1">
      <c r="C62" s="667" t="s">
        <v>82</v>
      </c>
      <c r="D62" s="678" t="e" vm="2">
        <f>VLOOKUP($D$7,VLOOKUP!$A$111:$S$139,18)*30</f>
        <v>#VALUE!</v>
      </c>
      <c r="E62" s="679">
        <f>+'EXHIBIT C'!D22</f>
        <v>0</v>
      </c>
      <c r="F62" s="676" t="e" vm="1">
        <f t="shared" si="2"/>
        <v>#VALUE!</v>
      </c>
      <c r="G62" s="677" t="e" vm="1">
        <f t="shared" si="3"/>
        <v>#VALUE!</v>
      </c>
      <c r="H62" s="88"/>
    </row>
    <row r="63" spans="3:8" ht="20.100000000000001" customHeight="1">
      <c r="C63" s="667" t="s">
        <v>134</v>
      </c>
      <c r="D63" s="678" t="e" vm="2">
        <f>VLOOKUP($D$7,VLOOKUP!$A$111:$S$139,12)*30</f>
        <v>#VALUE!</v>
      </c>
      <c r="E63" s="679">
        <f>+'EXHIBIT C'!D23</f>
        <v>0</v>
      </c>
      <c r="F63" s="676" t="e" vm="1">
        <f t="shared" si="2"/>
        <v>#VALUE!</v>
      </c>
      <c r="G63" s="677" t="e" vm="1">
        <f t="shared" si="3"/>
        <v>#VALUE!</v>
      </c>
      <c r="H63" s="88"/>
    </row>
    <row r="64" spans="3:8" ht="20.100000000000001" customHeight="1" thickBot="1">
      <c r="C64" s="670" t="s">
        <v>135</v>
      </c>
      <c r="D64" s="680" t="e" vm="2">
        <f>VLOOKUP($D$7,VLOOKUP!$A$111:$S$139,15)*30</f>
        <v>#VALUE!</v>
      </c>
      <c r="E64" s="681">
        <f>+'EXHIBIT C'!D24</f>
        <v>0</v>
      </c>
      <c r="F64" s="682" t="e" vm="1">
        <f t="shared" si="2"/>
        <v>#VALUE!</v>
      </c>
      <c r="G64" s="683" t="e" vm="1">
        <f t="shared" si="3"/>
        <v>#VALUE!</v>
      </c>
      <c r="H64" s="88"/>
    </row>
    <row r="65" spans="1:8" ht="20.100000000000001" customHeight="1" thickBot="1">
      <c r="C65" s="119" t="s">
        <v>50</v>
      </c>
      <c r="D65" s="132" t="e" vm="1">
        <f>SUM(D59:D64)</f>
        <v>#VALUE!</v>
      </c>
      <c r="E65" s="133">
        <f>SUM(E59:E64)</f>
        <v>0</v>
      </c>
      <c r="F65" s="134" t="e" vm="1">
        <f t="shared" si="2"/>
        <v>#VALUE!</v>
      </c>
      <c r="G65" s="135" t="e" vm="1">
        <f t="shared" si="3"/>
        <v>#VALUE!</v>
      </c>
      <c r="H65" s="88"/>
    </row>
    <row r="66" spans="1:8" ht="42" customHeight="1" thickBot="1">
      <c r="C66" s="921" t="s">
        <v>141</v>
      </c>
      <c r="D66" s="922"/>
      <c r="E66" s="922"/>
      <c r="F66" s="922"/>
      <c r="G66" s="923"/>
      <c r="H66" s="88"/>
    </row>
    <row r="67" spans="1:8" ht="24.6" customHeight="1" thickBot="1">
      <c r="A67" s="98"/>
      <c r="B67" s="98"/>
      <c r="C67" s="842" t="s">
        <v>749</v>
      </c>
      <c r="D67" s="843"/>
      <c r="E67" s="843"/>
      <c r="F67" s="843"/>
      <c r="G67" s="844"/>
      <c r="H67" s="88"/>
    </row>
    <row r="68" spans="1:8" ht="227.25" customHeight="1" thickBot="1">
      <c r="A68" s="98"/>
      <c r="B68" s="98"/>
      <c r="C68" s="1111"/>
      <c r="D68" s="1112"/>
      <c r="E68" s="1112"/>
      <c r="F68" s="1112"/>
      <c r="G68" s="1113"/>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4" t="s">
        <v>151</v>
      </c>
      <c r="D81" s="924"/>
      <c r="E81" s="924"/>
      <c r="F81" s="924"/>
      <c r="G81" s="924"/>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t="e" vm="2">
        <f>VLOOKUP($D$7,VLOOKUP!$A$7:$E$35,2)</f>
        <v>#VALUE!</v>
      </c>
      <c r="E84" s="1149" t="e" vm="1">
        <f>+'EXHIBIT D'!G75</f>
        <v>#VALUE!</v>
      </c>
      <c r="F84" s="1149" t="e" vm="1">
        <f>D84-E84</f>
        <v>#VALUE!</v>
      </c>
      <c r="G84" s="88"/>
      <c r="H84" s="88"/>
    </row>
    <row r="85" spans="1:8" ht="20.100000000000001" customHeight="1">
      <c r="A85" s="98"/>
      <c r="B85" s="98"/>
      <c r="C85" s="688" t="s">
        <v>156</v>
      </c>
      <c r="D85" s="687" t="e" vm="2">
        <f>VLOOKUP($D$7,VLOOKUP!$A$152:$B$180,2)</f>
        <v>#VALUE!</v>
      </c>
      <c r="E85" s="1149">
        <f>'EXHIBIT D'!G77</f>
        <v>0</v>
      </c>
      <c r="F85" s="1149" t="e" vm="1">
        <f>D85-E85</f>
        <v>#VALUE!</v>
      </c>
      <c r="G85" s="88"/>
      <c r="H85" s="88"/>
    </row>
    <row r="86" spans="1:8" ht="20.100000000000001" customHeight="1">
      <c r="A86" s="98"/>
      <c r="B86" s="98"/>
      <c r="C86" s="688" t="s">
        <v>157</v>
      </c>
      <c r="D86" s="687" t="e" vm="2">
        <f>VLOOKUP($D$7,VLOOKUP!$A$7:$E$35,3)</f>
        <v>#VALUE!</v>
      </c>
      <c r="E86" s="1149" t="e" vm="1">
        <f>'EXHIBIT D'!G81</f>
        <v>#VALUE!</v>
      </c>
      <c r="F86" s="1149" t="e" vm="1">
        <f>D86-E86</f>
        <v>#VALUE!</v>
      </c>
      <c r="G86" s="88"/>
      <c r="H86" s="88"/>
    </row>
    <row r="87" spans="1:8" ht="20.100000000000001" customHeight="1" thickBot="1">
      <c r="A87" s="97"/>
      <c r="B87" s="97"/>
      <c r="C87" s="143" t="s">
        <v>708</v>
      </c>
      <c r="D87" s="687" t="e" vm="2">
        <f>VLOOKUP($D$7,VLOOKUP!$A$187:$B$215,2)</f>
        <v>#VALUE!</v>
      </c>
      <c r="E87" s="1150">
        <f>'EXHIBIT D'!G76</f>
        <v>0</v>
      </c>
      <c r="F87" s="1149" t="e" vm="1">
        <f>D87-E87</f>
        <v>#VALUE!</v>
      </c>
      <c r="G87" s="88"/>
      <c r="H87" s="88"/>
    </row>
    <row r="88" spans="1:8" ht="20.100000000000001" customHeight="1" thickBot="1">
      <c r="A88" s="97"/>
      <c r="B88" s="97"/>
      <c r="C88" s="144" t="s">
        <v>158</v>
      </c>
      <c r="D88" s="145" t="e" vm="1">
        <f>SUM(D84:D87)</f>
        <v>#VALUE!</v>
      </c>
      <c r="E88" s="145" t="e" vm="1">
        <f>SUM(E84:E87)</f>
        <v>#VALUE!</v>
      </c>
      <c r="F88" s="145" t="e" vm="1">
        <f>SUM(F84:F87)</f>
        <v>#VALUE!</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5" t="s">
        <v>726</v>
      </c>
      <c r="D99" s="925"/>
      <c r="E99" s="925"/>
      <c r="F99" s="925"/>
      <c r="G99" s="849"/>
      <c r="H99" s="849"/>
    </row>
    <row r="100" spans="1:8" ht="20.100000000000001" customHeight="1">
      <c r="A100" s="149"/>
      <c r="B100" s="150"/>
      <c r="C100" s="849"/>
      <c r="D100" s="849"/>
      <c r="E100" s="849"/>
      <c r="F100" s="849"/>
      <c r="G100" s="88"/>
      <c r="H100" s="88"/>
    </row>
    <row r="101" spans="1:8" ht="20.100000000000001" customHeight="1">
      <c r="C101" s="691">
        <f>+'EXHIBIT A'!E40</f>
        <v>0</v>
      </c>
      <c r="D101" s="836" t="s">
        <v>721</v>
      </c>
      <c r="E101" s="836"/>
      <c r="F101" s="836"/>
      <c r="G101" s="88"/>
      <c r="H101" s="88"/>
    </row>
    <row r="102" spans="1:8" ht="20.100000000000001" customHeight="1">
      <c r="A102" s="95"/>
      <c r="B102" s="95"/>
      <c r="C102" s="691">
        <f>'EXHIBIT D'!G266-'EXHIBIT D'!G252-'EXHIBIT D'!G264</f>
        <v>0</v>
      </c>
      <c r="D102" s="838" t="s">
        <v>722</v>
      </c>
      <c r="E102" s="838"/>
      <c r="F102" s="838"/>
      <c r="G102" s="88"/>
      <c r="H102" s="88"/>
    </row>
    <row r="103" spans="1:8" ht="66.599999999999994" customHeight="1">
      <c r="A103" s="151"/>
      <c r="B103" s="151"/>
      <c r="C103" s="692">
        <f>C101-C102</f>
        <v>0</v>
      </c>
      <c r="D103" s="926" t="s">
        <v>725</v>
      </c>
      <c r="E103" s="926"/>
      <c r="F103" s="926"/>
      <c r="G103" s="926"/>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19" t="s">
        <v>731</v>
      </c>
      <c r="D106" s="919"/>
      <c r="E106" s="919"/>
      <c r="F106" s="919"/>
      <c r="G106" s="919"/>
      <c r="H106" s="837"/>
    </row>
    <row r="107" spans="1:8" ht="20.100000000000001" customHeight="1">
      <c r="A107" s="151"/>
      <c r="B107" s="151"/>
    </row>
    <row r="108" spans="1:8" ht="24.75" customHeight="1">
      <c r="A108" s="151"/>
      <c r="B108" s="151"/>
      <c r="C108" s="154">
        <f>'EXHIBIT A'!E14</f>
        <v>0</v>
      </c>
      <c r="D108" s="17" t="s">
        <v>723</v>
      </c>
    </row>
    <row r="109" spans="1:8" ht="26.25" customHeight="1">
      <c r="A109" s="151"/>
      <c r="B109" s="151"/>
      <c r="C109" s="693">
        <f>'EXHIBIT A'!E36</f>
        <v>0</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6" t="s">
        <v>727</v>
      </c>
      <c r="E114" s="926"/>
      <c r="F114" s="926"/>
      <c r="G114" s="926"/>
    </row>
    <row r="115" spans="1:8" ht="20.100000000000001" customHeight="1">
      <c r="C115" s="154"/>
      <c r="D115" s="16"/>
    </row>
    <row r="116" spans="1:8" ht="20.100000000000001" customHeight="1">
      <c r="A116" s="28"/>
      <c r="B116" s="28"/>
      <c r="C116" s="28"/>
    </row>
    <row r="117" spans="1:8" ht="39" customHeight="1">
      <c r="A117" s="156" t="s">
        <v>168</v>
      </c>
      <c r="B117" s="28"/>
      <c r="C117" s="919" t="s">
        <v>169</v>
      </c>
      <c r="D117" s="919"/>
      <c r="E117" s="919"/>
      <c r="F117" s="919"/>
      <c r="G117" s="919"/>
      <c r="H117" s="837"/>
    </row>
    <row r="118" spans="1:8" ht="20.100000000000001" customHeight="1"/>
    <row r="119" spans="1:8" ht="20.100000000000001" customHeight="1">
      <c r="C119" s="157" t="str">
        <f>IF('EXHIBIT G'!D118=0,"No Credit Hours or Not Applicable",('EXHIBIT G'!D118/'EXHIBIT C'!F10))</f>
        <v>No Credit Hours or Not Applicable</v>
      </c>
      <c r="D119" s="17" t="s">
        <v>87</v>
      </c>
    </row>
    <row r="120" spans="1:8" ht="20.100000000000001" customHeight="1">
      <c r="C120" s="158"/>
    </row>
    <row r="121" spans="1:8" ht="20.100000000000001" customHeight="1">
      <c r="C121" s="159" t="str">
        <f>IF('EXHIBIT G'!D119=0,"No Credit Hours or Not Applicable",('EXHIBIT G'!D119/'EXHIBIT C'!D19))</f>
        <v>No Credit Hours or Not Applicable</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7" t="s">
        <v>728</v>
      </c>
      <c r="E126" s="927"/>
      <c r="F126" s="927"/>
      <c r="G126" s="927"/>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7" t="s">
        <v>729</v>
      </c>
      <c r="E129" s="927"/>
      <c r="F129" s="927"/>
      <c r="G129" s="927"/>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19" t="s">
        <v>730</v>
      </c>
      <c r="D133" s="919"/>
      <c r="E133" s="919"/>
      <c r="F133" s="919"/>
      <c r="G133" s="919"/>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4"/>
      <c r="D138" s="1115"/>
      <c r="E138" s="1115"/>
      <c r="F138" s="1115"/>
      <c r="G138" s="1116"/>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YGgv67mATIoyo62l612uP9sNfTx/+nHXfq2qBIiPTpB1gokGsXo/wXr4cvDfvqqdDT1uI8iYdmsJQfXPqune7w==" saltValue="e7VcmMuI/a+v2N5boGyDW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E40" sqref="E40"/>
    </sheetView>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8" t="s">
        <v>175</v>
      </c>
      <c r="C1" s="928"/>
      <c r="D1" s="928"/>
      <c r="E1" s="928"/>
      <c r="F1" s="286"/>
      <c r="G1" s="286"/>
    </row>
    <row r="2" spans="2:7" ht="26.25">
      <c r="B2" s="928" t="s">
        <v>11</v>
      </c>
      <c r="C2" s="928"/>
      <c r="D2" s="928"/>
      <c r="E2" s="928"/>
      <c r="F2" s="497"/>
      <c r="G2" s="497"/>
    </row>
    <row r="3" spans="2:7" ht="26.25">
      <c r="B3" s="928" t="s">
        <v>176</v>
      </c>
      <c r="C3" s="928"/>
      <c r="D3" s="928"/>
      <c r="E3" s="928"/>
      <c r="F3" s="497"/>
      <c r="G3" s="497"/>
    </row>
    <row r="4" spans="2:7" ht="26.25">
      <c r="B4" s="928" t="s">
        <v>177</v>
      </c>
      <c r="C4" s="928"/>
      <c r="D4" s="928"/>
      <c r="E4" s="928"/>
      <c r="F4" s="497"/>
      <c r="G4" s="497"/>
    </row>
    <row r="5" spans="2:7" ht="26.25">
      <c r="B5" s="928" t="s">
        <v>732</v>
      </c>
      <c r="C5" s="928"/>
      <c r="D5" s="928"/>
      <c r="E5" s="928"/>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COLLEGE NAME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0</v>
      </c>
    </row>
    <row r="14" spans="2:7" ht="25.35" customHeight="1">
      <c r="B14" s="17" t="s">
        <v>180</v>
      </c>
      <c r="D14" s="28"/>
      <c r="E14" s="585">
        <v>0</v>
      </c>
    </row>
    <row r="15" spans="2:7" ht="25.35" customHeight="1">
      <c r="B15" s="28"/>
      <c r="D15" s="28"/>
      <c r="E15" s="164"/>
    </row>
    <row r="16" spans="2:7" ht="25.35" customHeight="1">
      <c r="B16" s="17" t="s">
        <v>735</v>
      </c>
      <c r="C16" s="28"/>
      <c r="D16" s="28"/>
      <c r="E16" s="586">
        <f>+E14+E13</f>
        <v>0</v>
      </c>
    </row>
    <row r="17" spans="2:7" ht="25.35" customHeight="1">
      <c r="B17" s="28"/>
      <c r="C17" s="28"/>
      <c r="D17" s="28"/>
      <c r="E17" s="165"/>
    </row>
    <row r="18" spans="2:7" ht="25.35" customHeight="1">
      <c r="B18" s="17" t="s">
        <v>181</v>
      </c>
      <c r="C18" s="28"/>
      <c r="D18" s="28"/>
      <c r="E18" s="175" t="e" vm="1">
        <f>+'EXHIBIT D'!G142-SUM(+'EXHIBIT D'!G132+'EXHIBIT D'!G133)</f>
        <v>#VALUE!</v>
      </c>
      <c r="G18" s="138"/>
    </row>
    <row r="19" spans="2:7" ht="25.35" customHeight="1">
      <c r="B19" s="17" t="s">
        <v>182</v>
      </c>
      <c r="D19" s="28"/>
      <c r="E19" s="586">
        <f>+'EXHIBIT D'!G132+'EXHIBIT D'!G133</f>
        <v>0</v>
      </c>
    </row>
    <row r="20" spans="2:7" ht="25.35" customHeight="1">
      <c r="B20" s="28"/>
      <c r="D20" s="28"/>
      <c r="E20" s="170"/>
    </row>
    <row r="21" spans="2:7" ht="25.35" customHeight="1">
      <c r="B21" s="17" t="s">
        <v>183</v>
      </c>
      <c r="C21" s="28"/>
      <c r="D21" s="28"/>
      <c r="E21" s="587" t="e" vm="1">
        <f>+E19+E18</f>
        <v>#VALUE!</v>
      </c>
    </row>
    <row r="22" spans="2:7" ht="25.35" customHeight="1">
      <c r="B22" s="28"/>
      <c r="C22" s="28"/>
      <c r="D22" s="28"/>
      <c r="E22" s="170"/>
    </row>
    <row r="23" spans="2:7" ht="25.35" customHeight="1">
      <c r="B23" s="28" t="s">
        <v>184</v>
      </c>
      <c r="C23" s="28"/>
      <c r="D23" s="28"/>
      <c r="E23" s="587" t="e" vm="1">
        <f>+E21+E16</f>
        <v>#VALUE!</v>
      </c>
    </row>
    <row r="24" spans="2:7" ht="25.35" customHeight="1">
      <c r="B24" s="28"/>
      <c r="C24" s="28"/>
      <c r="D24" s="28"/>
      <c r="E24" s="170"/>
    </row>
    <row r="25" spans="2:7" ht="25.35" customHeight="1">
      <c r="B25" s="17" t="s">
        <v>185</v>
      </c>
      <c r="C25" s="28"/>
      <c r="D25" s="28"/>
      <c r="E25" s="176">
        <f>'EXHIBIT D'!G248-SUM(+'EXHIBIT D'!G222+'EXHIBIT D'!G223)</f>
        <v>0</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0</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t="e" vm="1">
        <f>+E23-E28</f>
        <v>#VALUE!</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t="e" vm="1">
        <f>+D32+D33</f>
        <v>#VALUE!</v>
      </c>
    </row>
    <row r="36" spans="2:10" ht="25.35" customHeight="1">
      <c r="B36" s="17" t="s">
        <v>737</v>
      </c>
      <c r="C36" s="28"/>
      <c r="D36" s="28"/>
      <c r="E36" s="587">
        <f>-'EXHIBIT D'!G264</f>
        <v>0</v>
      </c>
      <c r="J36" s="48"/>
    </row>
    <row r="37" spans="2:10" ht="25.35" customHeight="1">
      <c r="D37" s="28"/>
      <c r="E37" s="169"/>
    </row>
    <row r="38" spans="2:10" ht="25.35" customHeight="1">
      <c r="B38" s="28" t="s">
        <v>738</v>
      </c>
      <c r="D38" s="28"/>
      <c r="E38" s="586" t="e" vm="1">
        <f>+E35-E36</f>
        <v>#VALUE!</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t="e" vm="1">
        <f>+E40/E23</f>
        <v>#VALUE!</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B14" sqref="B14"/>
    </sheetView>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8" t="s">
        <v>11</v>
      </c>
      <c r="B3" s="928"/>
      <c r="C3" s="928"/>
      <c r="D3" s="928"/>
      <c r="E3" s="928"/>
      <c r="F3" s="928"/>
      <c r="G3" s="928"/>
      <c r="H3" s="928"/>
      <c r="I3" s="497"/>
      <c r="J3" s="285"/>
      <c r="K3" s="285"/>
    </row>
    <row r="4" spans="1:18" s="286" customFormat="1" ht="20.100000000000001" customHeight="1">
      <c r="A4" s="928" t="s">
        <v>176</v>
      </c>
      <c r="B4" s="928"/>
      <c r="C4" s="928"/>
      <c r="D4" s="928"/>
      <c r="E4" s="928"/>
      <c r="F4" s="928"/>
      <c r="G4" s="928"/>
      <c r="H4" s="928"/>
      <c r="I4" s="497"/>
    </row>
    <row r="5" spans="1:18" s="286" customFormat="1" ht="24" customHeight="1">
      <c r="A5" s="928" t="s">
        <v>741</v>
      </c>
      <c r="B5" s="928"/>
      <c r="C5" s="928"/>
      <c r="D5" s="928"/>
      <c r="E5" s="928"/>
      <c r="F5" s="928"/>
      <c r="G5" s="928"/>
      <c r="H5" s="928"/>
      <c r="I5" s="497"/>
    </row>
    <row r="6" spans="1:18" s="286" customFormat="1" ht="24" customHeight="1">
      <c r="A6" s="928" t="s">
        <v>196</v>
      </c>
      <c r="B6" s="928"/>
      <c r="C6" s="928"/>
      <c r="D6" s="928"/>
      <c r="E6" s="928"/>
      <c r="F6" s="928"/>
      <c r="G6" s="928"/>
      <c r="H6" s="928"/>
      <c r="I6" s="497"/>
    </row>
    <row r="7" spans="1:18" s="286" customFormat="1" ht="20.100000000000001" customHeight="1">
      <c r="A7" s="928"/>
      <c r="B7" s="928"/>
      <c r="C7" s="928"/>
      <c r="D7" s="928"/>
      <c r="E7" s="928"/>
      <c r="F7" s="928"/>
      <c r="G7" s="928"/>
      <c r="H7" s="928"/>
      <c r="I7" s="497"/>
    </row>
    <row r="8" spans="1:18" s="286" customFormat="1" ht="25.35" customHeight="1" thickBot="1">
      <c r="A8" s="928"/>
      <c r="B8" s="930"/>
      <c r="C8" s="928" t="s">
        <v>178</v>
      </c>
      <c r="D8" s="931" t="str">
        <f>'CHECK SHEET'!D7</f>
        <v>COLLEGE NAME</v>
      </c>
      <c r="E8" s="931"/>
      <c r="F8" s="931"/>
      <c r="G8" s="931"/>
      <c r="H8" s="931"/>
    </row>
    <row r="9" spans="1:18" s="17" customFormat="1" ht="20.100000000000001" customHeight="1"/>
    <row r="10" spans="1:18" s="17" customFormat="1" ht="20.100000000000001" customHeight="1">
      <c r="B10" s="28"/>
      <c r="C10" s="28"/>
      <c r="D10" s="28"/>
      <c r="E10" s="929"/>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2">
        <v>0</v>
      </c>
      <c r="C14" s="982">
        <v>0</v>
      </c>
      <c r="D14" s="982">
        <v>0</v>
      </c>
      <c r="E14" s="982">
        <v>0</v>
      </c>
      <c r="F14" s="982">
        <v>0</v>
      </c>
      <c r="G14" s="696">
        <f>SUM(B14:F14)</f>
        <v>0</v>
      </c>
      <c r="H14" s="367">
        <f>G14*30</f>
        <v>0</v>
      </c>
    </row>
    <row r="15" spans="1:18" s="17" customFormat="1" ht="20.100000000000001" customHeight="1">
      <c r="A15" s="28" t="s">
        <v>207</v>
      </c>
      <c r="B15" s="983">
        <v>0</v>
      </c>
      <c r="C15" s="983">
        <v>0</v>
      </c>
      <c r="D15" s="983">
        <v>0</v>
      </c>
      <c r="E15" s="983">
        <v>0</v>
      </c>
      <c r="F15" s="983">
        <v>0</v>
      </c>
      <c r="G15" s="696">
        <f>SUM(B15:F15)</f>
        <v>0</v>
      </c>
      <c r="H15" s="340">
        <f>G15*30</f>
        <v>0</v>
      </c>
    </row>
    <row r="16" spans="1:18" s="17" customFormat="1" ht="20.100000000000001" customHeight="1" thickBot="1">
      <c r="A16" s="28" t="s">
        <v>82</v>
      </c>
      <c r="B16" s="984">
        <v>0</v>
      </c>
      <c r="C16" s="984">
        <v>0</v>
      </c>
      <c r="D16" s="985"/>
      <c r="E16" s="984">
        <v>0</v>
      </c>
      <c r="F16" s="984">
        <v>0</v>
      </c>
      <c r="G16" s="341">
        <f>SUM(B16:F16)</f>
        <v>0</v>
      </c>
      <c r="H16" s="697">
        <f>G16*30</f>
        <v>0</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0</v>
      </c>
      <c r="C29" s="982">
        <v>0</v>
      </c>
      <c r="D29" s="982">
        <v>0</v>
      </c>
      <c r="E29" s="543">
        <f>D14</f>
        <v>0</v>
      </c>
      <c r="F29" s="982">
        <v>0</v>
      </c>
      <c r="G29" s="982">
        <v>0</v>
      </c>
      <c r="H29" s="348">
        <f>SUM(B29:G29)</f>
        <v>0</v>
      </c>
      <c r="I29" s="361">
        <f>H29*30</f>
        <v>0</v>
      </c>
    </row>
    <row r="30" spans="1:11" s="17" customFormat="1" ht="20.100000000000001" customHeight="1">
      <c r="A30" s="28" t="str">
        <f t="shared" si="0"/>
        <v>LOWER LEVEL - CREDIT (A &amp; P, PSV, DEVELOPMENTAL EDUCATION AND EPI)</v>
      </c>
      <c r="B30" s="700">
        <f t="shared" si="0"/>
        <v>0</v>
      </c>
      <c r="C30" s="986">
        <v>0</v>
      </c>
      <c r="D30" s="986">
        <v>0</v>
      </c>
      <c r="E30" s="701">
        <f>D15</f>
        <v>0</v>
      </c>
      <c r="F30" s="986">
        <v>0</v>
      </c>
      <c r="G30" s="986">
        <v>0</v>
      </c>
      <c r="H30" s="696">
        <f>SUM(B30:G30)</f>
        <v>0</v>
      </c>
      <c r="I30" s="340">
        <f>H30*30</f>
        <v>0</v>
      </c>
    </row>
    <row r="31" spans="1:11" s="17" customFormat="1" ht="20.100000000000001" customHeight="1" thickBot="1">
      <c r="A31" s="28" t="str">
        <f t="shared" si="0"/>
        <v>CAREER CERTIFICATE AND APPLIED TECHNOLOGY DIPLOMA</v>
      </c>
      <c r="B31" s="411">
        <f t="shared" si="0"/>
        <v>0</v>
      </c>
      <c r="C31" s="983">
        <v>0</v>
      </c>
      <c r="D31" s="983">
        <v>0</v>
      </c>
      <c r="E31" s="322"/>
      <c r="F31" s="983">
        <v>0</v>
      </c>
      <c r="G31" s="983">
        <v>0</v>
      </c>
      <c r="H31" s="341">
        <f>SUM(B31:G31)</f>
        <v>0</v>
      </c>
      <c r="I31" s="697">
        <f>H31*30</f>
        <v>0</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2" t="s">
        <v>742</v>
      </c>
      <c r="C40" s="932"/>
      <c r="D40" s="932"/>
      <c r="E40" s="932"/>
      <c r="F40" s="932"/>
      <c r="G40" s="932"/>
      <c r="H40" s="932"/>
      <c r="I40" s="932"/>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topLeftCell="A46" zoomScale="70" zoomScaleNormal="70" zoomScaleSheetLayoutView="50" zoomScalePageLayoutView="50" workbookViewId="0">
      <selection activeCell="D10" sqref="D10"/>
    </sheetView>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4" t="s">
        <v>11</v>
      </c>
      <c r="B2" s="934"/>
      <c r="C2" s="934"/>
      <c r="D2" s="934"/>
      <c r="E2" s="934"/>
      <c r="F2" s="934"/>
      <c r="G2" s="934"/>
      <c r="H2" s="857"/>
      <c r="I2" s="28"/>
    </row>
    <row r="3" spans="1:9" ht="20.100000000000001" customHeight="1">
      <c r="A3" s="934" t="s">
        <v>743</v>
      </c>
      <c r="B3" s="934"/>
      <c r="C3" s="934"/>
      <c r="D3" s="934"/>
      <c r="E3" s="934"/>
      <c r="F3" s="934"/>
      <c r="G3" s="934"/>
      <c r="H3" s="857"/>
    </row>
    <row r="4" spans="1:9" ht="20.100000000000001" customHeight="1">
      <c r="A4" s="332"/>
      <c r="B4" s="332"/>
      <c r="C4" s="332"/>
      <c r="D4" s="332"/>
      <c r="E4" s="332"/>
      <c r="F4" s="332"/>
      <c r="G4" s="332"/>
      <c r="H4" s="287"/>
    </row>
    <row r="5" spans="1:9" ht="27.6" customHeight="1" thickBot="1">
      <c r="A5" s="934" t="s">
        <v>218</v>
      </c>
      <c r="B5" s="935" t="str">
        <f>'CHECK SHEET'!D7</f>
        <v>COLLEGE NAME</v>
      </c>
      <c r="C5" s="935"/>
      <c r="D5" s="935"/>
      <c r="E5" s="935"/>
      <c r="F5" s="935"/>
      <c r="G5" s="332"/>
      <c r="H5" s="933"/>
    </row>
    <row r="6" spans="1:9" ht="20.100000000000001" customHeight="1">
      <c r="A6" s="332"/>
      <c r="B6" s="332"/>
      <c r="C6" s="332"/>
      <c r="D6" s="332"/>
      <c r="E6" s="332"/>
      <c r="F6" s="332"/>
      <c r="G6" s="332"/>
      <c r="H6" s="933"/>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0</v>
      </c>
      <c r="E10" s="546">
        <v>0</v>
      </c>
      <c r="F10" s="547">
        <f t="shared" ref="F10:F15" si="0">+D10-E10</f>
        <v>0</v>
      </c>
      <c r="G10" s="547">
        <f>'EXHIBIT B'!B14</f>
        <v>0</v>
      </c>
      <c r="H10" s="548">
        <f>ROUND(+F10*G10,0)</f>
        <v>0</v>
      </c>
    </row>
    <row r="11" spans="1:9" ht="20.100000000000001" customHeight="1">
      <c r="A11" s="707" t="s">
        <v>200</v>
      </c>
      <c r="B11" s="707" t="s">
        <v>132</v>
      </c>
      <c r="C11" s="708" t="s">
        <v>228</v>
      </c>
      <c r="D11" s="706">
        <v>0</v>
      </c>
      <c r="E11" s="706">
        <v>0</v>
      </c>
      <c r="F11" s="709">
        <f t="shared" si="0"/>
        <v>0</v>
      </c>
      <c r="G11" s="709">
        <f>+'EXHIBIT B'!B15</f>
        <v>0</v>
      </c>
      <c r="H11" s="710">
        <f t="shared" ref="H11:H15" si="1">ROUND(+F11*G11,0)</f>
        <v>0</v>
      </c>
    </row>
    <row r="12" spans="1:9" ht="20.100000000000001" customHeight="1">
      <c r="A12" s="707" t="s">
        <v>200</v>
      </c>
      <c r="B12" s="707" t="s">
        <v>133</v>
      </c>
      <c r="C12" s="708" t="s">
        <v>229</v>
      </c>
      <c r="D12" s="706">
        <v>0</v>
      </c>
      <c r="E12" s="706">
        <v>0</v>
      </c>
      <c r="F12" s="709">
        <f t="shared" si="0"/>
        <v>0</v>
      </c>
      <c r="G12" s="709">
        <f>+'EXHIBIT B'!B15</f>
        <v>0</v>
      </c>
      <c r="H12" s="710">
        <f t="shared" si="1"/>
        <v>0</v>
      </c>
    </row>
    <row r="13" spans="1:9" ht="20.100000000000001" customHeight="1">
      <c r="A13" s="707" t="s">
        <v>200</v>
      </c>
      <c r="B13" s="707" t="s">
        <v>82</v>
      </c>
      <c r="C13" s="708" t="s">
        <v>230</v>
      </c>
      <c r="D13" s="711">
        <v>0</v>
      </c>
      <c r="E13" s="711">
        <v>0</v>
      </c>
      <c r="F13" s="709">
        <f t="shared" si="0"/>
        <v>0</v>
      </c>
      <c r="G13" s="709">
        <f>+'EXHIBIT B'!B16</f>
        <v>0</v>
      </c>
      <c r="H13" s="710">
        <f t="shared" si="1"/>
        <v>0</v>
      </c>
    </row>
    <row r="14" spans="1:9" ht="20.100000000000001" customHeight="1">
      <c r="A14" s="707" t="s">
        <v>200</v>
      </c>
      <c r="B14" s="707" t="s">
        <v>134</v>
      </c>
      <c r="C14" s="708" t="s">
        <v>231</v>
      </c>
      <c r="D14" s="706">
        <v>0</v>
      </c>
      <c r="E14" s="706">
        <v>0</v>
      </c>
      <c r="F14" s="709">
        <f t="shared" si="0"/>
        <v>0</v>
      </c>
      <c r="G14" s="709">
        <f>+'EXHIBIT B'!B15</f>
        <v>0</v>
      </c>
      <c r="H14" s="710">
        <f t="shared" si="1"/>
        <v>0</v>
      </c>
    </row>
    <row r="15" spans="1:9" ht="20.100000000000001" customHeight="1" thickBot="1">
      <c r="A15" s="712" t="s">
        <v>200</v>
      </c>
      <c r="B15" s="712" t="s">
        <v>135</v>
      </c>
      <c r="C15" s="713">
        <v>40160</v>
      </c>
      <c r="D15" s="714">
        <v>0</v>
      </c>
      <c r="E15" s="714">
        <v>0</v>
      </c>
      <c r="F15" s="715">
        <f t="shared" si="0"/>
        <v>0</v>
      </c>
      <c r="G15" s="715">
        <f>+'EXHIBIT B'!B15</f>
        <v>0</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0</v>
      </c>
      <c r="E17" s="304">
        <f>SUM(E10:E15)</f>
        <v>0</v>
      </c>
      <c r="F17" s="305">
        <f>SUM(F10:F15)</f>
        <v>0</v>
      </c>
      <c r="G17" s="305"/>
      <c r="H17" s="306">
        <f>SUM(H10:H15)</f>
        <v>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7">
        <v>0</v>
      </c>
      <c r="E19" s="718">
        <f>'EXHIBIT B'!C29</f>
        <v>0</v>
      </c>
      <c r="F19" s="719">
        <f t="shared" ref="F19:F24" si="2">ROUND(+D19*E19,0)</f>
        <v>0</v>
      </c>
      <c r="G19" s="308"/>
      <c r="H19" s="308"/>
    </row>
    <row r="20" spans="1:9" ht="20.100000000000001" customHeight="1">
      <c r="A20" s="654" t="s">
        <v>215</v>
      </c>
      <c r="B20" s="654" t="s">
        <v>132</v>
      </c>
      <c r="C20" s="720" t="s">
        <v>235</v>
      </c>
      <c r="D20" s="727">
        <v>0</v>
      </c>
      <c r="E20" s="721">
        <f>+'EXHIBIT B'!C30</f>
        <v>0</v>
      </c>
      <c r="F20" s="722">
        <f t="shared" si="2"/>
        <v>0</v>
      </c>
      <c r="G20" s="48"/>
      <c r="H20" s="48"/>
    </row>
    <row r="21" spans="1:9" ht="20.100000000000001" customHeight="1">
      <c r="A21" s="654" t="s">
        <v>215</v>
      </c>
      <c r="B21" s="654" t="s">
        <v>133</v>
      </c>
      <c r="C21" s="720" t="s">
        <v>236</v>
      </c>
      <c r="D21" s="727">
        <v>0</v>
      </c>
      <c r="E21" s="721">
        <f>+'EXHIBIT B'!C30</f>
        <v>0</v>
      </c>
      <c r="F21" s="722">
        <f t="shared" si="2"/>
        <v>0</v>
      </c>
      <c r="G21" s="48"/>
      <c r="H21" s="48"/>
    </row>
    <row r="22" spans="1:9" ht="20.100000000000001" customHeight="1">
      <c r="A22" s="654" t="s">
        <v>215</v>
      </c>
      <c r="B22" s="654" t="s">
        <v>82</v>
      </c>
      <c r="C22" s="720" t="s">
        <v>237</v>
      </c>
      <c r="D22" s="727">
        <v>0</v>
      </c>
      <c r="E22" s="721">
        <f>+'EXHIBIT B'!C31</f>
        <v>0</v>
      </c>
      <c r="F22" s="722">
        <f t="shared" si="2"/>
        <v>0</v>
      </c>
      <c r="G22" s="48"/>
      <c r="H22" s="48"/>
    </row>
    <row r="23" spans="1:9" ht="20.100000000000001" customHeight="1">
      <c r="A23" s="654" t="s">
        <v>215</v>
      </c>
      <c r="B23" s="654" t="s">
        <v>134</v>
      </c>
      <c r="C23" s="720" t="s">
        <v>238</v>
      </c>
      <c r="D23" s="727">
        <v>0</v>
      </c>
      <c r="E23" s="721">
        <f>+'EXHIBIT B'!C30</f>
        <v>0</v>
      </c>
      <c r="F23" s="722">
        <f t="shared" si="2"/>
        <v>0</v>
      </c>
      <c r="G23" s="48"/>
      <c r="H23" s="48"/>
    </row>
    <row r="24" spans="1:9" ht="20.100000000000001" customHeight="1" thickBot="1">
      <c r="A24" s="606" t="s">
        <v>215</v>
      </c>
      <c r="B24" s="606" t="s">
        <v>135</v>
      </c>
      <c r="C24" s="607">
        <v>40360</v>
      </c>
      <c r="D24" s="988">
        <v>0</v>
      </c>
      <c r="E24" s="608">
        <f>+'EXHIBIT B'!C30</f>
        <v>0</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0</v>
      </c>
      <c r="E26" s="725"/>
      <c r="F26" s="726">
        <f>SUM(F19:F24)</f>
        <v>0</v>
      </c>
      <c r="G26" s="312"/>
      <c r="H26" s="312"/>
    </row>
    <row r="27" spans="1:9" ht="20.100000000000001" customHeight="1" thickBot="1">
      <c r="A27" s="313" t="s">
        <v>239</v>
      </c>
      <c r="B27" s="313"/>
      <c r="C27" s="313"/>
      <c r="D27" s="313"/>
      <c r="E27" s="313"/>
      <c r="F27" s="314"/>
      <c r="G27" s="549"/>
      <c r="H27" s="315">
        <f>H17+F26</f>
        <v>0</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0</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6" t="s">
        <v>752</v>
      </c>
      <c r="B50" s="1126"/>
      <c r="C50" s="1127"/>
      <c r="D50" s="1127"/>
      <c r="E50" s="1127"/>
      <c r="F50" s="1127"/>
    </row>
    <row r="51" spans="1:10" ht="44.45" customHeight="1" thickBot="1">
      <c r="A51" s="288" t="s">
        <v>258</v>
      </c>
      <c r="B51" s="288" t="s">
        <v>259</v>
      </c>
      <c r="C51" s="936" t="s">
        <v>260</v>
      </c>
      <c r="D51" s="937"/>
      <c r="E51" s="936" t="s">
        <v>261</v>
      </c>
      <c r="F51" s="937"/>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89">
        <v>0</v>
      </c>
      <c r="C54" s="991"/>
      <c r="D54" s="992"/>
      <c r="E54" s="991"/>
      <c r="F54" s="992"/>
    </row>
    <row r="55" spans="1:10" ht="24.95" customHeight="1">
      <c r="A55" s="733"/>
      <c r="B55" s="727">
        <v>0</v>
      </c>
      <c r="C55" s="993"/>
      <c r="D55" s="994"/>
      <c r="E55" s="993"/>
      <c r="F55" s="994"/>
      <c r="J55" s="92"/>
    </row>
    <row r="56" spans="1:10" ht="24.95" customHeight="1">
      <c r="A56" s="733"/>
      <c r="B56" s="727">
        <v>0</v>
      </c>
      <c r="C56" s="993"/>
      <c r="D56" s="994"/>
      <c r="E56" s="993"/>
      <c r="F56" s="994"/>
    </row>
    <row r="57" spans="1:10" ht="24.95" customHeight="1">
      <c r="A57" s="733"/>
      <c r="B57" s="727">
        <v>0</v>
      </c>
      <c r="C57" s="993"/>
      <c r="D57" s="994"/>
      <c r="E57" s="993"/>
      <c r="F57" s="994"/>
    </row>
    <row r="58" spans="1:10" ht="24.95" customHeight="1">
      <c r="A58" s="733"/>
      <c r="B58" s="727">
        <v>0</v>
      </c>
      <c r="C58" s="993"/>
      <c r="D58" s="994"/>
      <c r="E58" s="993"/>
      <c r="F58" s="994"/>
    </row>
    <row r="59" spans="1:10" ht="24.95" customHeight="1" thickBot="1">
      <c r="A59" s="610"/>
      <c r="B59" s="611">
        <v>0</v>
      </c>
      <c r="C59" s="995"/>
      <c r="D59" s="996"/>
      <c r="E59" s="997"/>
      <c r="F59" s="998"/>
    </row>
    <row r="60" spans="1:10" ht="24.95" customHeight="1" thickBot="1">
      <c r="A60" s="292" t="s">
        <v>262</v>
      </c>
      <c r="B60" s="293">
        <f>SUM(B54:B59)</f>
        <v>0</v>
      </c>
      <c r="C60" s="999"/>
      <c r="D60" s="1000"/>
      <c r="E60" s="999"/>
      <c r="F60" s="1000"/>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0">
        <v>0</v>
      </c>
      <c r="C63" s="991"/>
      <c r="D63" s="992"/>
      <c r="E63" s="991"/>
      <c r="F63" s="992"/>
    </row>
    <row r="64" spans="1:10" ht="24.95" customHeight="1">
      <c r="A64" s="733"/>
      <c r="B64" s="727">
        <v>0</v>
      </c>
      <c r="C64" s="993"/>
      <c r="D64" s="994"/>
      <c r="E64" s="993"/>
      <c r="F64" s="994"/>
    </row>
    <row r="65" spans="1:6" ht="24.95" customHeight="1">
      <c r="A65" s="733"/>
      <c r="B65" s="727">
        <v>0</v>
      </c>
      <c r="C65" s="993"/>
      <c r="D65" s="994"/>
      <c r="E65" s="993"/>
      <c r="F65" s="994"/>
    </row>
    <row r="66" spans="1:6" ht="24.95" customHeight="1">
      <c r="A66" s="733"/>
      <c r="B66" s="727">
        <v>0</v>
      </c>
      <c r="C66" s="993"/>
      <c r="D66" s="994"/>
      <c r="E66" s="993"/>
      <c r="F66" s="994"/>
    </row>
    <row r="67" spans="1:6" ht="24.95" customHeight="1">
      <c r="A67" s="733"/>
      <c r="B67" s="727">
        <v>0</v>
      </c>
      <c r="C67" s="993"/>
      <c r="D67" s="994"/>
      <c r="E67" s="993"/>
      <c r="F67" s="994"/>
    </row>
    <row r="68" spans="1:6" ht="24.95" customHeight="1" thickBot="1">
      <c r="A68" s="610"/>
      <c r="B68" s="611">
        <v>0</v>
      </c>
      <c r="C68" s="997"/>
      <c r="D68" s="998"/>
      <c r="E68" s="997"/>
      <c r="F68" s="998"/>
    </row>
    <row r="69" spans="1:6" ht="24.95" customHeight="1" thickBot="1">
      <c r="A69" s="292" t="s">
        <v>263</v>
      </c>
      <c r="B69" s="293">
        <f>SUM(B63:B68)</f>
        <v>0</v>
      </c>
      <c r="C69" s="1001"/>
      <c r="D69" s="1002"/>
      <c r="E69" s="1001"/>
      <c r="F69" s="1002"/>
    </row>
    <row r="70" spans="1:6" ht="24.95" customHeight="1" thickBot="1">
      <c r="A70" s="292" t="s">
        <v>264</v>
      </c>
      <c r="B70" s="293">
        <f>+B69+B60</f>
        <v>0</v>
      </c>
      <c r="C70" s="1001"/>
      <c r="D70" s="1002"/>
      <c r="E70" s="1003"/>
      <c r="F70" s="1004"/>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election activeCell="D13" sqref="D13"/>
    </sheetView>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8" t="s">
        <v>11</v>
      </c>
      <c r="B3" s="928"/>
      <c r="C3" s="928"/>
      <c r="D3" s="928"/>
      <c r="E3" s="928"/>
      <c r="F3" s="286"/>
    </row>
    <row r="4" spans="1:47" s="17" customFormat="1" ht="23.45" customHeight="1">
      <c r="A4" s="928" t="s">
        <v>266</v>
      </c>
      <c r="B4" s="928"/>
      <c r="C4" s="928"/>
      <c r="D4" s="928"/>
      <c r="E4" s="928"/>
      <c r="F4" s="286"/>
    </row>
    <row r="5" spans="1:47" s="17" customFormat="1" ht="23.1" customHeight="1">
      <c r="A5" s="928"/>
      <c r="B5" s="928"/>
      <c r="C5" s="928"/>
      <c r="D5" s="928"/>
      <c r="E5" s="928"/>
      <c r="F5" s="286"/>
    </row>
    <row r="6" spans="1:47" s="17" customFormat="1" ht="24.95" customHeight="1">
      <c r="A6" s="930"/>
      <c r="B6" s="930"/>
      <c r="C6" s="930"/>
      <c r="D6" s="930"/>
      <c r="E6" s="930"/>
      <c r="F6" s="286"/>
    </row>
    <row r="7" spans="1:47" s="17" customFormat="1" ht="24.95" customHeight="1" thickBot="1">
      <c r="A7" s="928" t="s">
        <v>218</v>
      </c>
      <c r="B7" s="931" t="str">
        <f>'CHECK SHEET'!D7</f>
        <v>COLLEGE NAME</v>
      </c>
      <c r="C7" s="931"/>
      <c r="D7" s="931"/>
      <c r="E7" s="931"/>
      <c r="F7" s="856"/>
    </row>
    <row r="8" spans="1:47" s="17" customFormat="1" ht="24.95" customHeight="1">
      <c r="A8" s="938"/>
      <c r="B8" s="938"/>
      <c r="C8" s="938"/>
      <c r="D8" s="938"/>
      <c r="E8" s="938"/>
    </row>
    <row r="9" spans="1:47" s="17" customFormat="1" ht="24.95" customHeight="1">
      <c r="A9" s="939"/>
      <c r="B9" s="939"/>
      <c r="C9" s="939"/>
      <c r="D9" s="939"/>
      <c r="E9" s="939"/>
    </row>
    <row r="10" spans="1:47" s="17" customFormat="1" ht="42.6" customHeight="1">
      <c r="A10" s="940" t="s">
        <v>267</v>
      </c>
      <c r="B10" s="940"/>
      <c r="C10" s="940"/>
      <c r="D10" s="940"/>
      <c r="E10" s="940"/>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5"/>
      <c r="E19" s="1006"/>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election activeCell="G46" sqref="G46"/>
    </sheetView>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1"/>
      <c r="B1" s="941"/>
      <c r="C1" s="941"/>
      <c r="D1" s="941"/>
      <c r="E1" s="941"/>
      <c r="F1" s="941"/>
      <c r="G1" s="942"/>
    </row>
    <row r="2" spans="1:8" ht="30" customHeight="1" thickBot="1">
      <c r="A2" s="942" t="s">
        <v>178</v>
      </c>
      <c r="B2" s="931" t="str">
        <f>'CHECK SHEET'!D7</f>
        <v>COLLEGE NAME</v>
      </c>
      <c r="C2" s="931"/>
      <c r="D2" s="931"/>
      <c r="E2" s="931"/>
      <c r="F2" s="931"/>
      <c r="G2" s="943"/>
    </row>
    <row r="3" spans="1:8" ht="23.1" customHeight="1">
      <c r="A3" s="928" t="s">
        <v>275</v>
      </c>
      <c r="B3" s="928"/>
      <c r="C3" s="928"/>
      <c r="D3" s="928"/>
      <c r="E3" s="928"/>
      <c r="F3" s="928"/>
      <c r="G3" s="928"/>
    </row>
    <row r="4" spans="1:8" ht="23.45" customHeight="1">
      <c r="A4" s="928" t="s">
        <v>276</v>
      </c>
      <c r="B4" s="928"/>
      <c r="C4" s="928"/>
      <c r="D4" s="928"/>
      <c r="E4" s="928"/>
      <c r="F4" s="928"/>
      <c r="G4" s="928"/>
    </row>
    <row r="5" spans="1:8" ht="23.45" customHeight="1">
      <c r="A5" s="928" t="s">
        <v>744</v>
      </c>
      <c r="B5" s="928"/>
      <c r="C5" s="928"/>
      <c r="D5" s="928"/>
      <c r="E5" s="928"/>
      <c r="F5" s="928"/>
      <c r="G5" s="928"/>
    </row>
    <row r="6" spans="1:8" ht="20.100000000000001" customHeight="1">
      <c r="A6" s="944"/>
      <c r="B6" s="944"/>
      <c r="C6" s="944"/>
      <c r="D6" s="944"/>
      <c r="E6" s="944"/>
      <c r="F6" s="944"/>
      <c r="G6" s="944"/>
    </row>
    <row r="7" spans="1:8" ht="38.450000000000003" customHeight="1">
      <c r="A7" s="945" t="s">
        <v>277</v>
      </c>
      <c r="B7" s="945"/>
      <c r="C7" s="945"/>
      <c r="D7" s="945"/>
      <c r="E7" s="945"/>
      <c r="F7" s="945"/>
      <c r="G7" s="945"/>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0</v>
      </c>
    </row>
    <row r="13" spans="1:8" ht="20.100000000000001" customHeight="1">
      <c r="A13" s="499" t="s">
        <v>200</v>
      </c>
      <c r="B13" s="184"/>
      <c r="C13" s="177" t="s">
        <v>132</v>
      </c>
      <c r="D13" s="184"/>
      <c r="E13" s="184"/>
      <c r="F13" s="189" t="s">
        <v>228</v>
      </c>
      <c r="G13" s="188">
        <f>+'EXHIBIT C'!H11+'EXHIBIT C(2)'!E14</f>
        <v>0</v>
      </c>
    </row>
    <row r="14" spans="1:8" ht="20.100000000000001" customHeight="1">
      <c r="A14" s="499" t="s">
        <v>200</v>
      </c>
      <c r="B14" s="184"/>
      <c r="C14" s="184" t="s">
        <v>133</v>
      </c>
      <c r="D14" s="184"/>
      <c r="E14" s="184"/>
      <c r="F14" s="189" t="s">
        <v>229</v>
      </c>
      <c r="G14" s="520">
        <f>+'EXHIBIT C'!H12+'EXHIBIT C(2)'!E15</f>
        <v>0</v>
      </c>
    </row>
    <row r="15" spans="1:8" ht="20.100000000000001" customHeight="1">
      <c r="A15" s="499" t="s">
        <v>200</v>
      </c>
      <c r="B15" s="184"/>
      <c r="C15" s="190" t="s">
        <v>281</v>
      </c>
      <c r="D15" s="184"/>
      <c r="E15" s="184"/>
      <c r="F15" s="189" t="s">
        <v>230</v>
      </c>
      <c r="G15" s="520">
        <f>+'EXHIBIT C'!H13+'EXHIBIT C(2)'!E16</f>
        <v>0</v>
      </c>
    </row>
    <row r="16" spans="1:8" ht="20.100000000000001" customHeight="1">
      <c r="A16" s="499" t="s">
        <v>200</v>
      </c>
      <c r="B16" s="184"/>
      <c r="C16" s="190" t="s">
        <v>282</v>
      </c>
      <c r="D16" s="184"/>
      <c r="E16" s="184"/>
      <c r="F16" s="189" t="s">
        <v>231</v>
      </c>
      <c r="G16" s="521">
        <f>+'EXHIBIT C'!H14+'EXHIBIT C(2)'!E17</f>
        <v>0</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0</v>
      </c>
    </row>
    <row r="22" spans="1:7" ht="20.100000000000001" customHeight="1">
      <c r="A22" s="499" t="s">
        <v>215</v>
      </c>
      <c r="B22" s="184"/>
      <c r="C22" s="177" t="s">
        <v>132</v>
      </c>
      <c r="D22" s="184"/>
      <c r="E22" s="184"/>
      <c r="F22" s="189" t="s">
        <v>235</v>
      </c>
      <c r="G22" s="193">
        <f>+'EXHIBIT C'!F20+'EXHIBIT C(2)'!E23</f>
        <v>0</v>
      </c>
    </row>
    <row r="23" spans="1:7" ht="20.100000000000001" customHeight="1">
      <c r="A23" s="499" t="s">
        <v>215</v>
      </c>
      <c r="B23" s="184"/>
      <c r="C23" s="184" t="s">
        <v>133</v>
      </c>
      <c r="D23" s="184"/>
      <c r="E23" s="184"/>
      <c r="F23" s="189" t="s">
        <v>236</v>
      </c>
      <c r="G23" s="198">
        <f>+'EXHIBIT C'!F21+'EXHIBIT C(2)'!E24</f>
        <v>0</v>
      </c>
    </row>
    <row r="24" spans="1:7" ht="20.100000000000001" customHeight="1">
      <c r="A24" s="499" t="s">
        <v>215</v>
      </c>
      <c r="B24" s="184"/>
      <c r="C24" s="190" t="s">
        <v>281</v>
      </c>
      <c r="D24" s="184"/>
      <c r="E24" s="184"/>
      <c r="F24" s="189" t="s">
        <v>237</v>
      </c>
      <c r="G24" s="198">
        <f>+'EXHIBIT C'!F22+'EXHIBIT C(2)'!E25</f>
        <v>0</v>
      </c>
    </row>
    <row r="25" spans="1:7" ht="20.100000000000001" customHeight="1">
      <c r="A25" s="499" t="s">
        <v>215</v>
      </c>
      <c r="B25" s="184"/>
      <c r="C25" s="190" t="s">
        <v>282</v>
      </c>
      <c r="D25" s="184"/>
      <c r="E25" s="184"/>
      <c r="F25" s="189" t="s">
        <v>238</v>
      </c>
      <c r="G25" s="198">
        <f>+'EXHIBIT C'!F23+'EXHIBIT C(2)'!E26</f>
        <v>0</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0</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0</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0</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0</v>
      </c>
    </row>
    <row r="59" spans="1:7" ht="20.100000000000001" customHeight="1">
      <c r="A59" s="499" t="s">
        <v>317</v>
      </c>
      <c r="B59" s="184"/>
      <c r="C59" s="184"/>
      <c r="D59" s="184"/>
      <c r="E59" s="184"/>
      <c r="F59" s="189" t="s">
        <v>318</v>
      </c>
      <c r="G59" s="448">
        <v>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t="e" vm="1">
        <f>'CHECK SHEET'!D84</f>
        <v>#VALUE!</v>
      </c>
    </row>
    <row r="76" spans="1:7" ht="20.100000000000001" customHeight="1">
      <c r="A76" s="499" t="s">
        <v>709</v>
      </c>
      <c r="B76" s="184"/>
      <c r="C76" s="184"/>
      <c r="D76" s="184"/>
      <c r="E76" s="184"/>
      <c r="F76" s="187">
        <v>42130</v>
      </c>
      <c r="G76" s="523">
        <v>0</v>
      </c>
    </row>
    <row r="77" spans="1:7" ht="20.100000000000001" customHeight="1">
      <c r="A77" s="501" t="s">
        <v>335</v>
      </c>
      <c r="B77" s="502"/>
      <c r="C77" s="502"/>
      <c r="D77" s="502"/>
      <c r="E77" s="502"/>
      <c r="F77" s="203" t="s">
        <v>336</v>
      </c>
      <c r="G77" s="524">
        <v>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0</v>
      </c>
    </row>
    <row r="81" spans="1:10" ht="20.100000000000001" customHeight="1">
      <c r="A81" s="499" t="s">
        <v>342</v>
      </c>
      <c r="B81" s="184"/>
      <c r="C81" s="184"/>
      <c r="D81" s="184"/>
      <c r="E81" s="184"/>
      <c r="F81" s="189" t="s">
        <v>343</v>
      </c>
      <c r="G81" s="522" t="e" vm="1">
        <f>'CHECK SHEET'!D86</f>
        <v>#VALUE!</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t="e" vm="1">
        <f>SUM(G75:G83)</f>
        <v>#VALUE!</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7">
        <v>43518</v>
      </c>
      <c r="G90" s="525">
        <v>0</v>
      </c>
      <c r="J90" s="204"/>
    </row>
    <row r="91" spans="1:10" ht="20.100000000000001" customHeight="1">
      <c r="A91" s="499" t="s">
        <v>353</v>
      </c>
      <c r="B91" s="184"/>
      <c r="C91" s="184"/>
      <c r="D91" s="184"/>
      <c r="E91" s="184"/>
      <c r="F91" s="1027">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0">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7" t="s">
        <v>393</v>
      </c>
      <c r="G132" s="451">
        <v>0</v>
      </c>
    </row>
    <row r="133" spans="1:7" ht="20.100000000000001" customHeight="1">
      <c r="A133" s="499" t="s">
        <v>711</v>
      </c>
      <c r="B133" s="184"/>
      <c r="C133" s="184"/>
      <c r="D133" s="508"/>
      <c r="E133" s="199"/>
      <c r="F133" s="1117">
        <v>49200</v>
      </c>
      <c r="G133" s="449">
        <v>0</v>
      </c>
    </row>
    <row r="134" spans="1:7" ht="20.100000000000001" customHeight="1">
      <c r="A134" s="499" t="s">
        <v>394</v>
      </c>
      <c r="B134" s="184"/>
      <c r="C134" s="184"/>
      <c r="D134" s="184"/>
      <c r="E134" s="184"/>
      <c r="F134" s="1073" t="s">
        <v>395</v>
      </c>
      <c r="G134" s="449">
        <v>0</v>
      </c>
    </row>
    <row r="135" spans="1:7" ht="20.100000000000001" customHeight="1">
      <c r="A135" s="499" t="s">
        <v>396</v>
      </c>
      <c r="B135" s="184"/>
      <c r="C135" s="184"/>
      <c r="D135" s="184"/>
      <c r="E135" s="184"/>
      <c r="F135" s="187">
        <v>49520</v>
      </c>
      <c r="G135" s="449">
        <v>0</v>
      </c>
    </row>
    <row r="136" spans="1:7" ht="20.100000000000001" customHeight="1">
      <c r="A136" s="1042"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t="e" vm="1">
        <f>G63+G71+G85+G96+G105+G115+G119+G128+G140</f>
        <v>#VALUE!</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0</v>
      </c>
    </row>
    <row r="147" spans="1:7" ht="20.100000000000001" customHeight="1">
      <c r="A147" s="499" t="s">
        <v>406</v>
      </c>
      <c r="F147" s="189" t="s">
        <v>407</v>
      </c>
      <c r="G147" s="453">
        <v>0</v>
      </c>
    </row>
    <row r="148" spans="1:7" ht="20.100000000000001" customHeight="1">
      <c r="A148" s="499" t="s">
        <v>408</v>
      </c>
      <c r="F148" s="189" t="s">
        <v>409</v>
      </c>
      <c r="G148" s="453">
        <v>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0</v>
      </c>
    </row>
    <row r="152" spans="1:7" ht="20.100000000000001" customHeight="1">
      <c r="A152" s="499" t="s">
        <v>416</v>
      </c>
      <c r="B152" s="184"/>
      <c r="C152" s="184"/>
      <c r="D152" s="184"/>
      <c r="E152" s="184"/>
      <c r="F152" s="189" t="s">
        <v>417</v>
      </c>
      <c r="G152" s="453">
        <v>0</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0</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0</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0</v>
      </c>
    </row>
    <row r="185" spans="1:7" ht="20.100000000000001" customHeight="1">
      <c r="A185" s="499" t="s">
        <v>478</v>
      </c>
      <c r="B185" s="184"/>
      <c r="C185" s="184"/>
      <c r="D185" s="184"/>
      <c r="E185" s="184"/>
      <c r="F185" s="189" t="s">
        <v>479</v>
      </c>
      <c r="G185" s="453">
        <v>0</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0</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0</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0</v>
      </c>
    </row>
    <row r="199" spans="1:7" ht="20.100000000000001" customHeight="1">
      <c r="A199" s="499" t="s">
        <v>497</v>
      </c>
      <c r="B199" s="184"/>
      <c r="C199" s="184"/>
      <c r="D199" s="184"/>
      <c r="E199" s="184"/>
      <c r="F199" s="189" t="s">
        <v>498</v>
      </c>
      <c r="G199" s="453">
        <v>0</v>
      </c>
    </row>
    <row r="200" spans="1:7" ht="20.100000000000001" customHeight="1">
      <c r="A200" s="499" t="s">
        <v>499</v>
      </c>
      <c r="B200" s="184"/>
      <c r="C200" s="184"/>
      <c r="D200" s="184"/>
      <c r="E200" s="184"/>
      <c r="F200" s="189" t="s">
        <v>500</v>
      </c>
      <c r="G200" s="453">
        <v>0</v>
      </c>
    </row>
    <row r="201" spans="1:7" ht="20.100000000000001" customHeight="1">
      <c r="A201" s="499" t="s">
        <v>501</v>
      </c>
      <c r="B201" s="184"/>
      <c r="C201" s="184"/>
      <c r="D201" s="184"/>
      <c r="E201" s="184"/>
      <c r="F201" s="189" t="s">
        <v>502</v>
      </c>
      <c r="G201" s="453">
        <v>0</v>
      </c>
    </row>
    <row r="202" spans="1:7" ht="20.100000000000001" customHeight="1">
      <c r="A202" s="499" t="s">
        <v>503</v>
      </c>
      <c r="B202" s="184"/>
      <c r="C202" s="184"/>
      <c r="D202" s="184"/>
      <c r="E202" s="184"/>
      <c r="F202" s="189" t="s">
        <v>504</v>
      </c>
      <c r="G202" s="453">
        <v>0</v>
      </c>
    </row>
    <row r="203" spans="1:7" ht="20.100000000000001" customHeight="1">
      <c r="A203" s="499" t="s">
        <v>505</v>
      </c>
      <c r="B203" s="184"/>
      <c r="C203" s="184"/>
      <c r="D203" s="184"/>
      <c r="E203" s="184"/>
      <c r="F203" s="189" t="s">
        <v>506</v>
      </c>
      <c r="G203" s="453">
        <v>0</v>
      </c>
    </row>
    <row r="204" spans="1:7" ht="20.100000000000001" customHeight="1">
      <c r="A204" s="499" t="s">
        <v>697</v>
      </c>
      <c r="B204" s="184"/>
      <c r="C204" s="184"/>
      <c r="D204" s="184"/>
      <c r="E204" s="184"/>
      <c r="F204" s="1027">
        <v>63100</v>
      </c>
      <c r="G204" s="453">
        <v>0</v>
      </c>
    </row>
    <row r="205" spans="1:7" ht="20.100000000000001" customHeight="1">
      <c r="A205" s="499" t="s">
        <v>507</v>
      </c>
      <c r="B205" s="184"/>
      <c r="C205" s="184"/>
      <c r="D205" s="184"/>
      <c r="E205" s="184"/>
      <c r="F205" s="189" t="s">
        <v>508</v>
      </c>
      <c r="G205" s="453">
        <v>0</v>
      </c>
    </row>
    <row r="206" spans="1:7" ht="20.100000000000001" customHeight="1">
      <c r="A206" s="499" t="s">
        <v>509</v>
      </c>
      <c r="B206" s="184"/>
      <c r="C206" s="184"/>
      <c r="D206" s="184"/>
      <c r="E206" s="184"/>
      <c r="F206" s="189" t="s">
        <v>510</v>
      </c>
      <c r="G206" s="453">
        <v>0</v>
      </c>
    </row>
    <row r="207" spans="1:7" ht="20.100000000000001" customHeight="1">
      <c r="A207" s="499" t="s">
        <v>511</v>
      </c>
      <c r="B207" s="184"/>
      <c r="C207" s="184"/>
      <c r="D207" s="184"/>
      <c r="E207" s="184"/>
      <c r="F207" s="189" t="s">
        <v>512</v>
      </c>
      <c r="G207" s="453">
        <v>0</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0</v>
      </c>
    </row>
    <row r="211" spans="1:9" ht="20.100000000000001" customHeight="1">
      <c r="A211" s="499" t="s">
        <v>518</v>
      </c>
      <c r="B211" s="184"/>
      <c r="C211" s="184"/>
      <c r="D211" s="184"/>
      <c r="E211" s="184"/>
      <c r="F211" s="189" t="s">
        <v>519</v>
      </c>
      <c r="G211" s="453">
        <v>0</v>
      </c>
    </row>
    <row r="212" spans="1:9" ht="20.100000000000001" customHeight="1">
      <c r="A212" s="499" t="s">
        <v>520</v>
      </c>
      <c r="F212" s="207" t="s">
        <v>521</v>
      </c>
      <c r="G212" s="453">
        <v>0</v>
      </c>
    </row>
    <row r="213" spans="1:9" ht="20.100000000000001" customHeight="1">
      <c r="A213" s="499" t="s">
        <v>522</v>
      </c>
      <c r="B213" s="184"/>
      <c r="C213" s="184"/>
      <c r="D213" s="184"/>
      <c r="E213" s="184"/>
      <c r="F213" s="189" t="s">
        <v>523</v>
      </c>
      <c r="G213" s="453">
        <v>0</v>
      </c>
    </row>
    <row r="214" spans="1:9" ht="20.100000000000001" customHeight="1">
      <c r="A214" s="499" t="s">
        <v>524</v>
      </c>
      <c r="B214" s="184"/>
      <c r="C214" s="184"/>
      <c r="D214" s="184"/>
      <c r="E214" s="184"/>
      <c r="F214" s="189" t="s">
        <v>525</v>
      </c>
      <c r="G214" s="453">
        <v>0</v>
      </c>
    </row>
    <row r="215" spans="1:9" ht="20.100000000000001" customHeight="1">
      <c r="A215" s="499" t="s">
        <v>526</v>
      </c>
      <c r="B215" s="184"/>
      <c r="C215" s="184"/>
      <c r="D215" s="184"/>
      <c r="E215" s="184"/>
      <c r="F215" s="189" t="s">
        <v>527</v>
      </c>
      <c r="G215" s="453">
        <v>0</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19">
        <v>69100</v>
      </c>
      <c r="G222" s="453">
        <v>0</v>
      </c>
    </row>
    <row r="223" spans="1:9" ht="20.100000000000001" customHeight="1">
      <c r="A223" s="510" t="s">
        <v>713</v>
      </c>
      <c r="B223" s="214"/>
      <c r="C223" s="214"/>
      <c r="D223" s="215"/>
      <c r="E223" s="214"/>
      <c r="F223" s="1118">
        <v>69200</v>
      </c>
      <c r="G223" s="453">
        <v>0</v>
      </c>
    </row>
    <row r="224" spans="1:9" ht="20.100000000000001" customHeight="1">
      <c r="A224" s="499" t="s">
        <v>540</v>
      </c>
      <c r="B224" s="184"/>
      <c r="C224" s="184"/>
      <c r="D224" s="184"/>
      <c r="E224" s="184"/>
      <c r="F224" s="189" t="s">
        <v>541</v>
      </c>
      <c r="G224" s="453">
        <v>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1">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0</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3" t="s">
        <v>554</v>
      </c>
      <c r="G235" s="453">
        <v>0</v>
      </c>
    </row>
    <row r="236" spans="1:7" ht="20.100000000000001" customHeight="1">
      <c r="A236" s="499" t="s">
        <v>701</v>
      </c>
      <c r="B236" s="184"/>
      <c r="C236" s="184"/>
      <c r="D236" s="184"/>
      <c r="E236" s="184"/>
      <c r="F236" s="1073">
        <v>73001</v>
      </c>
      <c r="G236" s="453">
        <v>0</v>
      </c>
    </row>
    <row r="237" spans="1:7" ht="20.100000000000001" customHeight="1">
      <c r="A237" s="499" t="s">
        <v>702</v>
      </c>
      <c r="B237" s="184"/>
      <c r="C237" s="184"/>
      <c r="D237" s="184"/>
      <c r="E237" s="184"/>
      <c r="F237" s="1073">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0</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0</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0</v>
      </c>
    </row>
    <row r="263" spans="1:12" ht="20.100000000000001" customHeight="1">
      <c r="A263" s="500"/>
      <c r="B263" s="184"/>
      <c r="C263" s="184"/>
      <c r="D263" s="184"/>
      <c r="E263" s="184"/>
      <c r="F263" s="201"/>
      <c r="G263" s="217"/>
    </row>
    <row r="264" spans="1:12" ht="20.100000000000001" customHeight="1" thickBot="1">
      <c r="A264" s="511" t="s">
        <v>703</v>
      </c>
      <c r="F264" s="207">
        <v>30800</v>
      </c>
      <c r="G264" s="454">
        <v>0</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0</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http://schemas.openxmlformats.org/package/2006/metadata/core-properties"/>
    <ds:schemaRef ds:uri="http://purl.org/dc/elements/1.1/"/>
    <ds:schemaRef ds:uri="http://purl.org/dc/terms/"/>
    <ds:schemaRef ds:uri="http://schemas.microsoft.com/office/2006/metadata/properties"/>
    <ds:schemaRef ds:uri="http://schemas.microsoft.com/office/infopath/2007/PartnerControls"/>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2023-05-17T14:09:02Z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