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2736449D-EFCC-4D27-93D9-B0FB129374AE}"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7" l="1"/>
  <c r="E12" i="6"/>
  <c r="E11" i="6"/>
  <c r="B60" i="6"/>
  <c r="C78" i="3" s="1"/>
  <c r="B69" i="6"/>
  <c r="C75" i="3"/>
  <c r="E26" i="4"/>
  <c r="C77" i="3" s="1"/>
  <c r="G194" i="7"/>
  <c r="G228" i="7"/>
  <c r="G246" i="7"/>
  <c r="E19" i="4"/>
  <c r="C69" i="23"/>
  <c r="C70" i="23"/>
  <c r="C71" i="23"/>
  <c r="C97" i="23" s="1"/>
  <c r="C72" i="23"/>
  <c r="F72" i="23" s="1"/>
  <c r="C73" i="23"/>
  <c r="C74" i="23"/>
  <c r="C75" i="23"/>
  <c r="C76" i="23"/>
  <c r="C77" i="23"/>
  <c r="C78" i="23"/>
  <c r="C79" i="23"/>
  <c r="C80" i="23"/>
  <c r="C81" i="23"/>
  <c r="C82" i="23"/>
  <c r="C83" i="23"/>
  <c r="C84" i="23"/>
  <c r="C85" i="23"/>
  <c r="C86" i="23"/>
  <c r="C87" i="23"/>
  <c r="D87" i="23" s="1"/>
  <c r="E87" i="23" s="1"/>
  <c r="F87" i="23" s="1"/>
  <c r="C88" i="23"/>
  <c r="C89" i="23"/>
  <c r="C90" i="23"/>
  <c r="C91" i="23"/>
  <c r="C92" i="23"/>
  <c r="C93" i="23"/>
  <c r="C94" i="23"/>
  <c r="C95" i="23"/>
  <c r="C96" i="23"/>
  <c r="F96" i="23" s="1"/>
  <c r="D69" i="23"/>
  <c r="E69" i="23" s="1"/>
  <c r="D70" i="23"/>
  <c r="E70" i="23" s="1"/>
  <c r="F70" i="23" s="1"/>
  <c r="D72" i="23"/>
  <c r="E72" i="23" s="1"/>
  <c r="D73" i="23"/>
  <c r="E73" i="23" s="1"/>
  <c r="F73" i="23" s="1"/>
  <c r="D74" i="23"/>
  <c r="E74" i="23" s="1"/>
  <c r="F74" i="23" s="1"/>
  <c r="D75" i="23"/>
  <c r="E75" i="23"/>
  <c r="D76" i="23"/>
  <c r="E76" i="23" s="1"/>
  <c r="F76" i="23" s="1"/>
  <c r="D77" i="23"/>
  <c r="E77" i="23" s="1"/>
  <c r="F77" i="23" s="1"/>
  <c r="D78" i="23"/>
  <c r="E78" i="23" s="1"/>
  <c r="F78" i="23" s="1"/>
  <c r="D80" i="23"/>
  <c r="E80" i="23" s="1"/>
  <c r="F80" i="23" s="1"/>
  <c r="D81" i="23"/>
  <c r="E81" i="23" s="1"/>
  <c r="F81" i="23" s="1"/>
  <c r="D82" i="23"/>
  <c r="E82" i="23" s="1"/>
  <c r="F82" i="23" s="1"/>
  <c r="D83" i="23"/>
  <c r="E83" i="23"/>
  <c r="D84" i="23"/>
  <c r="E84" i="23" s="1"/>
  <c r="F84" i="23" s="1"/>
  <c r="D85" i="23"/>
  <c r="E85" i="23" s="1"/>
  <c r="F85" i="23" s="1"/>
  <c r="D86" i="23"/>
  <c r="E86" i="23" s="1"/>
  <c r="F86" i="23" s="1"/>
  <c r="D88" i="23"/>
  <c r="E88" i="23" s="1"/>
  <c r="F88" i="23" s="1"/>
  <c r="D89" i="23"/>
  <c r="E89" i="23" s="1"/>
  <c r="F89" i="23" s="1"/>
  <c r="D90" i="23"/>
  <c r="E90" i="23" s="1"/>
  <c r="F90" i="23" s="1"/>
  <c r="D91" i="23"/>
  <c r="E91" i="23"/>
  <c r="F91" i="23" s="1"/>
  <c r="D92" i="23"/>
  <c r="E92" i="23" s="1"/>
  <c r="F92" i="23" s="1"/>
  <c r="D93" i="23"/>
  <c r="E93" i="23" s="1"/>
  <c r="F93" i="23" s="1"/>
  <c r="D94" i="23"/>
  <c r="E94" i="23" s="1"/>
  <c r="F94" i="23" s="1"/>
  <c r="D96" i="23"/>
  <c r="E96" i="23" s="1"/>
  <c r="G14" i="5"/>
  <c r="B29" i="23"/>
  <c r="B34" i="23"/>
  <c r="B33" i="23"/>
  <c r="D33" i="23" s="1"/>
  <c r="B32" i="23"/>
  <c r="D32" i="23" s="1"/>
  <c r="B31" i="23"/>
  <c r="B30" i="23"/>
  <c r="B28" i="23"/>
  <c r="B27" i="23"/>
  <c r="B26" i="23"/>
  <c r="B25" i="23"/>
  <c r="B24" i="23"/>
  <c r="D24" i="23" s="1"/>
  <c r="B23" i="23"/>
  <c r="D23" i="23" s="1"/>
  <c r="B22" i="23"/>
  <c r="B21" i="23"/>
  <c r="B20" i="23"/>
  <c r="B19" i="23"/>
  <c r="D19" i="23" s="1"/>
  <c r="B18" i="23"/>
  <c r="B17" i="23"/>
  <c r="B16" i="23"/>
  <c r="D16" i="23"/>
  <c r="B15" i="23"/>
  <c r="D15" i="23"/>
  <c r="B14" i="23"/>
  <c r="D14" i="23"/>
  <c r="B8" i="23"/>
  <c r="B13" i="23"/>
  <c r="D13" i="23"/>
  <c r="B12" i="23"/>
  <c r="D12" i="23" s="1"/>
  <c r="B11" i="23"/>
  <c r="D11" i="23" s="1"/>
  <c r="B10" i="23"/>
  <c r="D10" i="23" s="1"/>
  <c r="B9" i="23"/>
  <c r="D8" i="23"/>
  <c r="B7" i="23"/>
  <c r="D7" i="23" s="1"/>
  <c r="D9" i="23"/>
  <c r="D17" i="23"/>
  <c r="D18" i="23"/>
  <c r="D20" i="23"/>
  <c r="D21" i="23"/>
  <c r="D22" i="23"/>
  <c r="D25" i="23"/>
  <c r="D26" i="23"/>
  <c r="D27" i="23"/>
  <c r="D28" i="23"/>
  <c r="D29" i="23"/>
  <c r="D30" i="23"/>
  <c r="D31" i="23"/>
  <c r="D34" i="23"/>
  <c r="E51" i="23"/>
  <c r="AO113" i="23"/>
  <c r="D87" i="3"/>
  <c r="F87" i="3" s="1"/>
  <c r="B215" i="23"/>
  <c r="D85" i="3"/>
  <c r="B180" i="23"/>
  <c r="E11" i="8"/>
  <c r="E87" i="3"/>
  <c r="C56" i="23"/>
  <c r="E44" i="23"/>
  <c r="E45" i="23"/>
  <c r="E46" i="23"/>
  <c r="E48" i="23"/>
  <c r="E49" i="23"/>
  <c r="E50" i="23"/>
  <c r="E52" i="23"/>
  <c r="E53" i="23"/>
  <c r="E54" i="23"/>
  <c r="E55" i="23"/>
  <c r="D56" i="23"/>
  <c r="F106" i="15"/>
  <c r="F104" i="15"/>
  <c r="F103" i="15"/>
  <c r="F13" i="6"/>
  <c r="S111" i="23"/>
  <c r="V111" i="23"/>
  <c r="V139" i="23" s="1"/>
  <c r="AG111" i="23"/>
  <c r="AB111" i="23"/>
  <c r="Z111" i="23" s="1"/>
  <c r="G10" i="6"/>
  <c r="G11" i="6"/>
  <c r="G12" i="6"/>
  <c r="G13" i="6"/>
  <c r="H13" i="6" s="1"/>
  <c r="G15" i="7" s="1"/>
  <c r="G14" i="6"/>
  <c r="H14" i="6" s="1"/>
  <c r="G16" i="7" s="1"/>
  <c r="G15" i="6"/>
  <c r="F32" i="6"/>
  <c r="H32" i="6" s="1"/>
  <c r="G32" i="6"/>
  <c r="F33" i="6"/>
  <c r="G33" i="6"/>
  <c r="F34" i="6"/>
  <c r="H34" i="6" s="1"/>
  <c r="G32" i="7" s="1"/>
  <c r="G34" i="6"/>
  <c r="F35" i="6"/>
  <c r="G35" i="6"/>
  <c r="E19" i="6"/>
  <c r="F19" i="6"/>
  <c r="D119" i="15" s="1"/>
  <c r="G21" i="7"/>
  <c r="E20" i="6"/>
  <c r="F20" i="6"/>
  <c r="E21" i="6"/>
  <c r="F21" i="6"/>
  <c r="G23" i="7" s="1"/>
  <c r="E22" i="6"/>
  <c r="F22" i="6"/>
  <c r="G24" i="7"/>
  <c r="E23" i="6"/>
  <c r="F23" i="6"/>
  <c r="G25" i="7" s="1"/>
  <c r="E24" i="6"/>
  <c r="F24" i="6" s="1"/>
  <c r="B34" i="5"/>
  <c r="E39" i="6"/>
  <c r="F39" i="6" s="1"/>
  <c r="B35" i="5"/>
  <c r="E40" i="6"/>
  <c r="F40" i="6" s="1"/>
  <c r="G38" i="7" s="1"/>
  <c r="B37" i="5"/>
  <c r="E41" i="6"/>
  <c r="F41" i="6" s="1"/>
  <c r="G39" i="7" s="1"/>
  <c r="B38" i="5"/>
  <c r="E42" i="6"/>
  <c r="F42" i="6" s="1"/>
  <c r="G40" i="7" s="1"/>
  <c r="G71" i="7"/>
  <c r="D84" i="3"/>
  <c r="G75" i="7" s="1"/>
  <c r="G96" i="7"/>
  <c r="G105" i="7"/>
  <c r="G115" i="7"/>
  <c r="G119" i="7"/>
  <c r="G128" i="7"/>
  <c r="G140" i="7"/>
  <c r="A111" i="23"/>
  <c r="AD111" i="23" s="1"/>
  <c r="A112" i="23"/>
  <c r="A113" i="23"/>
  <c r="AD113" i="23" s="1"/>
  <c r="A114" i="23"/>
  <c r="AD114" i="23" s="1"/>
  <c r="D111" i="23"/>
  <c r="T111" i="23" s="1"/>
  <c r="G111" i="23"/>
  <c r="G139" i="23" s="1"/>
  <c r="J111" i="23"/>
  <c r="M111" i="23"/>
  <c r="P111" i="23"/>
  <c r="D112" i="23"/>
  <c r="G112" i="23"/>
  <c r="J112" i="23"/>
  <c r="M112" i="23"/>
  <c r="P112" i="23"/>
  <c r="T112" i="23" s="1"/>
  <c r="S112" i="23"/>
  <c r="D113" i="23"/>
  <c r="G113" i="23"/>
  <c r="J113" i="23"/>
  <c r="M113" i="23"/>
  <c r="P113" i="23"/>
  <c r="S113" i="23"/>
  <c r="D114" i="23"/>
  <c r="T114" i="23" s="1"/>
  <c r="G114" i="23"/>
  <c r="J114" i="23"/>
  <c r="M114" i="23"/>
  <c r="P114" i="23"/>
  <c r="S114" i="23"/>
  <c r="A115" i="23"/>
  <c r="AD115" i="23"/>
  <c r="D115" i="23"/>
  <c r="G115" i="23"/>
  <c r="J115" i="23"/>
  <c r="M115" i="23"/>
  <c r="P115" i="23"/>
  <c r="S115" i="23"/>
  <c r="A116" i="23"/>
  <c r="AD116" i="23"/>
  <c r="D116" i="23"/>
  <c r="T116" i="23" s="1"/>
  <c r="G116" i="23"/>
  <c r="J116" i="23"/>
  <c r="M116" i="23"/>
  <c r="P116" i="23"/>
  <c r="S116" i="23"/>
  <c r="A117" i="23"/>
  <c r="AD117" i="23"/>
  <c r="D117" i="23"/>
  <c r="T117" i="23" s="1"/>
  <c r="G117" i="23"/>
  <c r="J117" i="23"/>
  <c r="M117" i="23"/>
  <c r="P117" i="23"/>
  <c r="S117" i="23"/>
  <c r="A118" i="23"/>
  <c r="AD118" i="23"/>
  <c r="D118" i="23"/>
  <c r="T118" i="23" s="1"/>
  <c r="G118" i="23"/>
  <c r="J118" i="23"/>
  <c r="M118" i="23"/>
  <c r="P118" i="23"/>
  <c r="S118" i="23"/>
  <c r="A119" i="23"/>
  <c r="AD119" i="23"/>
  <c r="D119" i="23"/>
  <c r="T119" i="23" s="1"/>
  <c r="G119" i="23"/>
  <c r="J119" i="23"/>
  <c r="M119" i="23"/>
  <c r="P119" i="23"/>
  <c r="S119" i="23"/>
  <c r="A120" i="23"/>
  <c r="D120" i="23"/>
  <c r="T120" i="23" s="1"/>
  <c r="G120" i="23"/>
  <c r="J120" i="23"/>
  <c r="M120" i="23"/>
  <c r="P120" i="23"/>
  <c r="S120" i="23"/>
  <c r="A121" i="23"/>
  <c r="AD121" i="23"/>
  <c r="D121" i="23"/>
  <c r="G121" i="23"/>
  <c r="T121" i="23" s="1"/>
  <c r="J121" i="23"/>
  <c r="M121" i="23"/>
  <c r="P121" i="23"/>
  <c r="S121" i="23"/>
  <c r="A122" i="23"/>
  <c r="AD122" i="23"/>
  <c r="D122" i="23"/>
  <c r="G122" i="23"/>
  <c r="T122" i="23" s="1"/>
  <c r="J122" i="23"/>
  <c r="M122" i="23"/>
  <c r="P122" i="23"/>
  <c r="S122" i="23"/>
  <c r="A123" i="23"/>
  <c r="AD123" i="23"/>
  <c r="D123" i="23"/>
  <c r="T123" i="23" s="1"/>
  <c r="G123" i="23"/>
  <c r="J123" i="23"/>
  <c r="M123" i="23"/>
  <c r="P123" i="23"/>
  <c r="S123" i="23"/>
  <c r="A124" i="23"/>
  <c r="AD124" i="23"/>
  <c r="D124" i="23"/>
  <c r="T124" i="23" s="1"/>
  <c r="G124" i="23"/>
  <c r="J124" i="23"/>
  <c r="M124" i="23"/>
  <c r="P124" i="23"/>
  <c r="S124" i="23"/>
  <c r="A125" i="23"/>
  <c r="AD125" i="23"/>
  <c r="D125" i="23"/>
  <c r="T125" i="23" s="1"/>
  <c r="G125" i="23"/>
  <c r="J125" i="23"/>
  <c r="M125" i="23"/>
  <c r="P125" i="23"/>
  <c r="S125" i="23"/>
  <c r="A126" i="23"/>
  <c r="AD126" i="23"/>
  <c r="D126" i="23"/>
  <c r="T126" i="23" s="1"/>
  <c r="G126" i="23"/>
  <c r="J126" i="23"/>
  <c r="M126" i="23"/>
  <c r="P126" i="23"/>
  <c r="S126" i="23"/>
  <c r="A127" i="23"/>
  <c r="AD127" i="23"/>
  <c r="D127" i="23"/>
  <c r="G127" i="23"/>
  <c r="T127" i="23" s="1"/>
  <c r="J127" i="23"/>
  <c r="M127" i="23"/>
  <c r="P127" i="23"/>
  <c r="S127" i="23"/>
  <c r="A128" i="23"/>
  <c r="AD128" i="23"/>
  <c r="D128" i="23"/>
  <c r="T128" i="23" s="1"/>
  <c r="G128" i="23"/>
  <c r="J128" i="23"/>
  <c r="M128" i="23"/>
  <c r="P128" i="23"/>
  <c r="S128" i="23"/>
  <c r="A129" i="23"/>
  <c r="AD129" i="23"/>
  <c r="D129" i="23"/>
  <c r="G129" i="23"/>
  <c r="J129" i="23"/>
  <c r="M129" i="23"/>
  <c r="P129" i="23"/>
  <c r="S129" i="23"/>
  <c r="A130" i="23"/>
  <c r="AD130" i="23"/>
  <c r="D130" i="23"/>
  <c r="G130" i="23"/>
  <c r="T130" i="23" s="1"/>
  <c r="J130" i="23"/>
  <c r="M130" i="23"/>
  <c r="P130" i="23"/>
  <c r="S130" i="23"/>
  <c r="A131" i="23"/>
  <c r="AD131" i="23"/>
  <c r="D131" i="23"/>
  <c r="G131" i="23"/>
  <c r="T131" i="23" s="1"/>
  <c r="J131" i="23"/>
  <c r="M131" i="23"/>
  <c r="P131" i="23"/>
  <c r="S131" i="23"/>
  <c r="A132" i="23"/>
  <c r="AD132" i="23"/>
  <c r="D132" i="23"/>
  <c r="G132" i="23"/>
  <c r="T132" i="23" s="1"/>
  <c r="J132" i="23"/>
  <c r="M132" i="23"/>
  <c r="P132" i="23"/>
  <c r="S132" i="23"/>
  <c r="A133" i="23"/>
  <c r="AD133" i="23"/>
  <c r="D133" i="23"/>
  <c r="G133" i="23"/>
  <c r="T133" i="23" s="1"/>
  <c r="J133" i="23"/>
  <c r="M133" i="23"/>
  <c r="P133" i="23"/>
  <c r="S133" i="23"/>
  <c r="A134" i="23"/>
  <c r="AD134" i="23"/>
  <c r="D134" i="23"/>
  <c r="G134" i="23"/>
  <c r="T134" i="23" s="1"/>
  <c r="J134" i="23"/>
  <c r="M134" i="23"/>
  <c r="P134" i="23"/>
  <c r="S134" i="23"/>
  <c r="A135" i="23"/>
  <c r="AD135" i="23"/>
  <c r="D135" i="23"/>
  <c r="T135" i="23" s="1"/>
  <c r="G135" i="23"/>
  <c r="J135" i="23"/>
  <c r="M135" i="23"/>
  <c r="P135" i="23"/>
  <c r="S135" i="23"/>
  <c r="A136" i="23"/>
  <c r="AD136" i="23"/>
  <c r="D136" i="23"/>
  <c r="G136" i="23"/>
  <c r="T136" i="23" s="1"/>
  <c r="J136" i="23"/>
  <c r="M136" i="23"/>
  <c r="P136" i="23"/>
  <c r="S136" i="23"/>
  <c r="A137" i="23"/>
  <c r="AD137" i="23"/>
  <c r="D137" i="23"/>
  <c r="G137" i="23"/>
  <c r="J137" i="23"/>
  <c r="M137" i="23"/>
  <c r="P137" i="23"/>
  <c r="S137" i="23"/>
  <c r="A138" i="23"/>
  <c r="AD138" i="23"/>
  <c r="D138" i="23"/>
  <c r="G138" i="23"/>
  <c r="T138" i="23" s="1"/>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c r="B64" i="23"/>
  <c r="A53" i="23"/>
  <c r="A45" i="23"/>
  <c r="A43" i="23"/>
  <c r="A63" i="23"/>
  <c r="E30" i="5"/>
  <c r="E29" i="5"/>
  <c r="B29" i="5"/>
  <c r="H29" i="5" s="1"/>
  <c r="I29" i="5" s="1"/>
  <c r="AE139" i="23"/>
  <c r="A76" i="23"/>
  <c r="C61" i="15"/>
  <c r="A69" i="23"/>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F86" i="3" s="1"/>
  <c r="C35" i="23"/>
  <c r="E85" i="3"/>
  <c r="F85" i="3"/>
  <c r="B97" i="23"/>
  <c r="F75" i="23"/>
  <c r="C96" i="15"/>
  <c r="B1" i="15"/>
  <c r="B2" i="7"/>
  <c r="B7" i="12"/>
  <c r="B5" i="6"/>
  <c r="D8" i="5"/>
  <c r="E40" i="4"/>
  <c r="C101" i="3" s="1"/>
  <c r="C8" i="4"/>
  <c r="AF139" i="23"/>
  <c r="AA139" i="23"/>
  <c r="W139" i="23"/>
  <c r="AG138" i="23"/>
  <c r="AB138" i="23" s="1"/>
  <c r="Z138" i="23" s="1"/>
  <c r="AG137" i="23"/>
  <c r="AB137" i="23" s="1"/>
  <c r="Z137" i="23" s="1"/>
  <c r="AG136" i="23"/>
  <c r="AB136" i="23"/>
  <c r="Z136" i="23"/>
  <c r="AG135" i="23"/>
  <c r="AB135" i="23"/>
  <c r="Z135" i="23" s="1"/>
  <c r="AG134" i="23"/>
  <c r="AB134" i="23"/>
  <c r="Z134" i="23" s="1"/>
  <c r="AG133" i="23"/>
  <c r="AB133" i="23"/>
  <c r="Z133" i="23" s="1"/>
  <c r="AG132" i="23"/>
  <c r="AB132" i="23" s="1"/>
  <c r="Z132" i="23" s="1"/>
  <c r="AG131" i="23"/>
  <c r="AB131" i="23" s="1"/>
  <c r="Z131" i="23" s="1"/>
  <c r="AG130" i="23"/>
  <c r="AB130" i="23" s="1"/>
  <c r="Z130" i="23" s="1"/>
  <c r="AG129" i="23"/>
  <c r="AB129" i="23" s="1"/>
  <c r="Z129" i="23" s="1"/>
  <c r="AG128" i="23"/>
  <c r="AB128" i="23"/>
  <c r="Z128" i="23"/>
  <c r="AG127" i="23"/>
  <c r="AB127" i="23"/>
  <c r="Z127" i="23"/>
  <c r="AG126" i="23"/>
  <c r="AB126" i="23"/>
  <c r="Z126" i="23" s="1"/>
  <c r="AG125" i="23"/>
  <c r="AB125" i="23"/>
  <c r="Z125" i="23" s="1"/>
  <c r="AG124" i="23"/>
  <c r="AB124" i="23"/>
  <c r="Z124" i="23" s="1"/>
  <c r="AG123" i="23"/>
  <c r="AB123" i="23" s="1"/>
  <c r="Z123" i="23" s="1"/>
  <c r="AG122" i="23"/>
  <c r="AB122" i="23" s="1"/>
  <c r="Z122" i="23" s="1"/>
  <c r="AG121" i="23"/>
  <c r="AB121" i="23" s="1"/>
  <c r="Z121" i="23" s="1"/>
  <c r="AG120" i="23"/>
  <c r="AB120" i="23"/>
  <c r="Z120" i="23"/>
  <c r="AG119" i="23"/>
  <c r="AB119" i="23"/>
  <c r="Z119" i="23"/>
  <c r="AG118" i="23"/>
  <c r="AB118" i="23"/>
  <c r="Z118" i="23" s="1"/>
  <c r="AG117" i="23"/>
  <c r="AB117" i="23"/>
  <c r="Z117" i="23" s="1"/>
  <c r="AG116" i="23"/>
  <c r="AB116" i="23"/>
  <c r="Z116" i="23" s="1"/>
  <c r="AG115" i="23"/>
  <c r="AB115" i="23" s="1"/>
  <c r="Z115" i="23" s="1"/>
  <c r="AG114" i="23"/>
  <c r="AB114" i="23" s="1"/>
  <c r="Z114" i="23" s="1"/>
  <c r="AG113" i="23"/>
  <c r="AB113" i="23" s="1"/>
  <c r="AG112" i="23"/>
  <c r="AB112" i="23"/>
  <c r="Z112" i="23"/>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E113" i="15" s="1"/>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F93" i="15" s="1"/>
  <c r="E93" i="15"/>
  <c r="F98" i="15"/>
  <c r="F99" i="15"/>
  <c r="F100" i="15"/>
  <c r="F101" i="15"/>
  <c r="F102" i="15"/>
  <c r="F105" i="15"/>
  <c r="F107" i="15"/>
  <c r="F108" i="15"/>
  <c r="F109" i="15"/>
  <c r="F110" i="15"/>
  <c r="D111" i="15"/>
  <c r="E111" i="15"/>
  <c r="F120" i="15"/>
  <c r="F121" i="15"/>
  <c r="F122" i="15"/>
  <c r="F123" i="15"/>
  <c r="F124" i="15"/>
  <c r="F125" i="15"/>
  <c r="F126" i="15"/>
  <c r="F127" i="15"/>
  <c r="F128" i="15"/>
  <c r="E129" i="15"/>
  <c r="E131" i="15" s="1"/>
  <c r="B53" i="22"/>
  <c r="D75" i="22"/>
  <c r="E75" i="22"/>
  <c r="E65" i="22"/>
  <c r="E66" i="22" s="1"/>
  <c r="D65" i="22"/>
  <c r="D67" i="22" s="1"/>
  <c r="D59" i="22"/>
  <c r="D62" i="22" s="1"/>
  <c r="D60" i="22"/>
  <c r="B52" i="22"/>
  <c r="E33" i="22"/>
  <c r="E34" i="22" s="1"/>
  <c r="D33" i="22"/>
  <c r="D34" i="22" s="1"/>
  <c r="D26" i="22"/>
  <c r="D38" i="22"/>
  <c r="C38" i="22"/>
  <c r="E15" i="22"/>
  <c r="D15" i="22"/>
  <c r="B46" i="22"/>
  <c r="E26" i="22"/>
  <c r="E59" i="22"/>
  <c r="E61" i="22"/>
  <c r="E38" i="22"/>
  <c r="H14" i="5"/>
  <c r="D21" i="8"/>
  <c r="E15" i="8"/>
  <c r="E36" i="6"/>
  <c r="F36" i="6" s="1"/>
  <c r="D36" i="6"/>
  <c r="D43" i="6"/>
  <c r="D26" i="6"/>
  <c r="E17" i="6"/>
  <c r="G20" i="5"/>
  <c r="H20" i="5"/>
  <c r="G19" i="5"/>
  <c r="H19" i="5"/>
  <c r="G22" i="5"/>
  <c r="H22" i="5"/>
  <c r="G23" i="5"/>
  <c r="H23" i="5"/>
  <c r="E20" i="12"/>
  <c r="E29" i="12"/>
  <c r="E30" i="12"/>
  <c r="B21" i="8"/>
  <c r="E59" i="3"/>
  <c r="C94" i="12"/>
  <c r="B31" i="5"/>
  <c r="H31" i="5"/>
  <c r="I31" i="5" s="1"/>
  <c r="B30" i="5"/>
  <c r="G16" i="5"/>
  <c r="H16" i="5"/>
  <c r="G15" i="5"/>
  <c r="H15" i="5"/>
  <c r="D96" i="8"/>
  <c r="C96" i="8"/>
  <c r="C74" i="3"/>
  <c r="E60" i="3"/>
  <c r="E61" i="3"/>
  <c r="E62" i="3"/>
  <c r="E63" i="3"/>
  <c r="E64" i="3"/>
  <c r="C21" i="8"/>
  <c r="E10" i="8"/>
  <c r="E12" i="8"/>
  <c r="E14" i="8"/>
  <c r="E16" i="8"/>
  <c r="E17" i="8"/>
  <c r="E18" i="8"/>
  <c r="E19" i="8"/>
  <c r="E20" i="8"/>
  <c r="E36" i="4"/>
  <c r="C109" i="3" s="1"/>
  <c r="C110" i="3" s="1"/>
  <c r="D33" i="4"/>
  <c r="E16" i="4"/>
  <c r="G262" i="7"/>
  <c r="G266" i="7" s="1"/>
  <c r="C102" i="3" s="1"/>
  <c r="C103" i="3" s="1"/>
  <c r="D61" i="22"/>
  <c r="X139" i="23"/>
  <c r="E60" i="22"/>
  <c r="D66" i="22"/>
  <c r="H35" i="6"/>
  <c r="G33" i="7" s="1"/>
  <c r="H33" i="6"/>
  <c r="H34" i="5"/>
  <c r="I34" i="5"/>
  <c r="E62" i="22"/>
  <c r="H38" i="5"/>
  <c r="I38" i="5"/>
  <c r="H30" i="5"/>
  <c r="I30" i="5" s="1"/>
  <c r="G22" i="7"/>
  <c r="B70" i="6"/>
  <c r="H37" i="5"/>
  <c r="I37" i="5" s="1"/>
  <c r="G31" i="7"/>
  <c r="D17" i="6"/>
  <c r="F12" i="6"/>
  <c r="H12" i="6" s="1"/>
  <c r="G14" i="7" s="1"/>
  <c r="F11" i="6"/>
  <c r="H11" i="6" s="1"/>
  <c r="G13" i="7" s="1"/>
  <c r="F14" i="6"/>
  <c r="E48" i="3" s="1"/>
  <c r="F15" i="6"/>
  <c r="E49" i="3" s="1"/>
  <c r="F10" i="6"/>
  <c r="H10" i="6" s="1"/>
  <c r="E44" i="3"/>
  <c r="E47" i="3"/>
  <c r="E46" i="3"/>
  <c r="E65" i="3"/>
  <c r="F111" i="15"/>
  <c r="T113" i="23"/>
  <c r="T137" i="23"/>
  <c r="J139" i="23"/>
  <c r="M139" i="23"/>
  <c r="S139" i="23"/>
  <c r="T115" i="23"/>
  <c r="T129" i="23"/>
  <c r="AD112" i="23"/>
  <c r="F83" i="23"/>
  <c r="F69" i="23" l="1"/>
  <c r="T139" i="23"/>
  <c r="AB139" i="23"/>
  <c r="AO111" i="23" s="1"/>
  <c r="AO114" i="23" s="1"/>
  <c r="Z113" i="23"/>
  <c r="G30" i="7"/>
  <c r="G35" i="7" s="1"/>
  <c r="H36" i="6"/>
  <c r="H44" i="6" s="1"/>
  <c r="D70" i="22"/>
  <c r="D69" i="22"/>
  <c r="D68" i="22"/>
  <c r="D35" i="23"/>
  <c r="G12" i="7"/>
  <c r="D118" i="15"/>
  <c r="G85" i="7"/>
  <c r="E84" i="3"/>
  <c r="E88" i="3" s="1"/>
  <c r="G37" i="7"/>
  <c r="G42" i="7" s="1"/>
  <c r="F43" i="6"/>
  <c r="C121" i="3"/>
  <c r="F119" i="15"/>
  <c r="C129" i="3"/>
  <c r="Z139" i="23"/>
  <c r="F26" i="6"/>
  <c r="G26" i="7"/>
  <c r="G28" i="7" s="1"/>
  <c r="AG139" i="23"/>
  <c r="D49" i="3"/>
  <c r="F49" i="3" s="1"/>
  <c r="G49" i="3" s="1"/>
  <c r="D60" i="3"/>
  <c r="D48" i="3"/>
  <c r="F48" i="3" s="1"/>
  <c r="G48" i="3" s="1"/>
  <c r="E67" i="22"/>
  <c r="E70" i="22" s="1"/>
  <c r="C114" i="3"/>
  <c r="B35" i="23"/>
  <c r="D95" i="23"/>
  <c r="E95" i="23" s="1"/>
  <c r="F95" i="23" s="1"/>
  <c r="D79" i="23"/>
  <c r="E79" i="23" s="1"/>
  <c r="F79" i="23" s="1"/>
  <c r="D71" i="23"/>
  <c r="D46" i="3"/>
  <c r="F46" i="3" s="1"/>
  <c r="G46" i="3" s="1"/>
  <c r="D61" i="3"/>
  <c r="F61" i="3" s="1"/>
  <c r="G61" i="3" s="1"/>
  <c r="P139" i="23"/>
  <c r="D59" i="3"/>
  <c r="F17" i="6"/>
  <c r="E50" i="3" s="1"/>
  <c r="D62" i="3"/>
  <c r="F62" i="3" s="1"/>
  <c r="G62" i="3" s="1"/>
  <c r="D47" i="3"/>
  <c r="F47" i="3" s="1"/>
  <c r="G47" i="3" s="1"/>
  <c r="F57" i="15"/>
  <c r="F88" i="3"/>
  <c r="D139" i="23"/>
  <c r="H15" i="6"/>
  <c r="G17" i="7" s="1"/>
  <c r="D88" i="3"/>
  <c r="D63" i="3"/>
  <c r="F63" i="3" s="1"/>
  <c r="G63" i="3" s="1"/>
  <c r="F84" i="3"/>
  <c r="D64" i="3"/>
  <c r="F64" i="3" s="1"/>
  <c r="G64" i="3" s="1"/>
  <c r="E45" i="3"/>
  <c r="D113" i="15"/>
  <c r="C95" i="3"/>
  <c r="E21" i="8"/>
  <c r="C94" i="3"/>
  <c r="G248" i="7"/>
  <c r="C93" i="3"/>
  <c r="H17" i="6" l="1"/>
  <c r="H27" i="6" s="1"/>
  <c r="H46" i="6" s="1"/>
  <c r="C34" i="3" s="1"/>
  <c r="G19" i="7"/>
  <c r="G44" i="7" s="1"/>
  <c r="G63" i="7" s="1"/>
  <c r="G142" i="7" s="1"/>
  <c r="E18" i="4" s="1"/>
  <c r="E21" i="4" s="1"/>
  <c r="E23" i="4" s="1"/>
  <c r="F118" i="15"/>
  <c r="F129" i="15" s="1"/>
  <c r="C119" i="3"/>
  <c r="C126" i="3"/>
  <c r="D129" i="15"/>
  <c r="F59" i="3"/>
  <c r="G59" i="3" s="1"/>
  <c r="D65" i="3"/>
  <c r="F65" i="3" s="1"/>
  <c r="G65" i="3" s="1"/>
  <c r="D44" i="3"/>
  <c r="AO117" i="23"/>
  <c r="AO118" i="23" s="1"/>
  <c r="AO120" i="23" s="1"/>
  <c r="E68" i="22"/>
  <c r="F60" i="3"/>
  <c r="G60" i="3" s="1"/>
  <c r="D45" i="3"/>
  <c r="F45" i="3" s="1"/>
  <c r="G45" i="3" s="1"/>
  <c r="E69" i="22"/>
  <c r="D97" i="23"/>
  <c r="E71" i="23"/>
  <c r="F113" i="15"/>
  <c r="D131" i="15"/>
  <c r="C96" i="3"/>
  <c r="E25" i="4"/>
  <c r="E28" i="4" s="1"/>
  <c r="D32" i="4" s="1"/>
  <c r="E35" i="4" s="1"/>
  <c r="E38" i="4" s="1"/>
  <c r="E44" i="4"/>
  <c r="C17" i="3" s="1"/>
  <c r="E97" i="23" l="1"/>
  <c r="F97" i="23" s="1"/>
  <c r="F71" i="23"/>
  <c r="F44" i="3"/>
  <c r="G44" i="3" s="1"/>
  <c r="D50" i="3"/>
  <c r="F50" i="3" s="1"/>
  <c r="G50" i="3" s="1"/>
  <c r="F131" i="15"/>
  <c r="C13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<sst xmlns="http://schemas.openxmlformats.org/spreadsheetml/2006/main" count="1348" uniqueCount="782">
  <si>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</si>
  <si>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</si>
  <si>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</si>
  <si>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</si>
  <si>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</si>
  <si>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</si>
  <si>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</si>
  <si>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</si>
  <si>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</si>
  <si>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</si>
  <si>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</si>
  <si>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</si>
  <si>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</si>
  <si>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</si>
  <si>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</si>
  <si>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</si>
  <si>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</si>
  <si>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</si>
  <si>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</si>
  <si>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</si>
  <si>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</si>
  <si>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</si>
  <si>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</si>
  <si>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</si>
  <si>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</si>
  <si>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</si>
  <si>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</si>
  <si>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</si>
  <si>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</si>
  <si>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</si>
  <si>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</si>
  <si>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</si>
  <si>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</si>
  <si>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</si>
  <si>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</si>
  <si>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</si>
  <si>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</si>
  <si>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</si>
  <si>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</si>
  <si>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</si>
  <si>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</si>
  <si>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</si>
  <si>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</si>
  <si>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</si>
  <si>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</si>
  <si>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</si>
  <si>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</si>
  <si>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</si>
  <si>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</si>
  <si>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</si>
  <si>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</si>
  <si>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</si>
  <si>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</si>
  <si>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</si>
  <si>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</si>
  <si>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</si>
  <si>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</si>
  <si>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</si>
  <si>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</si>
  <si>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</si>
  <si>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</si>
  <si>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</si>
  <si>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</si>
  <si>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</si>
  <si>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</si>
  <si>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</si>
  <si>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</si>
  <si>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</si>
  <si>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</si>
  <si>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</si>
  <si>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</si>
  <si>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</si>
  <si>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</si>
  <si>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</si>
  <si>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</si>
  <si>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</si>
  <si>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</si>
  <si>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</si>
  <si>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</si>
  <si>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</si>
  <si>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</si>
  <si>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</si>
  <si>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</si>
  <si>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</si>
  <si>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</si>
  <si>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</si>
  <si>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</si>
  <si>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</si>
  <si>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</si>
  <si>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</si>
  <si>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</si>
  <si>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</si>
  <si>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</si>
  <si>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</si>
  <si>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</si>
  <si>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</si>
  <si>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</si>
  <si>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</si>
  <si>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</si>
  <si>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</si>
  <si>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</si>
  <si>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</si>
  <si>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</si>
  <si>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</si>
  <si>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</si>
  <si>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</si>
  <si>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</si>
  <si>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</si>
  <si>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</si>
  <si>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</si>
  <si>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</si>
  <si>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</si>
  <si>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</si>
  <si>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</si>
  <si>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</si>
  <si>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</si>
  <si>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</si>
  <si>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</si>
  <si>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</si>
  <si>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</si>
  <si>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</si>
  <si>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</si>
  <si>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</si>
  <si>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</si>
  <si>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</si>
  <si>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</si>
  <si>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</si>
  <si>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</si>
  <si>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</si>
  <si>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</si>
  <si>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</si>
  <si>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</si>
  <si>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</si>
  <si>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</si>
  <si>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</si>
  <si>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</si>
  <si>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</si>
  <si>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</si>
  <si>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</si>
  <si>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</si>
  <si>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</si>
  <si>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</si>
  <si>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</si>
  <si>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</si>
  <si>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</si>
  <si>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</si>
  <si>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</si>
  <si>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</si>
  <si>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</si>
  <si>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</si>
  <si>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</si>
  <si>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</si>
  <si>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</si>
  <si>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</si>
  <si>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</si>
  <si>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</si>
  <si>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</si>
  <si>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</si>
  <si>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</si>
  <si>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</si>
  <si>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</si>
  <si>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</si>
  <si>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</si>
  <si>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</si>
  <si>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</si>
  <si>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</si>
  <si>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</si>
  <si>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</si>
  <si>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</si>
  <si>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</si>
  <si>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</si>
  <si>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</si>
  <si>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</si>
  <si>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</si>
  <si>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</si>
  <si>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</si>
  <si>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</si>
  <si>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</si>
  <si>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</si>
  <si>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</si>
  <si>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</si>
  <si>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</si>
  <si>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</si>
  <si>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</si>
  <si>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</si>
  <si>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</si>
  <si>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</si>
  <si>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</si>
  <si>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</si>
  <si>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</si>
  <si>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</si>
  <si>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</si>
  <si>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</si>
  <si>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</si>
  <si>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</si>
  <si>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</si>
  <si>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</si>
  <si>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</si>
  <si>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</si>
  <si>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</si>
  <si>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</si>
  <si>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</si>
  <si>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</si>
  <si>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</si>
  <si>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</si>
  <si>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</si>
  <si>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</si>
  <si>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</si>
  <si>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</si>
  <si>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</si>
  <si>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</si>
  <si>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</si>
  <si>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</si>
  <si>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</si>
  <si>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</si>
  <si>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</si>
  <si>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</si>
  <si>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</si>
  <si>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</si>
  <si>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</si>
  <si>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</si>
  <si>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</si>
  <si>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</si>
  <si>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</si>
  <si>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</si>
  <si>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</si>
  <si>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</si>
  <si>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</si>
  <si>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</si>
  <si>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</si>
  <si>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</si>
  <si>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</si>
  <si>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</si>
  <si>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</si>
  <si>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</si>
  <si>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</si>
  <si>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</si>
  <si>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</si>
  <si>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</si>
  <si>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</si>
  <si>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</si>
  <si>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</si>
  <si>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</si>
  <si>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</si>
  <si>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</si>
  <si>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</si>
  <si>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</si>
  <si>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</si>
  <si>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</si>
  <si>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</si>
  <si>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</si>
  <si>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</si>
  <si>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</si>
  <si>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</si>
  <si>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</si>
  <si>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</si>
  <si>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</si>
  <si>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</si>
  <si>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</si>
  <si>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</si>
  <si>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</si>
  <si>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</si>
  <si>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</si>
  <si>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</si>
  <si>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</si>
  <si>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</si>
  <si>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</si>
  <si>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</si>
  <si>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</si>
  <si>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</si>
  <si>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</si>
  <si>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</si>
  <si>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</si>
  <si>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</si>
  <si>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</si>
  <si>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</si>
  <si>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</si>
  <si>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</si>
  <si>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</si>
  <si>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</si>
  <si>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</si>
  <si>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</si>
  <si>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</si>
  <si>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</si>
  <si>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</si>
  <si>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</si>
  <si>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</si>
  <si>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</si>
  <si>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</si>
  <si>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</si>
  <si>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</si>
  <si>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</si>
  <si>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</si>
  <si>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</si>
  <si>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</si>
  <si>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</si>
  <si>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</si>
  <si>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</si>
  <si>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</si>
  <si>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</si>
  <si>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</si>
  <si>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</si>
  <si>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</si>
  <si>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</si>
  <si>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</si>
  <si>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</si>
  <si>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</si>
  <si>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</si>
  <si>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</si>
  <si>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</si>
  <si>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</si>
  <si>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</si>
  <si>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</si>
  <si>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</si>
  <si>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</si>
  <si>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</si>
  <si>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</si>
  <si>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</si>
  <si>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</si>
  <si>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</si>
  <si>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</si>
  <si>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</si>
  <si>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</si>
  <si>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</si>
  <si>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</si>
  <si>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</si>
  <si>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</si>
  <si>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</si>
  <si>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</si>
  <si>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</si>
  <si>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</si>
  <si>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</si>
  <si>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</si>
  <si>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</si>
  <si>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</si>
  <si>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</si>
  <si>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</si>
  <si>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</si>
  <si>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</si>
  <si>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</si>
  <si>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</si>
  <si>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</si>
  <si>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</si>
  <si>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</si>
  <si>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</si>
  <si>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</si>
  <si>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</si>
  <si>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</si>
  <si>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</si>
  <si>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</si>
  <si>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</si>
  <si>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</si>
  <si>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</si>
  <si>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</si>
  <si>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</si>
  <si>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</si>
  <si>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</si>
  <si>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</si>
  <si>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</si>
  <si>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</si>
  <si>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</si>
  <si>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</si>
  <si>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</si>
  <si>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</si>
  <si>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</si>
  <si>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</si>
  <si>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</si>
  <si>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</si>
  <si>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</si>
  <si>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</si>
  <si>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</si>
  <si>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</si>
  <si>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</si>
  <si>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</si>
  <si>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</si>
  <si>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</si>
  <si>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</si>
  <si>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</si>
  <si>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</si>
  <si>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</si>
  <si>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</si>
  <si>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</si>
  <si>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</si>
  <si>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</si>
  <si>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</si>
  <si>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</si>
  <si>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</si>
  <si>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</si>
  <si>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</si>
  <si>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</si>
  <si>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</si>
  <si>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</si>
  <si>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</si>
  <si>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</si>
  <si>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</si>
  <si>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</si>
  <si>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</si>
  <si>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</si>
  <si>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</si>
  <si>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</si>
  <si>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</si>
  <si>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</si>
  <si>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</si>
  <si>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</si>
  <si>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</si>
  <si>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</si>
  <si>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</si>
  <si>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</si>
  <si>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</si>
  <si>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</si>
  <si>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</si>
  <si>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</si>
  <si>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</si>
  <si>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</si>
  <si>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</si>
  <si>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</si>
  <si>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</si>
  <si>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</si>
  <si>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</si>
  <si>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</si>
  <si>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</si>
  <si>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</si>
  <si>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</si>
  <si>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</si>
  <si>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</si>
  <si>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</si>
  <si>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</si>
  <si>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</si>
  <si>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</si>
  <si>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</si>
  <si>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</si>
  <si>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</si>
  <si>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</si>
  <si>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</si>
  <si>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</si>
  <si>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</si>
  <si>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</si>
  <si>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</si>
  <si>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</si>
  <si>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</si>
  <si>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</si>
  <si>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</si>
  <si>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</si>
  <si>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</si>
  <si>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</si>
  <si>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</si>
  <si>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</si>
  <si>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</si>
  <si>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</si>
  <si>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</si>
  <si>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</si>
  <si>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</si>
  <si>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</si>
  <si>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</si>
  <si>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</si>
  <si>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</si>
  <si>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</si>
  <si>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</si>
  <si>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</si>
  <si>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</si>
  <si>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</si>
  <si>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</si>
  <si>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</si>
  <si>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</si>
  <si>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</si>
  <si>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</si>
  <si>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</si>
  <si>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</si>
  <si>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</si>
  <si>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</si>
  <si>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</si>
  <si>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</si>
  <si>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</si>
  <si>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</si>
  <si>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</si>
  <si>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</si>
  <si>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</si>
  <si>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</si>
  <si>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</si>
  <si>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</si>
  <si>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</si>
  <si>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</si>
  <si>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</si>
  <si>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</si>
  <si>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</si>
  <si>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</si>
  <si>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</si>
  <si>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</si>
  <si>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</si>
  <si>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</si>
  <si>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</si>
  <si>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</si>
  <si>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</si>
  <si>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</si>
  <si>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</si>
  <si>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</si>
  <si>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</si>
  <si>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</si>
  <si>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</si>
  <si>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</si>
  <si>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</si>
  <si>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</si>
  <si>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</si>
  <si>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</si>
  <si>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</si>
  <si>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</si>
  <si>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</si>
  <si>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</si>
  <si>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</si>
  <si>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</si>
  <si>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</si>
  <si>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</si>
  <si>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</si>
  <si>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</si>
  <si>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</si>
  <si>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</si>
  <si>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</si>
  <si>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</si>
  <si>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</si>
  <si>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</si>
  <si>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</si>
  <si>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</si>
  <si>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</si>
  <si>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</si>
  <si>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</si>
  <si>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</si>
  <si>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</si>
  <si>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</si>
  <si>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</si>
  <si>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</si>
  <si>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</si>
  <si>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</si>
  <si>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</si>
  <si>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</si>
  <si>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</si>
  <si>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</si>
  <si>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</si>
  <si>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</si>
  <si>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</si>
  <si>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</si>
  <si>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</si>
  <si>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</si>
  <si>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</si>
  <si>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</si>
  <si>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</si>
  <si>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</si>
  <si>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</si>
  <si>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</si>
  <si>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</si>
  <si>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</si>
  <si>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</si>
  <si>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</si>
  <si>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</si>
  <si>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</si>
  <si>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</si>
  <si>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</si>
  <si>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</si>
  <si>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</si>
  <si>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</si>
  <si>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</si>
  <si>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</si>
  <si>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</si>
  <si>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</si>
  <si>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</si>
  <si>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</si>
  <si>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</si>
  <si>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</si>
  <si>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</si>
  <si>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</si>
  <si>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</si>
  <si>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</si>
  <si>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</si>
  <si>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</si>
  <si>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</si>
  <si>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</si>
  <si>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</si>
  <si>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</si>
  <si>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</si>
  <si>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</si>
  <si>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</si>
  <si>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</si>
  <si>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</si>
  <si>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</si>
  <si>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</si>
  <si>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</si>
  <si>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</si>
  <si>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</si>
  <si>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</si>
  <si>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</si>
  <si>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</si>
  <si>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</si>
  <si>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</si>
  <si>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</si>
  <si>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</si>
  <si>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</si>
  <si>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</si>
  <si>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</si>
  <si>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</si>
  <si>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</si>
  <si>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</si>
  <si>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</si>
  <si>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</si>
  <si>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</si>
  <si>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</si>
  <si>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</si>
  <si>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</si>
  <si>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</si>
  <si>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</si>
  <si>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</si>
  <si>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</si>
  <si>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</si>
  <si>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</si>
  <si>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</si>
  <si>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</si>
  <si>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</si>
  <si>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</si>
  <si>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</si>
  <si>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</si>
  <si>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</si>
  <si>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</si>
  <si>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</si>
  <si>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</si>
  <si>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</si>
  <si>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</si>
  <si>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</si>
  <si>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</si>
  <si>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</si>
  <si>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</si>
  <si>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</si>
  <si>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</si>
  <si>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</si>
  <si>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</si>
  <si>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</si>
  <si>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</si>
  <si>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</si>
  <si>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</si>
  <si>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</si>
  <si>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</si>
  <si>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</si>
  <si>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</si>
  <si>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</si>
  <si>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</si>
  <si>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</si>
  <si>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</si>
  <si>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</si>
  <si>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</si>
  <si>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</si>
  <si>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</si>
  <si>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</si>
  <si>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</si>
  <si>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</si>
  <si>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</si>
  <si>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</si>
  <si>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</si>
  <si>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</si>
  <si>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</si>
  <si>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</si>
  <si>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</si>
  <si>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</si>
  <si>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</si>
  <si>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</si>
  <si>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</si>
  <si>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</si>
  <si>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</si>
  <si>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</si>
  <si>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</si>
  <si>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</si>
  <si>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</si>
  <si>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</si>
  <si>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</si>
  <si>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</si>
  <si>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</si>
  <si>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</si>
  <si>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</si>
  <si>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</si>
  <si>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</si>
  <si>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</si>
  <si>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</si>
  <si>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</si>
  <si>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</si>
  <si>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</si>
  <si>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</si>
  <si>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</si>
  <si>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</si>
  <si>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</si>
  <si>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</si>
  <si>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</si>
  <si>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</si>
  <si>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</si>
  <si>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</si>
  <si>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</si>
  <si>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</si>
  <si>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</si>
  <si>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</si>
  <si>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</si>
  <si>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</si>
  <si>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</si>
  <si>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</si>
  <si>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</si>
  <si>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</si>
  <si>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</si>
  <si>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</si>
  <si>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</si>
  <si>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</si>
  <si>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</si>
  <si>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</si>
  <si>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</si>
  <si>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</si>
  <si>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</si>
  <si>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</si>
  <si>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</si>
  <si>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</si>
  <si>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</si>
  <si>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</si>
  <si>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</si>
  <si>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</si>
  <si>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</si>
  <si>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</si>
  <si>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</si>
  <si>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</si>
  <si>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</si>
  <si>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</si>
  <si>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</si>
  <si>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</si>
  <si>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</si>
  <si>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</si>
  <si>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</si>
  <si>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</si>
  <si>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</si>
  <si>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</si>
  <si>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</si>
  <si>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</si>
  <si>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</si>
  <si>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</si>
  <si>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</si>
  <si>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</si>
  <si>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</si>
  <si>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</si>
  <si>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</si>
  <si>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</si>
  <si>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</si>
  <si>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</si>
  <si>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</si>
  <si>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</si>
  <si>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</si>
  <si>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</si>
  <si>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</si>
  <si>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</si>
  <si>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</si>
  <si>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</si>
  <si>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</si>
  <si>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</si>
  <si>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</si>
  <si>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</si>
  <si>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</si>
  <si>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</si>
  <si>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</si>
  <si>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</si>
  <si>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</si>
  <si>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</si>
  <si>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</si>
  <si>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</si>
  <si>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</si>
  <si>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</si>
  <si>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</si>
  <si>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</si>
  <si>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</si>
  <si>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</si>
  <si>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</si>
  <si>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</si>
  <si>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</si>
  <si>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</si>
  <si>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</si>
  <si>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</si>
  <si>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</si>
  <si>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</si>
  <si>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</si>
  <si>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</si>
  <si>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</si>
  <si>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</si>
  <si>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</si>
  <si>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The College is projectinga 5% increase in student credit hours for FY 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</si>
</sst>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Tallahassee Community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31679115</v>
      </c>
      <c r="C10" s="456">
        <v>7165068</v>
      </c>
      <c r="D10" s="456">
        <v>0</v>
      </c>
      <c r="E10" s="371">
        <f>SUM(B10:D10)</f>
        <v>38844183</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2828492</v>
      </c>
      <c r="C14" s="458">
        <v>691256</v>
      </c>
      <c r="D14" s="458">
        <v>150000</v>
      </c>
      <c r="E14" s="372">
        <f t="shared" ref="E14:E20" si="0">SUM(B14:D14)</f>
        <v>3669748</v>
      </c>
      <c r="F14" s="354"/>
    </row>
    <row r="15" spans="1:8" s="17" customFormat="1" ht="20.100000000000001" customHeight="1">
      <c r="A15" s="370" t="s">
        <v>592</v>
      </c>
      <c r="B15" s="457">
        <v>0</v>
      </c>
      <c r="C15" s="446">
        <v>0</v>
      </c>
      <c r="D15" s="446">
        <v>0</v>
      </c>
      <c r="E15" s="372">
        <f>SUM(B15:D15)</f>
        <v>0</v>
      </c>
      <c r="F15" s="354"/>
    </row>
    <row r="16" spans="1:8" s="17" customFormat="1" ht="20.100000000000001" customHeight="1">
      <c r="A16" s="370" t="s">
        <v>593</v>
      </c>
      <c r="B16" s="457">
        <v>7919779</v>
      </c>
      <c r="C16" s="446">
        <v>813810</v>
      </c>
      <c r="D16" s="446">
        <v>150000</v>
      </c>
      <c r="E16" s="372">
        <f t="shared" si="0"/>
        <v>8883589</v>
      </c>
      <c r="F16" s="354"/>
    </row>
    <row r="17" spans="1:6" s="17" customFormat="1" ht="20.100000000000001" customHeight="1">
      <c r="A17" s="370" t="s">
        <v>594</v>
      </c>
      <c r="B17" s="457">
        <v>8485477</v>
      </c>
      <c r="C17" s="446">
        <v>4474536</v>
      </c>
      <c r="D17" s="446">
        <v>200000</v>
      </c>
      <c r="E17" s="372">
        <f t="shared" si="0"/>
        <v>13160013</v>
      </c>
      <c r="F17" s="354"/>
    </row>
    <row r="18" spans="1:6" s="17" customFormat="1" ht="20.100000000000001" customHeight="1">
      <c r="A18" s="370" t="s">
        <v>595</v>
      </c>
      <c r="B18" s="457">
        <v>5656984</v>
      </c>
      <c r="C18" s="446">
        <v>2430330</v>
      </c>
      <c r="D18" s="446">
        <v>0</v>
      </c>
      <c r="E18" s="372">
        <f t="shared" si="0"/>
        <v>8087314</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0</v>
      </c>
      <c r="C20" s="447">
        <v>0</v>
      </c>
      <c r="D20" s="447">
        <v>0</v>
      </c>
      <c r="E20" s="372">
        <f t="shared" si="0"/>
        <v>0</v>
      </c>
      <c r="F20" s="354"/>
    </row>
    <row r="21" spans="1:6" s="17" customFormat="1" ht="24" customHeight="1" thickBot="1">
      <c r="A21" s="295" t="s">
        <v>50</v>
      </c>
      <c r="B21" s="355">
        <f>SUM(B10:B20)</f>
        <v>56569847</v>
      </c>
      <c r="C21" s="358">
        <f>SUM(C10:C20)</f>
        <v>15575000</v>
      </c>
      <c r="D21" s="358">
        <f>SUM(D10:D20)</f>
        <v>500000</v>
      </c>
      <c r="E21" s="357">
        <f>SUM(E10:E20)</f>
        <v>72644847</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Tallahassee Community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0</v>
      </c>
      <c r="E15" s="773">
        <v>0</v>
      </c>
      <c r="F15" s="774">
        <f t="shared" si="0"/>
        <v>0</v>
      </c>
      <c r="I15" s="88"/>
      <c r="J15" s="29"/>
      <c r="K15" s="93"/>
      <c r="L15" s="93"/>
      <c r="M15" s="93"/>
      <c r="N15" s="93"/>
    </row>
    <row r="16" spans="1:224" s="17" customFormat="1" ht="30" customHeight="1">
      <c r="A16" s="770" t="s">
        <v>416</v>
      </c>
      <c r="B16" s="771"/>
      <c r="C16" s="772" t="s">
        <v>417</v>
      </c>
      <c r="D16" s="773">
        <v>0</v>
      </c>
      <c r="E16" s="773">
        <v>0</v>
      </c>
      <c r="F16" s="774">
        <f t="shared" si="0"/>
        <v>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91202</v>
      </c>
      <c r="E34" s="773">
        <v>0</v>
      </c>
      <c r="F34" s="774">
        <f t="shared" si="0"/>
        <v>91202</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1322</v>
      </c>
      <c r="E48" s="773">
        <v>0</v>
      </c>
      <c r="F48" s="774">
        <f t="shared" si="0"/>
        <v>1322</v>
      </c>
    </row>
    <row r="49" spans="1:6" s="17" customFormat="1" ht="30" customHeight="1">
      <c r="A49" s="770" t="s">
        <v>478</v>
      </c>
      <c r="B49" s="771"/>
      <c r="C49" s="772" t="s">
        <v>479</v>
      </c>
      <c r="D49" s="773">
        <v>0</v>
      </c>
      <c r="E49" s="773">
        <v>0</v>
      </c>
      <c r="F49" s="774">
        <f t="shared" si="0"/>
        <v>0</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0</v>
      </c>
      <c r="E54" s="773">
        <v>0</v>
      </c>
      <c r="F54" s="774">
        <f t="shared" si="0"/>
        <v>0</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92524</v>
      </c>
      <c r="E57" s="270">
        <f>SUM(E10:E56)</f>
        <v>0</v>
      </c>
      <c r="F57" s="270">
        <f t="shared" si="0"/>
        <v>92524</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0</v>
      </c>
      <c r="E64" s="459">
        <v>0</v>
      </c>
      <c r="F64" s="236">
        <f t="shared" si="0"/>
        <v>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0</v>
      </c>
      <c r="E67" s="773">
        <v>0</v>
      </c>
      <c r="F67" s="774">
        <f t="shared" si="0"/>
        <v>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0</v>
      </c>
      <c r="E73" s="773">
        <v>0</v>
      </c>
      <c r="F73" s="774">
        <f t="shared" si="0"/>
        <v>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0</v>
      </c>
      <c r="E76" s="773">
        <v>0</v>
      </c>
      <c r="F76" s="774">
        <f t="shared" si="1"/>
        <v>0</v>
      </c>
    </row>
    <row r="77" spans="1:6" s="17" customFormat="1" ht="30" customHeight="1">
      <c r="A77" s="770" t="s">
        <v>518</v>
      </c>
      <c r="B77" s="771"/>
      <c r="C77" s="780" t="s">
        <v>519</v>
      </c>
      <c r="D77" s="773">
        <v>0</v>
      </c>
      <c r="E77" s="773">
        <v>0</v>
      </c>
      <c r="F77" s="774">
        <f t="shared" si="1"/>
        <v>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0</v>
      </c>
      <c r="E93" s="266">
        <f>SUM(E64:E92)</f>
        <v>0</v>
      </c>
      <c r="F93" s="266">
        <f t="shared" si="1"/>
        <v>0</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92524</v>
      </c>
      <c r="E113" s="266">
        <f>+E57+E93+E111</f>
        <v>0</v>
      </c>
      <c r="F113" s="266">
        <f>SUM(D113:E113)</f>
        <v>92524</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92524</v>
      </c>
      <c r="E118" s="773">
        <v>0</v>
      </c>
      <c r="F118" s="774">
        <f t="shared" ref="F118:F128" si="3">+D118+E118</f>
        <v>92524</v>
      </c>
    </row>
    <row r="119" spans="1:6" s="69" customFormat="1" ht="30" customHeight="1">
      <c r="A119" s="770" t="s">
        <v>618</v>
      </c>
      <c r="B119" s="615"/>
      <c r="C119" s="782"/>
      <c r="D119" s="1103">
        <f>'EXHIBIT C'!F19</f>
        <v>0</v>
      </c>
      <c r="E119" s="773">
        <v>0</v>
      </c>
      <c r="F119" s="774">
        <f t="shared" si="3"/>
        <v>0</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92524</v>
      </c>
      <c r="E129" s="260">
        <f>SUM(E117:E128)</f>
        <v>0</v>
      </c>
      <c r="F129" s="261">
        <f>SUM(F117:F128)</f>
        <v>92524</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2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topLeftCell="A21"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9"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48</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0.10745015486561835</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960</v>
      </c>
      <c r="E44" s="114">
        <f>+'EXHIBIT C'!F10</f>
        <v>1008</v>
      </c>
      <c r="F44" s="115">
        <f t="shared" ref="F44:F50" si="0">IF(D44=0,"0",(E44/D44-1))</f>
        <v>5.0000000000000044E-2</v>
      </c>
      <c r="G44" s="116" t="str">
        <f t="shared" ref="G44:G50" si="1">IF(OR(F44&gt;3%, F44&lt;-3%),"YES","NO")</f>
        <v>YES</v>
      </c>
      <c r="H44" s="88"/>
    </row>
    <row r="45" spans="1:8" ht="20.100000000000001" customHeight="1">
      <c r="C45" s="117" t="s">
        <v>132</v>
      </c>
      <c r="D45" s="664">
        <f>VLOOKUP($D$7,VLOOKUP!$A$111:$S$139,5)*30+D60</f>
        <v>199902.46138528976</v>
      </c>
      <c r="E45" s="118">
        <f>+'EXHIBIT C'!F11</f>
        <v>209853.28</v>
      </c>
      <c r="F45" s="665">
        <f t="shared" si="0"/>
        <v>4.9778369639637221E-2</v>
      </c>
      <c r="G45" s="666" t="str">
        <f t="shared" si="1"/>
        <v>YES</v>
      </c>
      <c r="H45" s="88"/>
    </row>
    <row r="46" spans="1:8" ht="20.100000000000001" customHeight="1">
      <c r="C46" s="667" t="s">
        <v>133</v>
      </c>
      <c r="D46" s="668">
        <f>VLOOKUP($D$7,VLOOKUP!$A$111:$S$139,8)*30</f>
        <v>39150.381355932201</v>
      </c>
      <c r="E46" s="669">
        <f>+'EXHIBIT C'!F12</f>
        <v>41099.24</v>
      </c>
      <c r="F46" s="665">
        <f t="shared" si="0"/>
        <v>4.9778790820705465E-2</v>
      </c>
      <c r="G46" s="666" t="str">
        <f t="shared" si="1"/>
        <v>YES</v>
      </c>
      <c r="H46" s="88"/>
    </row>
    <row r="47" spans="1:8" ht="20.100000000000001" customHeight="1">
      <c r="C47" s="667" t="s">
        <v>82</v>
      </c>
      <c r="D47" s="668">
        <f>VLOOKUP($D$7,VLOOKUP!$A$111:$S$139,17)*30</f>
        <v>9022.7793696275075</v>
      </c>
      <c r="E47" s="669">
        <f>+'EXHIBIT C'!F13</f>
        <v>9474</v>
      </c>
      <c r="F47" s="665">
        <f t="shared" si="0"/>
        <v>5.0009050635926311E-2</v>
      </c>
      <c r="G47" s="666" t="str">
        <f t="shared" si="1"/>
        <v>YES</v>
      </c>
      <c r="H47" s="88"/>
    </row>
    <row r="48" spans="1:8" ht="20.100000000000001" customHeight="1">
      <c r="C48" s="667" t="s">
        <v>134</v>
      </c>
      <c r="D48" s="668">
        <f>VLOOKUP($D$7,VLOOKUP!$A$111:$S$139,11)*30</f>
        <v>2815.8333333333335</v>
      </c>
      <c r="E48" s="669">
        <f>+'EXHIBIT C'!F14</f>
        <v>2957</v>
      </c>
      <c r="F48" s="665">
        <f t="shared" si="0"/>
        <v>5.0133175495708837E-2</v>
      </c>
      <c r="G48" s="666" t="str">
        <f t="shared" si="1"/>
        <v>YES</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251851.45544418279</v>
      </c>
      <c r="E50" s="121">
        <f>+'EXHIBIT C'!F17</f>
        <v>264391.52</v>
      </c>
      <c r="F50" s="122">
        <f t="shared" si="0"/>
        <v>4.9791511165582447E-2</v>
      </c>
      <c r="G50" s="123" t="str">
        <f t="shared" si="1"/>
        <v>YES</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781</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0</v>
      </c>
      <c r="F59" s="676" t="str">
        <f t="shared" ref="F59:F65" si="2">IF(D59=0,"0",(E59/D59-1))</f>
        <v>0</v>
      </c>
      <c r="G59" s="677" t="str">
        <f>IF(OR(F59&gt;5%, F59&lt;-5%),"YES","NO")</f>
        <v>NO</v>
      </c>
    </row>
    <row r="60" spans="3:8" ht="20.100000000000001" customHeight="1">
      <c r="C60" s="117" t="s">
        <v>132</v>
      </c>
      <c r="D60" s="675">
        <f>VLOOKUP($D$7,VLOOKUP!$A$111:$S$139,6)*30</f>
        <v>9280.300897437668</v>
      </c>
      <c r="E60" s="131">
        <f>+'EXHIBIT C'!D20</f>
        <v>9744</v>
      </c>
      <c r="F60" s="676">
        <f t="shared" si="2"/>
        <v>4.9965955596370959E-2</v>
      </c>
      <c r="G60" s="677" t="str">
        <f t="shared" ref="G60:G65" si="3">IF(OR(F60&gt;5%, F60&lt;-5%),"YES","NO")</f>
        <v>NO</v>
      </c>
      <c r="H60" s="88"/>
    </row>
    <row r="61" spans="3:8" ht="20.100000000000001" customHeight="1">
      <c r="C61" s="667" t="s">
        <v>133</v>
      </c>
      <c r="D61" s="678">
        <f>VLOOKUP($D$7,VLOOKUP!$A$111:$S$139,9)*30</f>
        <v>1368.9171374764594</v>
      </c>
      <c r="E61" s="679">
        <f>+'EXHIBIT C'!D21</f>
        <v>1437</v>
      </c>
      <c r="F61" s="676">
        <f t="shared" si="2"/>
        <v>4.9734831027865134E-2</v>
      </c>
      <c r="G61" s="677" t="str">
        <f t="shared" si="3"/>
        <v>NO</v>
      </c>
      <c r="H61" s="88"/>
    </row>
    <row r="62" spans="3:8" ht="20.100000000000001" customHeight="1">
      <c r="C62" s="667" t="s">
        <v>82</v>
      </c>
      <c r="D62" s="678">
        <f>VLOOKUP($D$7,VLOOKUP!$A$111:$S$139,18)*30</f>
        <v>427.22063037249279</v>
      </c>
      <c r="E62" s="679">
        <f>+'EXHIBIT C'!D22</f>
        <v>448</v>
      </c>
      <c r="F62" s="676">
        <f t="shared" si="2"/>
        <v>4.8638497652582213E-2</v>
      </c>
      <c r="G62" s="677" t="str">
        <f t="shared" si="3"/>
        <v>NO</v>
      </c>
      <c r="H62" s="88"/>
    </row>
    <row r="63" spans="3:8" ht="20.100000000000001" customHeight="1">
      <c r="C63" s="667" t="s">
        <v>134</v>
      </c>
      <c r="D63" s="678">
        <f>VLOOKUP($D$7,VLOOKUP!$A$111:$S$139,12)*30</f>
        <v>454.16666666666669</v>
      </c>
      <c r="E63" s="679">
        <f>+'EXHIBIT C'!D23</f>
        <v>474</v>
      </c>
      <c r="F63" s="676">
        <f t="shared" si="2"/>
        <v>4.3669724770642127E-2</v>
      </c>
      <c r="G63" s="677" t="str">
        <f t="shared" si="3"/>
        <v>NO</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11530.605331953286</v>
      </c>
      <c r="E65" s="133">
        <f>SUM(E59:E64)</f>
        <v>12103</v>
      </c>
      <c r="F65" s="134">
        <f t="shared" si="2"/>
        <v>4.9641337255773577E-2</v>
      </c>
      <c r="G65" s="135" t="str">
        <f t="shared" si="3"/>
        <v>NO</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2"/>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34477912</v>
      </c>
      <c r="E84" s="1150">
        <f>+'EXHIBIT D'!G75</f>
        <v>34477912</v>
      </c>
      <c r="F84" s="1150">
        <f>D84-E84</f>
        <v>0</v>
      </c>
      <c r="G84" s="88"/>
      <c r="H84" s="88"/>
    </row>
    <row r="85" spans="1:8" ht="20.100000000000001" customHeight="1">
      <c r="A85" s="98"/>
      <c r="B85" s="98"/>
      <c r="C85" s="688" t="s">
        <v>156</v>
      </c>
      <c r="D85" s="687">
        <f>VLOOKUP($D$7,VLOOKUP!$A$152:$B$180,2)</f>
        <v>657964</v>
      </c>
      <c r="E85" s="1150">
        <f>'EXHIBIT D'!G77</f>
        <v>657964</v>
      </c>
      <c r="F85" s="1150">
        <f>D85-E85</f>
        <v>0</v>
      </c>
      <c r="G85" s="88"/>
      <c r="H85" s="88"/>
    </row>
    <row r="86" spans="1:8" ht="20.100000000000001" customHeight="1">
      <c r="A86" s="98"/>
      <c r="B86" s="98"/>
      <c r="C86" s="688" t="s">
        <v>157</v>
      </c>
      <c r="D86" s="687">
        <f>VLOOKUP($D$7,VLOOKUP!$A$7:$E$35,3)</f>
        <v>7651779</v>
      </c>
      <c r="E86" s="1150">
        <f>'EXHIBIT D'!G81</f>
        <v>7651779</v>
      </c>
      <c r="F86" s="1150">
        <f>D86-E86</f>
        <v>0</v>
      </c>
      <c r="G86" s="88"/>
      <c r="H86" s="88"/>
    </row>
    <row r="87" spans="1:8" ht="20.100000000000001" customHeight="1" thickBot="1">
      <c r="A87" s="97"/>
      <c r="B87" s="97"/>
      <c r="C87" s="143" t="s">
        <v>708</v>
      </c>
      <c r="D87" s="687">
        <f>VLOOKUP($D$7,VLOOKUP!$A$187:$B$215,2)</f>
        <v>924068</v>
      </c>
      <c r="E87" s="1151">
        <f>'EXHIBIT D'!G76</f>
        <v>924068</v>
      </c>
      <c r="F87" s="1150">
        <f>D87-E87</f>
        <v>0</v>
      </c>
      <c r="G87" s="88"/>
      <c r="H87" s="88"/>
    </row>
    <row r="88" spans="1:8" ht="20.100000000000001" customHeight="1" thickBot="1">
      <c r="A88" s="97"/>
      <c r="B88" s="97"/>
      <c r="C88" s="144" t="s">
        <v>158</v>
      </c>
      <c r="D88" s="145">
        <f>SUM(D84:D87)</f>
        <v>43711723</v>
      </c>
      <c r="E88" s="145">
        <f>SUM(E84:E87)</f>
        <v>43711723</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8745394</v>
      </c>
      <c r="D101" s="836" t="s">
        <v>721</v>
      </c>
      <c r="E101" s="836"/>
      <c r="F101" s="836"/>
      <c r="G101" s="88"/>
      <c r="H101" s="88"/>
    </row>
    <row r="102" spans="1:8" ht="20.100000000000001" customHeight="1">
      <c r="A102" s="95"/>
      <c r="B102" s="95"/>
      <c r="C102" s="691">
        <f>'EXHIBIT D'!G266-'EXHIBIT D'!G252-'EXHIBIT D'!G264</f>
        <v>8745394</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0</v>
      </c>
      <c r="D108" s="17" t="s">
        <v>723</v>
      </c>
    </row>
    <row r="109" spans="1:8" ht="26.25" customHeight="1">
      <c r="A109" s="151"/>
      <c r="B109" s="151"/>
      <c r="C109" s="693">
        <f>'EXHIBIT A'!E36</f>
        <v>0</v>
      </c>
      <c r="D109" s="17" t="s">
        <v>724</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91.789682539682545</v>
      </c>
      <c r="D119" s="17" t="s">
        <v>87</v>
      </c>
    </row>
    <row r="120" spans="1:8" ht="20.100000000000001" customHeight="1">
      <c r="C120" s="158"/>
    </row>
    <row r="121" spans="1:8" ht="20.100000000000001" customHeight="1">
      <c r="C121" s="159" t="str">
        <f>IF('EXHIBIT G'!D119=0,"No Credit Hours or Not Applicable",('EXHIBIT G'!D119/'EXHIBIT C'!D19))</f>
        <v>No Credit Hours or Not Applicable</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ff0UTWZ/X5s1JSOSwpM9mCaBDNV72ekYOOiChOOu0Z+1zMW6DvbcGlGtbDIWXsOhm5lgbdPVRfoobVgvugRYaQ==" saltValue="LLVMaJd1AKjSAQ68lV5At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Tallahassee Community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8745394</v>
      </c>
    </row>
    <row r="14" spans="2:7" ht="25.35" customHeight="1">
      <c r="B14" s="17" t="s">
        <v>180</v>
      </c>
      <c r="D14" s="28"/>
      <c r="E14" s="585">
        <v>0</v>
      </c>
    </row>
    <row r="15" spans="2:7" ht="25.35" customHeight="1">
      <c r="B15" s="28"/>
      <c r="D15" s="28"/>
      <c r="E15" s="164"/>
    </row>
    <row r="16" spans="2:7" ht="25.35" customHeight="1">
      <c r="B16" s="17" t="s">
        <v>735</v>
      </c>
      <c r="C16" s="28"/>
      <c r="D16" s="28"/>
      <c r="E16" s="586">
        <f>+E14+E13</f>
        <v>8745394</v>
      </c>
    </row>
    <row r="17" spans="2:7" ht="25.35" customHeight="1">
      <c r="B17" s="28"/>
      <c r="C17" s="28"/>
      <c r="D17" s="28"/>
      <c r="E17" s="165"/>
    </row>
    <row r="18" spans="2:7" ht="25.35" customHeight="1">
      <c r="B18" s="17" t="s">
        <v>181</v>
      </c>
      <c r="C18" s="28"/>
      <c r="D18" s="28"/>
      <c r="E18" s="175">
        <f>+'EXHIBIT D'!G142-SUM(+'EXHIBIT D'!G132+'EXHIBIT D'!G133)</f>
        <v>72644847</v>
      </c>
      <c r="G18" s="138"/>
    </row>
    <row r="19" spans="2:7" ht="25.35" customHeight="1">
      <c r="B19" s="17" t="s">
        <v>182</v>
      </c>
      <c r="D19" s="28"/>
      <c r="E19" s="586">
        <f>+'EXHIBIT D'!G132+'EXHIBIT D'!G133</f>
        <v>0</v>
      </c>
    </row>
    <row r="20" spans="2:7" ht="25.35" customHeight="1">
      <c r="B20" s="28"/>
      <c r="D20" s="28"/>
      <c r="E20" s="170"/>
    </row>
    <row r="21" spans="2:7" ht="25.35" customHeight="1">
      <c r="B21" s="17" t="s">
        <v>183</v>
      </c>
      <c r="C21" s="28"/>
      <c r="D21" s="28"/>
      <c r="E21" s="587">
        <f>+E19+E18</f>
        <v>72644847</v>
      </c>
    </row>
    <row r="22" spans="2:7" ht="25.35" customHeight="1">
      <c r="B22" s="28"/>
      <c r="C22" s="28"/>
      <c r="D22" s="28"/>
      <c r="E22" s="170"/>
    </row>
    <row r="23" spans="2:7" ht="25.35" customHeight="1">
      <c r="B23" s="28" t="s">
        <v>184</v>
      </c>
      <c r="C23" s="28"/>
      <c r="D23" s="28"/>
      <c r="E23" s="587">
        <f>+E21+E16</f>
        <v>81390241</v>
      </c>
    </row>
    <row r="24" spans="2:7" ht="25.35" customHeight="1">
      <c r="B24" s="28"/>
      <c r="C24" s="28"/>
      <c r="D24" s="28"/>
      <c r="E24" s="170"/>
    </row>
    <row r="25" spans="2:7" ht="25.35" customHeight="1">
      <c r="B25" s="17" t="s">
        <v>185</v>
      </c>
      <c r="C25" s="28"/>
      <c r="D25" s="28"/>
      <c r="E25" s="176">
        <f>'EXHIBIT D'!G248-SUM(+'EXHIBIT D'!G222+'EXHIBIT D'!G223)</f>
        <v>72644847</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72644847</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8745394</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736</v>
      </c>
      <c r="C35" s="28"/>
      <c r="D35" s="28"/>
      <c r="E35" s="169">
        <f>+D32+D33</f>
        <v>8745394</v>
      </c>
    </row>
    <row r="36" spans="2:10" ht="25.35" customHeight="1">
      <c r="B36" s="17" t="s">
        <v>737</v>
      </c>
      <c r="C36" s="28"/>
      <c r="D36" s="28"/>
      <c r="E36" s="587">
        <f>-'EXHIBIT D'!G264</f>
        <v>0</v>
      </c>
      <c r="J36" s="48"/>
    </row>
    <row r="37" spans="2:10" ht="25.35" customHeight="1">
      <c r="D37" s="28"/>
      <c r="E37" s="169"/>
    </row>
    <row r="38" spans="2:10" ht="25.35" customHeight="1">
      <c r="B38" s="28" t="s">
        <v>738</v>
      </c>
      <c r="D38" s="28"/>
      <c r="E38" s="586">
        <f>+E35-E36</f>
        <v>8745394</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8745394</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0.10745015486561835</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Tallahassee Community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9.18</v>
      </c>
      <c r="E14" s="983">
        <v>18.36</v>
      </c>
      <c r="F14" s="983">
        <v>4.59</v>
      </c>
      <c r="G14" s="696">
        <f>SUM(B14:F14)</f>
        <v>128.51</v>
      </c>
      <c r="H14" s="367">
        <f>G14*30</f>
        <v>3855.2999999999997</v>
      </c>
    </row>
    <row r="15" spans="1:18" s="17" customFormat="1" ht="20.100000000000001" customHeight="1">
      <c r="A15" s="28" t="s">
        <v>207</v>
      </c>
      <c r="B15" s="984">
        <v>76.8</v>
      </c>
      <c r="C15" s="984">
        <v>3.84</v>
      </c>
      <c r="D15" s="984">
        <v>5.35</v>
      </c>
      <c r="E15" s="984">
        <v>11</v>
      </c>
      <c r="F15" s="984">
        <v>3.84</v>
      </c>
      <c r="G15" s="696">
        <f>SUM(B15:F15)</f>
        <v>100.83</v>
      </c>
      <c r="H15" s="340">
        <f>G15*30</f>
        <v>3024.9</v>
      </c>
    </row>
    <row r="16" spans="1:18" s="17" customFormat="1" ht="20.100000000000001" customHeight="1" thickBot="1">
      <c r="A16" s="28" t="s">
        <v>82</v>
      </c>
      <c r="B16" s="985">
        <v>69.900000000000006</v>
      </c>
      <c r="C16" s="985">
        <v>3.39</v>
      </c>
      <c r="D16" s="986"/>
      <c r="E16" s="985">
        <v>3.39</v>
      </c>
      <c r="F16" s="985">
        <v>3.39</v>
      </c>
      <c r="G16" s="341">
        <f>SUM(B16:F16)</f>
        <v>80.070000000000007</v>
      </c>
      <c r="H16" s="697">
        <f>G16*30</f>
        <v>2402.1000000000004</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30</v>
      </c>
      <c r="C19" s="368"/>
      <c r="D19" s="368"/>
      <c r="E19" s="368"/>
      <c r="F19" s="368"/>
      <c r="G19" s="696">
        <f>B19</f>
        <v>30</v>
      </c>
      <c r="H19" s="620">
        <f>G19*3</f>
        <v>90</v>
      </c>
    </row>
    <row r="20" spans="1:11" s="17" customFormat="1" ht="20.100000000000001" customHeight="1" thickBot="1">
      <c r="A20" s="28" t="s">
        <v>211</v>
      </c>
      <c r="B20" s="605">
        <v>30</v>
      </c>
      <c r="C20" s="322"/>
      <c r="D20" s="322"/>
      <c r="E20" s="322"/>
      <c r="F20" s="322"/>
      <c r="G20" s="343">
        <f>B20</f>
        <v>30</v>
      </c>
      <c r="H20" s="573">
        <f>G20*3</f>
        <v>90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275.37</v>
      </c>
      <c r="D29" s="983">
        <v>18.36</v>
      </c>
      <c r="E29" s="543">
        <f>D14</f>
        <v>9.18</v>
      </c>
      <c r="F29" s="983">
        <v>73.430000000000007</v>
      </c>
      <c r="G29" s="983">
        <v>18.36</v>
      </c>
      <c r="H29" s="348">
        <f>SUM(B29:G29)</f>
        <v>486.49000000000007</v>
      </c>
      <c r="I29" s="361">
        <f>H29*30</f>
        <v>14594.700000000003</v>
      </c>
    </row>
    <row r="30" spans="1:11" s="17" customFormat="1" ht="20.100000000000001" customHeight="1">
      <c r="A30" s="28" t="str">
        <f t="shared" si="0"/>
        <v>LOWER LEVEL - CREDIT (A &amp; P, PSV, DEVELOPMENTAL EDUCATION AND EPI)</v>
      </c>
      <c r="B30" s="700">
        <f t="shared" si="0"/>
        <v>76.8</v>
      </c>
      <c r="C30" s="987">
        <v>230.4</v>
      </c>
      <c r="D30" s="987">
        <v>15.36</v>
      </c>
      <c r="E30" s="701">
        <f>D15</f>
        <v>5.35</v>
      </c>
      <c r="F30" s="987">
        <v>44</v>
      </c>
      <c r="G30" s="987">
        <v>15.36</v>
      </c>
      <c r="H30" s="696">
        <f>SUM(B30:G30)</f>
        <v>387.27000000000004</v>
      </c>
      <c r="I30" s="340">
        <f>H30*30</f>
        <v>11618.1</v>
      </c>
    </row>
    <row r="31" spans="1:11" s="17" customFormat="1" ht="20.100000000000001" customHeight="1" thickBot="1">
      <c r="A31" s="28" t="str">
        <f t="shared" si="0"/>
        <v>CAREER CERTIFICATE AND APPLIED TECHNOLOGY DIPLOMA</v>
      </c>
      <c r="B31" s="411">
        <f t="shared" si="0"/>
        <v>69.900000000000006</v>
      </c>
      <c r="C31" s="984">
        <v>209.7</v>
      </c>
      <c r="D31" s="984">
        <v>13.56</v>
      </c>
      <c r="E31" s="322"/>
      <c r="F31" s="984">
        <v>13.56</v>
      </c>
      <c r="G31" s="984">
        <v>13.56</v>
      </c>
      <c r="H31" s="341">
        <f>SUM(B31:G31)</f>
        <v>320.28000000000003</v>
      </c>
      <c r="I31" s="697">
        <f>H31*30</f>
        <v>9608.4000000000015</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30</v>
      </c>
      <c r="C34" s="368"/>
      <c r="D34" s="368"/>
      <c r="E34" s="368"/>
      <c r="F34" s="368"/>
      <c r="G34" s="368"/>
      <c r="H34" s="702">
        <f>B34</f>
        <v>30</v>
      </c>
      <c r="I34" s="362">
        <f>H34*3</f>
        <v>90</v>
      </c>
      <c r="J34" s="346"/>
      <c r="K34" s="346"/>
    </row>
    <row r="35" spans="1:11" s="17" customFormat="1" ht="20.100000000000001" customHeight="1" thickBot="1">
      <c r="A35" s="28" t="str">
        <f>A20</f>
        <v>ADULT GENERAL EDUCATION AND SECONDARY (PER TERM)</v>
      </c>
      <c r="B35" s="703">
        <f>B20</f>
        <v>30</v>
      </c>
      <c r="C35" s="322"/>
      <c r="D35" s="322"/>
      <c r="E35" s="322"/>
      <c r="F35" s="322"/>
      <c r="G35" s="322"/>
      <c r="H35" s="352">
        <f>B35</f>
        <v>30</v>
      </c>
      <c r="I35" s="704">
        <f>H35*3</f>
        <v>90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Tallahassee Community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1008</v>
      </c>
      <c r="E10" s="546">
        <v>0</v>
      </c>
      <c r="F10" s="547">
        <f t="shared" ref="F10:F15" si="0">+D10-E10</f>
        <v>1008</v>
      </c>
      <c r="G10" s="547">
        <f>'EXHIBIT B'!B14</f>
        <v>91.79</v>
      </c>
      <c r="H10" s="548">
        <f>ROUND(+F10*G10,0)</f>
        <v>92524</v>
      </c>
    </row>
    <row r="11" spans="1:9" ht="20.100000000000001" customHeight="1">
      <c r="A11" s="707" t="s">
        <v>200</v>
      </c>
      <c r="B11" s="707" t="s">
        <v>132</v>
      </c>
      <c r="C11" s="708" t="s">
        <v>228</v>
      </c>
      <c r="D11" s="706">
        <v>214136</v>
      </c>
      <c r="E11" s="706">
        <f>D11*0.02</f>
        <v>4282.72</v>
      </c>
      <c r="F11" s="709">
        <f t="shared" si="0"/>
        <v>209853.28</v>
      </c>
      <c r="G11" s="709">
        <f>+'EXHIBIT B'!B15</f>
        <v>76.8</v>
      </c>
      <c r="H11" s="710">
        <f t="shared" ref="H11:H15" si="1">ROUND(+F11*G11,0)</f>
        <v>16116732</v>
      </c>
    </row>
    <row r="12" spans="1:9" ht="20.100000000000001" customHeight="1">
      <c r="A12" s="707" t="s">
        <v>200</v>
      </c>
      <c r="B12" s="707" t="s">
        <v>133</v>
      </c>
      <c r="C12" s="708" t="s">
        <v>229</v>
      </c>
      <c r="D12" s="706">
        <v>41938</v>
      </c>
      <c r="E12" s="706">
        <f t="shared" ref="E12" si="2">D12*0.02</f>
        <v>838.76</v>
      </c>
      <c r="F12" s="709">
        <f t="shared" si="0"/>
        <v>41099.24</v>
      </c>
      <c r="G12" s="709">
        <f>+'EXHIBIT B'!B15</f>
        <v>76.8</v>
      </c>
      <c r="H12" s="710">
        <f t="shared" si="1"/>
        <v>3156422</v>
      </c>
    </row>
    <row r="13" spans="1:9" ht="20.100000000000001" customHeight="1">
      <c r="A13" s="707" t="s">
        <v>200</v>
      </c>
      <c r="B13" s="707" t="s">
        <v>82</v>
      </c>
      <c r="C13" s="708" t="s">
        <v>230</v>
      </c>
      <c r="D13" s="711">
        <v>9474</v>
      </c>
      <c r="E13" s="706">
        <v>0</v>
      </c>
      <c r="F13" s="709">
        <f t="shared" si="0"/>
        <v>9474</v>
      </c>
      <c r="G13" s="709">
        <f>+'EXHIBIT B'!B16</f>
        <v>69.900000000000006</v>
      </c>
      <c r="H13" s="710">
        <f t="shared" si="1"/>
        <v>662233</v>
      </c>
    </row>
    <row r="14" spans="1:9" ht="20.100000000000001" customHeight="1">
      <c r="A14" s="707" t="s">
        <v>200</v>
      </c>
      <c r="B14" s="707" t="s">
        <v>134</v>
      </c>
      <c r="C14" s="708" t="s">
        <v>231</v>
      </c>
      <c r="D14" s="706">
        <v>2957</v>
      </c>
      <c r="E14" s="706">
        <v>0</v>
      </c>
      <c r="F14" s="709">
        <f t="shared" si="0"/>
        <v>2957</v>
      </c>
      <c r="G14" s="709">
        <f>+'EXHIBIT B'!B15</f>
        <v>76.8</v>
      </c>
      <c r="H14" s="710">
        <f t="shared" si="1"/>
        <v>227098</v>
      </c>
    </row>
    <row r="15" spans="1:9" ht="20.100000000000001" customHeight="1" thickBot="1">
      <c r="A15" s="712" t="s">
        <v>200</v>
      </c>
      <c r="B15" s="712" t="s">
        <v>135</v>
      </c>
      <c r="C15" s="713">
        <v>40160</v>
      </c>
      <c r="D15" s="714">
        <v>0</v>
      </c>
      <c r="E15" s="714">
        <v>0</v>
      </c>
      <c r="F15" s="715">
        <f t="shared" si="0"/>
        <v>0</v>
      </c>
      <c r="G15" s="715">
        <f>+'EXHIBIT B'!B15</f>
        <v>76.8</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269513</v>
      </c>
      <c r="E17" s="304">
        <f>SUM(E10:E15)</f>
        <v>5121.4800000000005</v>
      </c>
      <c r="F17" s="305">
        <f>SUM(F10:F15)</f>
        <v>264391.52</v>
      </c>
      <c r="G17" s="305"/>
      <c r="H17" s="306">
        <f>SUM(H10:H15)</f>
        <v>20255009</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0</v>
      </c>
      <c r="E19" s="718">
        <f>'EXHIBIT B'!C29</f>
        <v>275.37</v>
      </c>
      <c r="F19" s="719">
        <f t="shared" ref="F19:F24" si="3">ROUND(+D19*E19,0)</f>
        <v>0</v>
      </c>
      <c r="G19" s="308"/>
      <c r="H19" s="308"/>
    </row>
    <row r="20" spans="1:9" ht="20.100000000000001" customHeight="1">
      <c r="A20" s="654" t="s">
        <v>215</v>
      </c>
      <c r="B20" s="654" t="s">
        <v>132</v>
      </c>
      <c r="C20" s="720" t="s">
        <v>235</v>
      </c>
      <c r="D20" s="727">
        <v>9744</v>
      </c>
      <c r="E20" s="721">
        <f>+'EXHIBIT B'!C30</f>
        <v>230.4</v>
      </c>
      <c r="F20" s="722">
        <f t="shared" si="3"/>
        <v>2245018</v>
      </c>
      <c r="G20" s="48"/>
      <c r="H20" s="48"/>
    </row>
    <row r="21" spans="1:9" ht="20.100000000000001" customHeight="1">
      <c r="A21" s="654" t="s">
        <v>215</v>
      </c>
      <c r="B21" s="654" t="s">
        <v>133</v>
      </c>
      <c r="C21" s="720" t="s">
        <v>236</v>
      </c>
      <c r="D21" s="727">
        <v>1437</v>
      </c>
      <c r="E21" s="721">
        <f>+'EXHIBIT B'!C30</f>
        <v>230.4</v>
      </c>
      <c r="F21" s="722">
        <f t="shared" si="3"/>
        <v>331085</v>
      </c>
      <c r="G21" s="48"/>
      <c r="H21" s="48"/>
    </row>
    <row r="22" spans="1:9" ht="20.100000000000001" customHeight="1">
      <c r="A22" s="654" t="s">
        <v>215</v>
      </c>
      <c r="B22" s="654" t="s">
        <v>82</v>
      </c>
      <c r="C22" s="720" t="s">
        <v>237</v>
      </c>
      <c r="D22" s="727">
        <v>448</v>
      </c>
      <c r="E22" s="721">
        <f>+'EXHIBIT B'!C31</f>
        <v>209.7</v>
      </c>
      <c r="F22" s="722">
        <f t="shared" si="3"/>
        <v>93946</v>
      </c>
      <c r="G22" s="48"/>
      <c r="H22" s="48"/>
    </row>
    <row r="23" spans="1:9" ht="20.100000000000001" customHeight="1">
      <c r="A23" s="654" t="s">
        <v>215</v>
      </c>
      <c r="B23" s="654" t="s">
        <v>134</v>
      </c>
      <c r="C23" s="720" t="s">
        <v>238</v>
      </c>
      <c r="D23" s="727">
        <v>474</v>
      </c>
      <c r="E23" s="721">
        <f>+'EXHIBIT B'!C30</f>
        <v>230.4</v>
      </c>
      <c r="F23" s="722">
        <f t="shared" si="3"/>
        <v>109210</v>
      </c>
      <c r="G23" s="48"/>
      <c r="H23" s="48"/>
    </row>
    <row r="24" spans="1:9" ht="20.100000000000001" customHeight="1" thickBot="1">
      <c r="A24" s="606" t="s">
        <v>215</v>
      </c>
      <c r="B24" s="606" t="s">
        <v>135</v>
      </c>
      <c r="C24" s="607">
        <v>40360</v>
      </c>
      <c r="D24" s="989">
        <v>0</v>
      </c>
      <c r="E24" s="608">
        <f>+'EXHIBIT B'!C30</f>
        <v>230.4</v>
      </c>
      <c r="F24" s="609">
        <f t="shared" si="3"/>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12103</v>
      </c>
      <c r="E26" s="725"/>
      <c r="F26" s="726">
        <f>SUM(F19:F24)</f>
        <v>2779259</v>
      </c>
      <c r="G26" s="312"/>
      <c r="H26" s="312"/>
    </row>
    <row r="27" spans="1:9" ht="20.100000000000001" customHeight="1" thickBot="1">
      <c r="A27" s="313" t="s">
        <v>239</v>
      </c>
      <c r="B27" s="313"/>
      <c r="C27" s="313"/>
      <c r="D27" s="313"/>
      <c r="E27" s="313"/>
      <c r="F27" s="314"/>
      <c r="G27" s="549"/>
      <c r="H27" s="315">
        <f>H17+F26</f>
        <v>23034268</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30</v>
      </c>
      <c r="H32" s="554">
        <f>ROUND(+F32*G32,0)</f>
        <v>0</v>
      </c>
    </row>
    <row r="33" spans="1:8" ht="20.100000000000001" customHeight="1">
      <c r="A33" s="654" t="s">
        <v>245</v>
      </c>
      <c r="B33" s="654" t="s">
        <v>248</v>
      </c>
      <c r="C33" s="720" t="s">
        <v>249</v>
      </c>
      <c r="D33" s="727">
        <v>0</v>
      </c>
      <c r="E33" s="727">
        <v>0</v>
      </c>
      <c r="F33" s="721">
        <f>D33-E33</f>
        <v>0</v>
      </c>
      <c r="G33" s="721">
        <f>'EXHIBIT B'!B20</f>
        <v>30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30</v>
      </c>
      <c r="F39" s="554">
        <f>D39*E39</f>
        <v>0</v>
      </c>
    </row>
    <row r="40" spans="1:8" ht="20.100000000000001" customHeight="1">
      <c r="A40" s="654" t="s">
        <v>245</v>
      </c>
      <c r="B40" s="654" t="s">
        <v>248</v>
      </c>
      <c r="C40" s="720">
        <v>40390</v>
      </c>
      <c r="D40" s="727">
        <v>0</v>
      </c>
      <c r="E40" s="721">
        <f>'EXHIBIT B'!B35</f>
        <v>30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23034268</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0</v>
      </c>
      <c r="C63" s="992"/>
      <c r="D63" s="993"/>
      <c r="E63" s="992"/>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0</v>
      </c>
      <c r="C69" s="1002"/>
      <c r="D69" s="1003"/>
      <c r="E69" s="1002"/>
      <c r="F69" s="1003"/>
    </row>
    <row r="70" spans="1:6" ht="24.95" customHeight="1" thickBot="1">
      <c r="A70" s="292" t="s">
        <v>264</v>
      </c>
      <c r="B70" s="293">
        <f>+B69+B60</f>
        <v>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Tallahassee Community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Tallahassee Community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92524</v>
      </c>
    </row>
    <row r="13" spans="1:8" ht="20.100000000000001" customHeight="1">
      <c r="A13" s="499" t="s">
        <v>200</v>
      </c>
      <c r="B13" s="184"/>
      <c r="C13" s="177" t="s">
        <v>132</v>
      </c>
      <c r="D13" s="184"/>
      <c r="E13" s="184"/>
      <c r="F13" s="189" t="s">
        <v>228</v>
      </c>
      <c r="G13" s="188">
        <f>+'EXHIBIT C'!H11+'EXHIBIT C(2)'!E14</f>
        <v>16116732</v>
      </c>
    </row>
    <row r="14" spans="1:8" ht="20.100000000000001" customHeight="1">
      <c r="A14" s="499" t="s">
        <v>200</v>
      </c>
      <c r="B14" s="184"/>
      <c r="C14" s="184" t="s">
        <v>133</v>
      </c>
      <c r="D14" s="184"/>
      <c r="E14" s="184"/>
      <c r="F14" s="189" t="s">
        <v>229</v>
      </c>
      <c r="G14" s="520">
        <f>+'EXHIBIT C'!H12+'EXHIBIT C(2)'!E15</f>
        <v>3156422</v>
      </c>
    </row>
    <row r="15" spans="1:8" ht="20.100000000000001" customHeight="1">
      <c r="A15" s="499" t="s">
        <v>200</v>
      </c>
      <c r="B15" s="184"/>
      <c r="C15" s="190" t="s">
        <v>281</v>
      </c>
      <c r="D15" s="184"/>
      <c r="E15" s="184"/>
      <c r="F15" s="189" t="s">
        <v>230</v>
      </c>
      <c r="G15" s="520">
        <f>+'EXHIBIT C'!H13+'EXHIBIT C(2)'!E16</f>
        <v>662233</v>
      </c>
    </row>
    <row r="16" spans="1:8" ht="20.100000000000001" customHeight="1">
      <c r="A16" s="499" t="s">
        <v>200</v>
      </c>
      <c r="B16" s="184"/>
      <c r="C16" s="190" t="s">
        <v>282</v>
      </c>
      <c r="D16" s="184"/>
      <c r="E16" s="184"/>
      <c r="F16" s="189" t="s">
        <v>231</v>
      </c>
      <c r="G16" s="521">
        <f>+'EXHIBIT C'!H14+'EXHIBIT C(2)'!E17</f>
        <v>227098</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20255009</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0</v>
      </c>
    </row>
    <row r="22" spans="1:7" ht="20.100000000000001" customHeight="1">
      <c r="A22" s="499" t="s">
        <v>215</v>
      </c>
      <c r="B22" s="184"/>
      <c r="C22" s="177" t="s">
        <v>132</v>
      </c>
      <c r="D22" s="184"/>
      <c r="E22" s="184"/>
      <c r="F22" s="189" t="s">
        <v>235</v>
      </c>
      <c r="G22" s="193">
        <f>+'EXHIBIT C'!F20+'EXHIBIT C(2)'!E23</f>
        <v>2245018</v>
      </c>
    </row>
    <row r="23" spans="1:7" ht="20.100000000000001" customHeight="1">
      <c r="A23" s="499" t="s">
        <v>215</v>
      </c>
      <c r="B23" s="184"/>
      <c r="C23" s="184" t="s">
        <v>133</v>
      </c>
      <c r="D23" s="184"/>
      <c r="E23" s="184"/>
      <c r="F23" s="189" t="s">
        <v>236</v>
      </c>
      <c r="G23" s="198">
        <f>+'EXHIBIT C'!F21+'EXHIBIT C(2)'!E24</f>
        <v>331085</v>
      </c>
    </row>
    <row r="24" spans="1:7" ht="20.100000000000001" customHeight="1">
      <c r="A24" s="499" t="s">
        <v>215</v>
      </c>
      <c r="B24" s="184"/>
      <c r="C24" s="190" t="s">
        <v>281</v>
      </c>
      <c r="D24" s="184"/>
      <c r="E24" s="184"/>
      <c r="F24" s="189" t="s">
        <v>237</v>
      </c>
      <c r="G24" s="198">
        <f>+'EXHIBIT C'!F22+'EXHIBIT C(2)'!E25</f>
        <v>93946</v>
      </c>
    </row>
    <row r="25" spans="1:7" ht="20.100000000000001" customHeight="1">
      <c r="A25" s="499" t="s">
        <v>215</v>
      </c>
      <c r="B25" s="184"/>
      <c r="C25" s="190" t="s">
        <v>282</v>
      </c>
      <c r="D25" s="184"/>
      <c r="E25" s="184"/>
      <c r="F25" s="189" t="s">
        <v>238</v>
      </c>
      <c r="G25" s="198">
        <f>+'EXHIBIT C'!F23+'EXHIBIT C(2)'!E26</f>
        <v>109210</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2779259</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23034268</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20000</v>
      </c>
    </row>
    <row r="47" spans="1:7" ht="20.100000000000001" customHeight="1">
      <c r="A47" s="499" t="s">
        <v>294</v>
      </c>
      <c r="B47" s="199"/>
      <c r="C47" s="199"/>
      <c r="D47" s="199"/>
      <c r="E47" s="199"/>
      <c r="F47" s="200" t="s">
        <v>295</v>
      </c>
      <c r="G47" s="448">
        <v>75500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20000</v>
      </c>
    </row>
    <row r="50" spans="1:7" ht="20.100000000000001" customHeight="1">
      <c r="A50" s="499" t="s">
        <v>300</v>
      </c>
      <c r="B50" s="184"/>
      <c r="C50" s="184"/>
      <c r="D50" s="184"/>
      <c r="E50" s="184"/>
      <c r="F50" s="189" t="s">
        <v>301</v>
      </c>
      <c r="G50" s="448">
        <v>1898752</v>
      </c>
    </row>
    <row r="51" spans="1:7" ht="20.100000000000001" customHeight="1">
      <c r="A51" s="499" t="s">
        <v>302</v>
      </c>
      <c r="B51" s="184"/>
      <c r="C51" s="184"/>
      <c r="D51" s="184"/>
      <c r="E51" s="184"/>
      <c r="F51" s="187">
        <v>40450</v>
      </c>
      <c r="G51" s="448">
        <v>1877325</v>
      </c>
    </row>
    <row r="52" spans="1:7" ht="20.100000000000001" customHeight="1">
      <c r="A52" s="499" t="s">
        <v>303</v>
      </c>
      <c r="B52" s="184"/>
      <c r="C52" s="184"/>
      <c r="D52" s="184"/>
      <c r="E52" s="184"/>
      <c r="F52" s="189" t="s">
        <v>304</v>
      </c>
      <c r="G52" s="448">
        <v>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f>1877500-120221</f>
        <v>1757279</v>
      </c>
    </row>
    <row r="59" spans="1:7" ht="20.100000000000001" customHeight="1">
      <c r="A59" s="499" t="s">
        <v>317</v>
      </c>
      <c r="B59" s="184"/>
      <c r="C59" s="184"/>
      <c r="D59" s="184"/>
      <c r="E59" s="184"/>
      <c r="F59" s="189" t="s">
        <v>318</v>
      </c>
      <c r="G59" s="448">
        <v>250000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28933124</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34477912</v>
      </c>
    </row>
    <row r="76" spans="1:7" ht="20.100000000000001" customHeight="1">
      <c r="A76" s="499" t="s">
        <v>709</v>
      </c>
      <c r="B76" s="184"/>
      <c r="C76" s="184"/>
      <c r="D76" s="184"/>
      <c r="E76" s="184"/>
      <c r="F76" s="187">
        <v>42130</v>
      </c>
      <c r="G76" s="523">
        <v>924068</v>
      </c>
    </row>
    <row r="77" spans="1:7" ht="20.100000000000001" customHeight="1">
      <c r="A77" s="501" t="s">
        <v>335</v>
      </c>
      <c r="B77" s="502"/>
      <c r="C77" s="502"/>
      <c r="D77" s="502"/>
      <c r="E77" s="502"/>
      <c r="F77" s="203" t="s">
        <v>336</v>
      </c>
      <c r="G77" s="524">
        <v>657964</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v>0</v>
      </c>
    </row>
    <row r="81" spans="1:10" ht="20.100000000000001" customHeight="1">
      <c r="A81" s="499" t="s">
        <v>342</v>
      </c>
      <c r="B81" s="184"/>
      <c r="C81" s="184"/>
      <c r="D81" s="184"/>
      <c r="E81" s="184"/>
      <c r="F81" s="189" t="s">
        <v>343</v>
      </c>
      <c r="G81" s="522">
        <f>'CHECK SHEET'!D86</f>
        <v>7651779</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43711723</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0</v>
      </c>
    </row>
    <row r="111" spans="1:7" ht="20.100000000000001" customHeight="1">
      <c r="A111" s="499" t="s">
        <v>371</v>
      </c>
      <c r="B111" s="184"/>
      <c r="C111" s="184"/>
      <c r="D111" s="184"/>
      <c r="E111" s="184"/>
      <c r="F111" s="189" t="s">
        <v>372</v>
      </c>
      <c r="G111" s="449">
        <v>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0</v>
      </c>
    </row>
    <row r="126" spans="1:7" ht="20.100000000000001" customHeight="1">
      <c r="A126" s="499" t="s">
        <v>388</v>
      </c>
      <c r="B126" s="184"/>
      <c r="C126" s="184"/>
      <c r="D126" s="184"/>
      <c r="E126" s="184"/>
      <c r="F126" s="189" t="s">
        <v>389</v>
      </c>
      <c r="G126" s="449">
        <v>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711</v>
      </c>
      <c r="B133" s="184"/>
      <c r="C133" s="184"/>
      <c r="D133" s="508"/>
      <c r="E133" s="199"/>
      <c r="F133" s="1118">
        <v>49200</v>
      </c>
      <c r="G133" s="449">
        <v>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72644847</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1902447</v>
      </c>
    </row>
    <row r="147" spans="1:7" ht="20.100000000000001" customHeight="1">
      <c r="A147" s="499" t="s">
        <v>406</v>
      </c>
      <c r="F147" s="189" t="s">
        <v>407</v>
      </c>
      <c r="G147" s="453">
        <v>1226687</v>
      </c>
    </row>
    <row r="148" spans="1:7" ht="20.100000000000001" customHeight="1">
      <c r="A148" s="499" t="s">
        <v>408</v>
      </c>
      <c r="F148" s="189" t="s">
        <v>409</v>
      </c>
      <c r="G148" s="453">
        <v>486836</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15894606</v>
      </c>
    </row>
    <row r="152" spans="1:7" ht="20.100000000000001" customHeight="1">
      <c r="A152" s="499" t="s">
        <v>416</v>
      </c>
      <c r="B152" s="184"/>
      <c r="C152" s="184"/>
      <c r="D152" s="184"/>
      <c r="E152" s="184"/>
      <c r="F152" s="189" t="s">
        <v>417</v>
      </c>
      <c r="G152" s="453">
        <v>0</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10430118</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1700820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4968926</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4936469</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292060</v>
      </c>
    </row>
    <row r="177" spans="1:7" ht="20.100000000000001" customHeight="1">
      <c r="A177" s="499" t="s">
        <v>462</v>
      </c>
      <c r="B177" s="184"/>
      <c r="C177" s="184"/>
      <c r="D177" s="184"/>
      <c r="E177" s="184"/>
      <c r="F177" s="189" t="s">
        <v>463</v>
      </c>
      <c r="G177" s="453">
        <v>1838790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2941348</v>
      </c>
    </row>
    <row r="185" spans="1:7" ht="20.100000000000001" customHeight="1">
      <c r="A185" s="499" t="s">
        <v>478</v>
      </c>
      <c r="B185" s="184"/>
      <c r="C185" s="184"/>
      <c r="D185" s="184"/>
      <c r="E185" s="184"/>
      <c r="F185" s="189" t="s">
        <v>479</v>
      </c>
      <c r="G185" s="453">
        <v>4491566</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5459174</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56569847</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554577</v>
      </c>
    </row>
    <row r="199" spans="1:7" ht="20.100000000000001" customHeight="1">
      <c r="A199" s="499" t="s">
        <v>497</v>
      </c>
      <c r="B199" s="184"/>
      <c r="C199" s="184"/>
      <c r="D199" s="184"/>
      <c r="E199" s="184"/>
      <c r="F199" s="189" t="s">
        <v>498</v>
      </c>
      <c r="G199" s="453">
        <v>56125</v>
      </c>
    </row>
    <row r="200" spans="1:7" ht="20.100000000000001" customHeight="1">
      <c r="A200" s="499" t="s">
        <v>499</v>
      </c>
      <c r="B200" s="184"/>
      <c r="C200" s="184"/>
      <c r="D200" s="184"/>
      <c r="E200" s="184"/>
      <c r="F200" s="189" t="s">
        <v>500</v>
      </c>
      <c r="G200" s="453">
        <v>183950</v>
      </c>
    </row>
    <row r="201" spans="1:7" ht="20.100000000000001" customHeight="1">
      <c r="A201" s="499" t="s">
        <v>501</v>
      </c>
      <c r="B201" s="184"/>
      <c r="C201" s="184"/>
      <c r="D201" s="184"/>
      <c r="E201" s="184"/>
      <c r="F201" s="189" t="s">
        <v>502</v>
      </c>
      <c r="G201" s="453">
        <v>148850</v>
      </c>
    </row>
    <row r="202" spans="1:7" ht="20.100000000000001" customHeight="1">
      <c r="A202" s="499" t="s">
        <v>503</v>
      </c>
      <c r="B202" s="184"/>
      <c r="C202" s="184"/>
      <c r="D202" s="184"/>
      <c r="E202" s="184"/>
      <c r="F202" s="189" t="s">
        <v>504</v>
      </c>
      <c r="G202" s="453">
        <v>609920</v>
      </c>
    </row>
    <row r="203" spans="1:7" ht="20.100000000000001" customHeight="1">
      <c r="A203" s="499" t="s">
        <v>505</v>
      </c>
      <c r="B203" s="184"/>
      <c r="C203" s="184"/>
      <c r="D203" s="184"/>
      <c r="E203" s="184"/>
      <c r="F203" s="189" t="s">
        <v>506</v>
      </c>
      <c r="G203" s="453">
        <v>816114</v>
      </c>
    </row>
    <row r="204" spans="1:7" ht="20.100000000000001" customHeight="1">
      <c r="A204" s="499" t="s">
        <v>697</v>
      </c>
      <c r="B204" s="184"/>
      <c r="C204" s="184"/>
      <c r="D204" s="184"/>
      <c r="E204" s="184"/>
      <c r="F204" s="1028">
        <v>63100</v>
      </c>
      <c r="G204" s="453">
        <v>0</v>
      </c>
    </row>
    <row r="205" spans="1:7" ht="20.100000000000001" customHeight="1">
      <c r="A205" s="499" t="s">
        <v>507</v>
      </c>
      <c r="B205" s="184"/>
      <c r="C205" s="184"/>
      <c r="D205" s="184"/>
      <c r="E205" s="184"/>
      <c r="F205" s="189" t="s">
        <v>508</v>
      </c>
      <c r="G205" s="453">
        <v>2085935</v>
      </c>
    </row>
    <row r="206" spans="1:7" ht="20.100000000000001" customHeight="1">
      <c r="A206" s="499" t="s">
        <v>509</v>
      </c>
      <c r="B206" s="184"/>
      <c r="C206" s="184"/>
      <c r="D206" s="184"/>
      <c r="E206" s="184"/>
      <c r="F206" s="189" t="s">
        <v>510</v>
      </c>
      <c r="G206" s="453">
        <v>2267156</v>
      </c>
    </row>
    <row r="207" spans="1:7" ht="20.100000000000001" customHeight="1">
      <c r="A207" s="499" t="s">
        <v>511</v>
      </c>
      <c r="B207" s="184"/>
      <c r="C207" s="184"/>
      <c r="D207" s="184"/>
      <c r="E207" s="184"/>
      <c r="F207" s="189" t="s">
        <v>512</v>
      </c>
      <c r="G207" s="453">
        <v>2187920</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1259650</v>
      </c>
    </row>
    <row r="211" spans="1:9" ht="20.100000000000001" customHeight="1">
      <c r="A211" s="499" t="s">
        <v>518</v>
      </c>
      <c r="B211" s="184"/>
      <c r="C211" s="184"/>
      <c r="D211" s="184"/>
      <c r="E211" s="184"/>
      <c r="F211" s="189" t="s">
        <v>519</v>
      </c>
      <c r="G211" s="453">
        <v>1193112</v>
      </c>
    </row>
    <row r="212" spans="1:9" ht="20.100000000000001" customHeight="1">
      <c r="A212" s="499" t="s">
        <v>520</v>
      </c>
      <c r="F212" s="207" t="s">
        <v>521</v>
      </c>
      <c r="G212" s="453">
        <v>877698</v>
      </c>
    </row>
    <row r="213" spans="1:9" ht="20.100000000000001" customHeight="1">
      <c r="A213" s="499" t="s">
        <v>522</v>
      </c>
      <c r="B213" s="184"/>
      <c r="C213" s="184"/>
      <c r="D213" s="184"/>
      <c r="E213" s="184"/>
      <c r="F213" s="189" t="s">
        <v>523</v>
      </c>
      <c r="G213" s="453">
        <v>241425</v>
      </c>
    </row>
    <row r="214" spans="1:9" ht="20.100000000000001" customHeight="1">
      <c r="A214" s="499" t="s">
        <v>524</v>
      </c>
      <c r="B214" s="184"/>
      <c r="C214" s="184"/>
      <c r="D214" s="184"/>
      <c r="E214" s="184"/>
      <c r="F214" s="189" t="s">
        <v>525</v>
      </c>
      <c r="G214" s="453">
        <v>409630</v>
      </c>
    </row>
    <row r="215" spans="1:9" ht="20.100000000000001" customHeight="1">
      <c r="A215" s="499" t="s">
        <v>526</v>
      </c>
      <c r="B215" s="184"/>
      <c r="C215" s="184"/>
      <c r="D215" s="184"/>
      <c r="E215" s="184"/>
      <c r="F215" s="189" t="s">
        <v>527</v>
      </c>
      <c r="G215" s="453">
        <v>185000</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0</v>
      </c>
    </row>
    <row r="220" spans="1:9" ht="20.100000000000001" customHeight="1">
      <c r="A220" s="499" t="s">
        <v>536</v>
      </c>
      <c r="B220" s="184"/>
      <c r="C220" s="184"/>
      <c r="D220" s="184"/>
      <c r="E220" s="184"/>
      <c r="F220" s="189" t="s">
        <v>537</v>
      </c>
      <c r="G220" s="453">
        <v>5000</v>
      </c>
    </row>
    <row r="221" spans="1:9" ht="20.100000000000001" customHeight="1">
      <c r="A221" s="499" t="s">
        <v>538</v>
      </c>
      <c r="B221" s="184"/>
      <c r="C221" s="184"/>
      <c r="D221" s="184"/>
      <c r="E221" s="184"/>
      <c r="F221" s="189" t="s">
        <v>539</v>
      </c>
      <c r="G221" s="453">
        <v>50000</v>
      </c>
    </row>
    <row r="222" spans="1:9" ht="20.100000000000001" customHeight="1">
      <c r="A222" s="510" t="s">
        <v>712</v>
      </c>
      <c r="B222" s="184"/>
      <c r="C222" s="184"/>
      <c r="D222" s="213"/>
      <c r="E222" s="184"/>
      <c r="F222" s="1120">
        <v>69100</v>
      </c>
      <c r="G222" s="453">
        <v>0</v>
      </c>
    </row>
    <row r="223" spans="1:9" ht="20.100000000000001" customHeight="1">
      <c r="A223" s="510" t="s">
        <v>713</v>
      </c>
      <c r="B223" s="214"/>
      <c r="C223" s="214"/>
      <c r="D223" s="215"/>
      <c r="E223" s="214"/>
      <c r="F223" s="1119">
        <v>69200</v>
      </c>
      <c r="G223" s="453">
        <v>0</v>
      </c>
    </row>
    <row r="224" spans="1:9" ht="20.100000000000001" customHeight="1">
      <c r="A224" s="499" t="s">
        <v>540</v>
      </c>
      <c r="B224" s="184"/>
      <c r="C224" s="184"/>
      <c r="D224" s="184"/>
      <c r="E224" s="184"/>
      <c r="F224" s="189" t="s">
        <v>541</v>
      </c>
      <c r="G224" s="453">
        <v>2442938</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15575000</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0</v>
      </c>
    </row>
    <row r="234" spans="1:7" ht="20.100000000000001" customHeight="1">
      <c r="A234" s="499" t="s">
        <v>551</v>
      </c>
      <c r="B234" s="184"/>
      <c r="C234" s="184"/>
      <c r="D234" s="184"/>
      <c r="E234" s="184"/>
      <c r="F234" s="189" t="s">
        <v>552</v>
      </c>
      <c r="G234" s="453">
        <v>33000</v>
      </c>
    </row>
    <row r="235" spans="1:7" ht="20.100000000000001" customHeight="1">
      <c r="A235" s="499" t="s">
        <v>553</v>
      </c>
      <c r="B235" s="184"/>
      <c r="C235" s="184"/>
      <c r="D235" s="184"/>
      <c r="E235" s="184"/>
      <c r="F235" s="1074" t="s">
        <v>554</v>
      </c>
      <c r="G235" s="453">
        <v>467000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500000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72644847</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8745394</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8745394</v>
      </c>
    </row>
    <row r="263" spans="1:12" ht="20.100000000000001" customHeight="1">
      <c r="A263" s="500"/>
      <c r="B263" s="184"/>
      <c r="C263" s="184"/>
      <c r="D263" s="184"/>
      <c r="E263" s="184"/>
      <c r="F263" s="201"/>
      <c r="G263" s="217"/>
    </row>
    <row r="264" spans="1:12" ht="20.100000000000001" customHeight="1" thickBot="1">
      <c r="A264" s="511" t="s">
        <v>703</v>
      </c>
      <c r="F264" s="207">
        <v>30800</v>
      </c>
      <c r="G264" s="454">
        <v>0</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8745394</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BF83145013674EB41ABA822DE2FF8D" ma:contentTypeVersion="15" ma:contentTypeDescription="Create a new document." ma:contentTypeScope="" ma:versionID="75c88f439dbe8c3f9e8b99bda66b152b">
  <xsd:schema xmlns:xsd="http://www.w3.org/2001/XMLSchema" xmlns:xs="http://www.w3.org/2001/XMLSchema" xmlns:p="http://schemas.microsoft.com/office/2006/metadata/properties" xmlns:ns3="8381a9f4-69bb-46c0-a16f-bca2e090557f" xmlns:ns4="71aa876b-5e48-4053-bde2-5ce2db783b47" targetNamespace="http://schemas.microsoft.com/office/2006/metadata/properties" ma:root="true" ma:fieldsID="b498ac3607322f2e6a13da736273394f" ns3:_="" ns4:_="">
    <xsd:import namespace="8381a9f4-69bb-46c0-a16f-bca2e090557f"/>
    <xsd:import namespace="71aa876b-5e48-4053-bde2-5ce2db783b4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LengthInSeconds" minOccurs="0"/>
                <xsd:element ref="ns4:MediaServiceLocation"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1a9f4-69bb-46c0-a16f-bca2e090557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a876b-5e48-4053-bde2-5ce2db783b4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71aa876b-5e48-4053-bde2-5ce2db783b47" xsi:nil="true"/>
  </documentManagement>
</p:properties>
</file>

<file path=customXml/itemProps1.xml><?xml version="1.0" encoding="utf-8"?>
<ds:datastoreItem xmlns:ds="http://schemas.openxmlformats.org/officeDocument/2006/customXml" ds:itemID="{5B6A0B49-F135-430B-B7E5-469D46335E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1a9f4-69bb-46c0-a16f-bca2e090557f"/>
    <ds:schemaRef ds:uri="71aa876b-5e48-4053-bde2-5ce2db783b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http://purl.org/dc/dcmitype/"/>
    <ds:schemaRef ds:uri="8381a9f4-69bb-46c0-a16f-bca2e090557f"/>
    <ds:schemaRef ds:uri="http://schemas.microsoft.com/office/2006/documentManagement/types"/>
    <ds:schemaRef ds:uri="http://purl.org/dc/terms/"/>
    <ds:schemaRef ds:uri="http://www.w3.org/XML/1998/namespace"/>
    <ds:schemaRef ds:uri="71aa876b-5e48-4053-bde2-5ce2db783b47"/>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2023-08-09T20:29:00Z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0x0101001FBF83145013674EB41ABA822DE2FF8D</vt:lpwstr>
  </property>
</Properties>
</file>