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EF92FB77-5583-4DF8-A4C9-4028B5718AE1}"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3" i="7" l="1"/>
  <c r="B65" i="6"/>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8"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H13" i="6" s="1"/>
  <c r="G15" i="7" s="1"/>
  <c r="G14" i="6"/>
  <c r="G15" i="6"/>
  <c r="F32" i="6"/>
  <c r="G32" i="6"/>
  <c r="F33" i="6"/>
  <c r="G33" i="6"/>
  <c r="F34" i="6"/>
  <c r="G34" i="6"/>
  <c r="F35" i="6"/>
  <c r="G35" i="6"/>
  <c r="E19" i="6"/>
  <c r="F19" i="6"/>
  <c r="G21" i="7" s="1"/>
  <c r="E20" i="6"/>
  <c r="F20" i="6" s="1"/>
  <c r="G22" i="7" s="1"/>
  <c r="E21" i="6"/>
  <c r="F21" i="6" s="1"/>
  <c r="G23" i="7" s="1"/>
  <c r="E22" i="6"/>
  <c r="F22" i="6" s="1"/>
  <c r="G24" i="7" s="1"/>
  <c r="E23" i="6"/>
  <c r="F23" i="6" s="1"/>
  <c r="G25" i="7" s="1"/>
  <c r="E24" i="6"/>
  <c r="F24" i="6" s="1"/>
  <c r="G26" i="7" s="1"/>
  <c r="B34" i="5"/>
  <c r="H34" i="5" s="1"/>
  <c r="I34" i="5" s="1"/>
  <c r="E39" i="6"/>
  <c r="F39" i="6"/>
  <c r="G37" i="7" s="1"/>
  <c r="B35" i="5"/>
  <c r="E40" i="6" s="1"/>
  <c r="F40" i="6" s="1"/>
  <c r="G38" i="7" s="1"/>
  <c r="B37" i="5"/>
  <c r="E41" i="6" s="1"/>
  <c r="F41" i="6" s="1"/>
  <c r="G39" i="7" s="1"/>
  <c r="B38" i="5"/>
  <c r="H38" i="5" s="1"/>
  <c r="I38" i="5" s="1"/>
  <c r="E42" i="6"/>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E66" i="22"/>
  <c r="E69" i="22" s="1"/>
  <c r="D65" i="22"/>
  <c r="D67" i="22" s="1"/>
  <c r="D59" i="22"/>
  <c r="D60" i="22" s="1"/>
  <c r="B52" i="22"/>
  <c r="E33" i="22"/>
  <c r="E34" i="22"/>
  <c r="D33" i="22"/>
  <c r="D34" i="22" s="1"/>
  <c r="D26" i="22"/>
  <c r="D38" i="22"/>
  <c r="C38" i="22"/>
  <c r="E15" i="22"/>
  <c r="D15" i="22"/>
  <c r="B46" i="22"/>
  <c r="E26" i="22"/>
  <c r="E59" i="22"/>
  <c r="E62" i="22" s="1"/>
  <c r="E61" i="22"/>
  <c r="E38" i="22"/>
  <c r="B29" i="5"/>
  <c r="H14" i="5"/>
  <c r="G246" i="7"/>
  <c r="E15" i="8"/>
  <c r="E36" i="6"/>
  <c r="D36" i="6"/>
  <c r="D43" i="6"/>
  <c r="D26" i="6"/>
  <c r="E17" i="6"/>
  <c r="G20" i="5"/>
  <c r="H20" i="5"/>
  <c r="G19" i="5"/>
  <c r="H19" i="5" s="1"/>
  <c r="G22" i="5"/>
  <c r="H22" i="5"/>
  <c r="G23" i="5"/>
  <c r="H23" i="5"/>
  <c r="E20" i="12"/>
  <c r="E29" i="12"/>
  <c r="E30" i="12"/>
  <c r="G194" i="7"/>
  <c r="D21" i="8"/>
  <c r="E59" i="3"/>
  <c r="C94" i="12"/>
  <c r="B31" i="5"/>
  <c r="H31" i="5" s="1"/>
  <c r="I31" i="5" s="1"/>
  <c r="B30" i="5"/>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14" i="8"/>
  <c r="G228" i="7"/>
  <c r="X139" i="23"/>
  <c r="H35" i="6"/>
  <c r="G33" i="7" s="1"/>
  <c r="H33" i="6"/>
  <c r="G31" i="7" s="1"/>
  <c r="H37" i="5"/>
  <c r="I37" i="5"/>
  <c r="D17" i="6"/>
  <c r="F12" i="6"/>
  <c r="H12" i="6" s="1"/>
  <c r="G14" i="7" s="1"/>
  <c r="F11" i="6"/>
  <c r="H11" i="6" s="1"/>
  <c r="G13" i="7" s="1"/>
  <c r="F14" i="6"/>
  <c r="E48" i="3" s="1"/>
  <c r="H14" i="6"/>
  <c r="G16" i="7" s="1"/>
  <c r="F15" i="6"/>
  <c r="E49" i="3"/>
  <c r="F10" i="6"/>
  <c r="E44" i="3" s="1"/>
  <c r="E47" i="3"/>
  <c r="E46" i="3"/>
  <c r="E45" i="3"/>
  <c r="E60" i="22" l="1"/>
  <c r="F36" i="6"/>
  <c r="H34" i="6"/>
  <c r="G32" i="7" s="1"/>
  <c r="H32" i="6"/>
  <c r="H36" i="6" s="1"/>
  <c r="D66" i="22"/>
  <c r="D70" i="22" s="1"/>
  <c r="D62" i="22"/>
  <c r="H10" i="6"/>
  <c r="G12" i="7" s="1"/>
  <c r="G19" i="7" s="1"/>
  <c r="E21" i="8"/>
  <c r="C95" i="3"/>
  <c r="C93" i="3"/>
  <c r="C74" i="3"/>
  <c r="H30" i="5"/>
  <c r="I30" i="5" s="1"/>
  <c r="H15" i="6"/>
  <c r="G17" i="7" s="1"/>
  <c r="G30" i="7"/>
  <c r="F43" i="6"/>
  <c r="E68" i="22"/>
  <c r="D61" i="22"/>
  <c r="H29" i="5"/>
  <c r="I29" i="5" s="1"/>
  <c r="B70" i="6"/>
  <c r="E70" i="22"/>
  <c r="D69" i="22"/>
  <c r="F17" i="6"/>
  <c r="E50" i="3" s="1"/>
  <c r="C77" i="3"/>
  <c r="E65" i="3"/>
  <c r="G75" i="7"/>
  <c r="G85" i="7" s="1"/>
  <c r="D88" i="3"/>
  <c r="F111" i="15"/>
  <c r="G248" i="7"/>
  <c r="G35" i="7"/>
  <c r="T111" i="23"/>
  <c r="C94" i="3"/>
  <c r="C103" i="3"/>
  <c r="G28" i="7"/>
  <c r="G42"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D118" i="15" l="1"/>
  <c r="D68" i="22"/>
  <c r="H17" i="6"/>
  <c r="H44" i="6"/>
  <c r="D129" i="15"/>
  <c r="E25" i="4"/>
  <c r="E28" i="4" s="1"/>
  <c r="H27" i="6"/>
  <c r="H46" i="6" s="1"/>
  <c r="E84" i="3"/>
  <c r="E88" i="3" s="1"/>
  <c r="F113" i="15"/>
  <c r="C96" i="3"/>
  <c r="G44" i="7"/>
  <c r="G63" i="7" s="1"/>
  <c r="G142" i="7" s="1"/>
  <c r="C121" i="3"/>
  <c r="F119" i="15"/>
  <c r="C129" i="3"/>
  <c r="D131" i="15"/>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<sst xmlns="http://schemas.openxmlformats.org/spreadsheetml/2006/main" count="1367" uniqueCount="796">
  <si>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</si>
  <si>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</si>
  <si>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</si>
  <si>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</si>
  <si>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</si>
  <si>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</si>
  <si>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</si>
  <si>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</si>
  <si>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</si>
  <si>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</si>
  <si>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</si>
  <si>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</si>
  <si>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</si>
  <si>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</si>
  <si>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</si>
  <si>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</si>
  <si>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</si>
  <si>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</si>
  <si>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</si>
  <si>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</si>
  <si>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</si>
  <si>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</si>
  <si>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</si>
  <si>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</si>
  <si>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</si>
  <si>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</si>
  <si>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</si>
  <si>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</si>
  <si>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</si>
  <si>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</si>
  <si>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</si>
  <si>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</si>
  <si>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</si>
  <si>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</si>
  <si>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</si>
  <si>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</si>
  <si>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</si>
  <si>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</si>
  <si>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</si>
  <si>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</si>
  <si>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</si>
  <si>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</si>
  <si>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</si>
  <si>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</si>
  <si>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</si>
  <si>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</si>
  <si>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</si>
  <si>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</si>
  <si>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</si>
  <si>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</si>
  <si>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</si>
  <si>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</si>
  <si>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</si>
  <si>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</si>
  <si>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</si>
  <si>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</si>
  <si>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</si>
  <si>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</si>
  <si>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</si>
  <si>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</si>
  <si>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</si>
  <si>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</si>
  <si>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</si>
  <si>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</si>
  <si>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</si>
  <si>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</si>
  <si>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</si>
  <si>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</si>
  <si>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</si>
  <si>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</si>
  <si>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</si>
  <si>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</si>
  <si>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</si>
  <si>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</si>
  <si>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</si>
  <si>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</si>
  <si>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</si>
  <si>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</si>
  <si>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</si>
  <si>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</si>
  <si>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</si>
  <si>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</si>
  <si>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</si>
  <si>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</si>
  <si>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</si>
  <si>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</si>
  <si>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</si>
  <si>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</si>
  <si>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</si>
  <si>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</si>
  <si>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</si>
  <si>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</si>
  <si>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</si>
  <si>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</si>
  <si>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</si>
  <si>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</si>
  <si>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</si>
  <si>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</si>
  <si>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</si>
  <si>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</si>
  <si>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</si>
  <si>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</si>
  <si>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</si>
  <si>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</si>
  <si>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</si>
  <si>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</si>
  <si>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</si>
  <si>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</si>
  <si>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</si>
  <si>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</si>
  <si>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</si>
  <si>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</si>
  <si>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</si>
  <si>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</si>
  <si>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</si>
  <si>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</si>
  <si>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</si>
  <si>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</si>
  <si>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</si>
  <si>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</si>
  <si>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</si>
  <si>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</si>
  <si>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</si>
  <si>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</si>
  <si>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</si>
  <si>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</si>
  <si>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</si>
  <si>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</si>
  <si>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</si>
  <si>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</si>
  <si>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</si>
  <si>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</si>
  <si>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</si>
  <si>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</si>
  <si>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</si>
  <si>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</si>
  <si>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</si>
  <si>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</si>
  <si>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</si>
  <si>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</si>
  <si>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</si>
  <si>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</si>
  <si>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</si>
  <si>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</si>
  <si>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</si>
  <si>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</si>
  <si>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</si>
  <si>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</si>
  <si>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</si>
  <si>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</si>
  <si>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</si>
  <si>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</si>
  <si>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</si>
  <si>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</si>
  <si>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</si>
  <si>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</si>
  <si>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</si>
  <si>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</si>
  <si>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</si>
  <si>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</si>
  <si>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</si>
  <si>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</si>
  <si>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</si>
  <si>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</si>
  <si>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</si>
  <si>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</si>
  <si>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</si>
  <si>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</si>
  <si>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</si>
  <si>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</si>
  <si>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</si>
  <si>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</si>
  <si>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</si>
  <si>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</si>
  <si>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</si>
  <si>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</si>
  <si>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</si>
  <si>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</si>
  <si>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</si>
  <si>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</si>
  <si>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</si>
  <si>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</si>
  <si>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</si>
  <si>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</si>
  <si>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</si>
  <si>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</si>
  <si>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</si>
  <si>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</si>
  <si>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</si>
  <si>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</si>
  <si>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</si>
  <si>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</si>
  <si>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</si>
  <si>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</si>
  <si>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</si>
  <si>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</si>
  <si>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</si>
  <si>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</si>
  <si>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</si>
  <si>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</si>
  <si>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</si>
  <si>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</si>
  <si>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</si>
  <si>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</si>
  <si>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</si>
  <si>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</si>
  <si>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</si>
  <si>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</si>
  <si>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</si>
  <si>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</si>
  <si>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</si>
  <si>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</si>
  <si>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</si>
  <si>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</si>
  <si>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</si>
  <si>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</si>
  <si>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</si>
  <si>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</si>
  <si>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</si>
  <si>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</si>
  <si>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</si>
  <si>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</si>
  <si>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</si>
  <si>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</si>
  <si>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</si>
  <si>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</si>
  <si>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</si>
  <si>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</si>
  <si>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</si>
  <si>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</si>
  <si>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</si>
  <si>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</si>
  <si>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</si>
  <si>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</si>
  <si>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</si>
  <si>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</si>
  <si>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</si>
  <si>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</si>
  <si>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</si>
  <si>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</si>
  <si>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</si>
  <si>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</si>
  <si>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</si>
  <si>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</si>
  <si>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</si>
  <si>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</si>
  <si>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</si>
  <si>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</si>
  <si>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</si>
  <si>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</si>
  <si>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</si>
  <si>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</si>
  <si>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</si>
  <si>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</si>
  <si>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</si>
  <si>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</si>
  <si>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</si>
  <si>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</si>
  <si>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</si>
  <si>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</si>
  <si>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</si>
  <si>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</si>
  <si>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</si>
  <si>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</si>
  <si>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</si>
  <si>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</si>
  <si>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</si>
  <si>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</si>
  <si>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</si>
  <si>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</si>
  <si>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</si>
  <si>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</si>
  <si>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</si>
  <si>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</si>
  <si>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</si>
  <si>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</si>
  <si>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</si>
  <si>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</si>
  <si>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</si>
  <si>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</si>
  <si>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</si>
  <si>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</si>
  <si>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</si>
  <si>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</si>
  <si>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</si>
  <si>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</si>
  <si>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</si>
  <si>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</si>
  <si>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</si>
  <si>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</si>
  <si>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</si>
  <si>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</si>
  <si>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</si>
  <si>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</si>
  <si>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</si>
  <si>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</si>
  <si>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</si>
  <si>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</si>
  <si>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</si>
  <si>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</si>
  <si>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</si>
  <si>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</si>
  <si>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</si>
  <si>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</si>
  <si>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</si>
  <si>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</si>
  <si>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</si>
  <si>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</si>
  <si>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</si>
  <si>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</si>
  <si>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</si>
  <si>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</si>
  <si>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</si>
  <si>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</si>
  <si>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</si>
  <si>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</si>
  <si>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</si>
  <si>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</si>
  <si>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</si>
  <si>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</si>
  <si>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</si>
  <si>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</si>
  <si>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</si>
  <si>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</si>
  <si>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</si>
  <si>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</si>
  <si>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</si>
  <si>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</si>
  <si>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</si>
  <si>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</si>
  <si>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</si>
  <si>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</si>
  <si>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</si>
  <si>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</si>
  <si>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</si>
  <si>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</si>
  <si>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</si>
  <si>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</si>
  <si>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</si>
  <si>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</si>
  <si>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</si>
  <si>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</si>
  <si>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</si>
  <si>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</si>
  <si>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</si>
  <si>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</si>
  <si>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</si>
  <si>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</si>
  <si>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</si>
  <si>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</si>
  <si>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</si>
  <si>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</si>
  <si>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</si>
  <si>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</si>
  <si>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</si>
  <si>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</si>
  <si>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</si>
  <si>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</si>
  <si>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</si>
  <si>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</si>
  <si>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</si>
  <si>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</si>
  <si>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</si>
  <si>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</si>
  <si>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</si>
  <si>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</si>
  <si>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</si>
  <si>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</si>
  <si>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</si>
  <si>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</si>
  <si>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</si>
  <si>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</si>
  <si>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</si>
  <si>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</si>
  <si>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</si>
  <si>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</si>
  <si>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</si>
  <si>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</si>
  <si>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</si>
  <si>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</si>
  <si>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</si>
  <si>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</si>
  <si>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</si>
  <si>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</si>
  <si>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</si>
  <si>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</si>
  <si>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</si>
  <si>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</si>
  <si>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</si>
  <si>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</si>
  <si>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</si>
  <si>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</si>
  <si>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</si>
  <si>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</si>
  <si>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</si>
  <si>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</si>
  <si>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</si>
  <si>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</si>
  <si>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</si>
  <si>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</si>
  <si>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</si>
  <si>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</si>
  <si>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</si>
  <si>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</si>
  <si>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</si>
  <si>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</si>
  <si>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</si>
  <si>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</si>
  <si>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</si>
  <si>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</si>
  <si>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</si>
  <si>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</si>
  <si>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</si>
  <si>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</si>
  <si>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</si>
  <si>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</si>
  <si>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</si>
  <si>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</si>
  <si>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</si>
  <si>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</si>
  <si>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</si>
  <si>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</si>
  <si>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</si>
  <si>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</si>
  <si>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</si>
  <si>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</si>
  <si>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</si>
  <si>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</si>
  <si>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</si>
  <si>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</si>
  <si>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</si>
  <si>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</si>
  <si>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</si>
  <si>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</si>
  <si>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</si>
  <si>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</si>
  <si>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</si>
  <si>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</si>
  <si>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</si>
  <si>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</si>
  <si>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</si>
  <si>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</si>
  <si>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</si>
  <si>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</si>
  <si>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</si>
  <si>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</si>
  <si>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</si>
  <si>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</si>
  <si>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</si>
  <si>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</si>
  <si>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</si>
  <si>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</si>
  <si>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</si>
  <si>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</si>
  <si>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</si>
  <si>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</si>
  <si>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</si>
  <si>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</si>
  <si>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</si>
  <si>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</si>
  <si>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</si>
  <si>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</si>
  <si>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</si>
  <si>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</si>
  <si>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</si>
  <si>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</si>
  <si>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</si>
  <si>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</si>
  <si>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</si>
  <si>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</si>
  <si>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</si>
  <si>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</si>
  <si>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</si>
  <si>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</si>
  <si>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</si>
  <si>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</si>
  <si>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</si>
  <si>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</si>
  <si>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</si>
  <si>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</si>
  <si>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</si>
  <si>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</si>
  <si>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</si>
  <si>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</si>
  <si>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</si>
  <si>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</si>
  <si>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</si>
  <si>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</si>
  <si>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</si>
  <si>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</si>
  <si>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</si>
  <si>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</si>
  <si>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</si>
  <si>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</si>
  <si>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</si>
  <si>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</si>
  <si>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</si>
  <si>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</si>
  <si>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</si>
  <si>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</si>
  <si>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</si>
  <si>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</si>
  <si>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</si>
  <si>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</si>
  <si>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</si>
  <si>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</si>
  <si>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</si>
  <si>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</si>
  <si>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</si>
  <si>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</si>
  <si>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</si>
  <si>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</si>
  <si>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</si>
  <si>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</si>
  <si>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</si>
  <si>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</si>
  <si>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</si>
  <si>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</si>
  <si>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</si>
  <si>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</si>
  <si>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</si>
  <si>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</si>
  <si>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</si>
  <si>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</si>
  <si>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</si>
  <si>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</si>
  <si>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</si>
  <si>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</si>
  <si>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</si>
  <si>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</si>
  <si>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</si>
  <si>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</si>
  <si>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</si>
  <si>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</si>
  <si>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</si>
  <si>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</si>
  <si>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</si>
  <si>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</si>
  <si>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</si>
  <si>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</si>
  <si>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</si>
  <si>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</si>
  <si>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</si>
  <si>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</si>
  <si>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</si>
  <si>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</si>
  <si>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</si>
  <si>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</si>
  <si>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</si>
  <si>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</si>
  <si>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</si>
  <si>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</si>
  <si>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</si>
  <si>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</si>
  <si>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</si>
  <si>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</si>
  <si>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</si>
  <si>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</si>
  <si>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</si>
  <si>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</si>
  <si>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</si>
  <si>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</si>
  <si>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</si>
  <si>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</si>
  <si>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</si>
  <si>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</si>
  <si>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</si>
  <si>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</si>
  <si>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</si>
  <si>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</si>
  <si>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</si>
  <si>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</si>
  <si>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</si>
  <si>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</si>
  <si>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</si>
  <si>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</si>
  <si>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</si>
  <si>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</si>
  <si>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</si>
  <si>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</si>
  <si>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</si>
  <si>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</si>
  <si>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</si>
  <si>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</si>
  <si>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</si>
  <si>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</si>
  <si>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</si>
  <si>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</si>
  <si>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</si>
  <si>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</si>
  <si>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</si>
  <si>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</si>
  <si>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</si>
  <si>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</si>
  <si>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</si>
  <si>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</si>
  <si>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</si>
  <si>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</si>
  <si>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</si>
  <si>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</si>
  <si>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</si>
  <si>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</si>
  <si>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</si>
  <si>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</si>
  <si>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</si>
  <si>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</si>
  <si>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</si>
  <si>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</si>
  <si>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</si>
  <si>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</si>
  <si>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</si>
  <si>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</si>
  <si>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</si>
  <si>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</si>
  <si>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</si>
  <si>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</si>
  <si>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</si>
  <si>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</si>
  <si>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</si>
  <si>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</si>
  <si>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</si>
  <si>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</si>
  <si>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</si>
  <si>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</si>
  <si>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</si>
  <si>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</si>
  <si>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</si>
  <si>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</si>
  <si>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</si>
  <si>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</si>
  <si>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</si>
  <si>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</si>
  <si>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</si>
  <si>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</si>
  <si>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</si>
  <si>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</si>
  <si>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</si>
  <si>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</si>
  <si>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</si>
  <si>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</si>
  <si>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</si>
  <si>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</si>
  <si>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</si>
  <si>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</si>
  <si>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</si>
  <si>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</si>
  <si>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</si>
  <si>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</si>
  <si>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</si>
  <si>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</si>
  <si>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</si>
  <si>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</si>
  <si>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</si>
  <si>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</si>
  <si>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</si>
  <si>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</si>
  <si>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</si>
  <si>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</si>
  <si>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</si>
  <si>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</si>
  <si>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</si>
  <si>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</si>
  <si>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</si>
  <si>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</si>
  <si>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</si>
  <si>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</si>
  <si>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</si>
  <si>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</si>
  <si>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</si>
  <si>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</si>
  <si>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</si>
  <si>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</si>
  <si>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</si>
  <si>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</si>
  <si>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</si>
  <si>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</si>
  <si>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</si>
  <si>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</si>
  <si>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</si>
  <si>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</si>
  <si>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</si>
  <si>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</si>
  <si>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</si>
  <si>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</si>
  <si>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</si>
  <si>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</si>
  <si>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</si>
  <si>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</si>
  <si>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</si>
  <si>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</si>
  <si>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</si>
  <si>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</si>
  <si>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</si>
  <si>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</si>
  <si>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</si>
  <si>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</si>
  <si>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</si>
  <si>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</si>
  <si>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</si>
  <si>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</si>
  <si>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</si>
  <si>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</si>
  <si>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</si>
  <si>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</si>
  <si>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</si>
  <si>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</si>
  <si>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</si>
  <si>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</si>
  <si>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</si>
  <si>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</si>
  <si>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</si>
  <si>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</si>
  <si>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</si>
  <si>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</si>
  <si>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</si>
  <si>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</si>
  <si>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</si>
  <si>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</si>
  <si>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</si>
  <si>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</si>
  <si>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</si>
  <si>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</si>
  <si>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</si>
  <si>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</si>
  <si>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</si>
  <si>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</si>
  <si>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</si>
  <si>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</si>
  <si>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</si>
  <si>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</si>
  <si>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</si>
  <si>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</si>
  <si>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</si>
  <si>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</si>
  <si>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</si>
  <si>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</si>
  <si>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</si>
  <si>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</si>
  <si>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</si>
  <si>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</si>
  <si>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</si>
  <si>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</si>
  <si>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</si>
  <si>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</si>
  <si>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</si>
  <si>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</si>
  <si>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</si>
  <si>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</si>
  <si>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</si>
  <si>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</si>
  <si>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</si>
  <si>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</si>
  <si>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</si>
  <si>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</si>
  <si>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</si>
  <si>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</si>
  <si>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</si>
  <si>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</si>
  <si>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</si>
  <si>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</si>
  <si>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</si>
  <si>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</si>
  <si>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</si>
  <si>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</si>
  <si>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</si>
  <si>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</si>
  <si>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</si>
  <si>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</si>
  <si>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</si>
  <si>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</si>
  <si>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</si>
  <si>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</si>
  <si>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</si>
  <si>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</si>
  <si>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</si>
  <si>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</si>
  <si>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</si>
  <si>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</si>
  <si>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</si>
  <si>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</si>
  <si>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</si>
  <si>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 xml:space="preserve">Promise Scholarhip </t>
  </si>
  <si>
    <t>Fund 1</t>
  </si>
  <si>
    <t>Fund 5</t>
  </si>
  <si>
    <t xml:space="preserve">Capital Outlay </t>
  </si>
  <si>
    <t xml:space="preserve">Fund 7 </t>
  </si>
  <si>
    <t xml:space="preserve">GASB Lease requierements </t>
  </si>
  <si>
    <t xml:space="preserve">   Student direct costs, instruction &amp; instiutional support</t>
  </si>
  <si>
    <t>Fund 3</t>
  </si>
  <si>
    <t xml:space="preserve">Transfer in (1013.841, F.S) and Reserve </t>
  </si>
  <si>
    <t xml:space="preserve">Fund 1 </t>
  </si>
  <si>
    <t xml:space="preserve">Non Mandatory Trasnsfer </t>
  </si>
  <si>
    <t>Fund1</t>
  </si>
  <si>
    <t xml:space="preserve">Fund 8 </t>
  </si>
  <si>
    <t>FTE 2 Justification:Estimates:St. Petersburg College continuously monitors its FTE and accepts the DFC’s FTE-2 overall estimate of a (-1.7%) decline from our FTE-1 adjusted estimate submitted in October 2022. A smaller decline was originally anticipated, however, certain enrollment and completion initiatives that were expected to start in the Spring are instead planned to begin in Reporting year 2024.
The DFC’s estimate for the Upper Division is a (-2.1%) decrease over FTE-1 estimate. While some Upper Division programs are showing increases in enrollment compared to the previous year, we do expect an overall decline by the end of 2023 reporting year given the pattern of our current Spring enrollment. This is in line with the DFC’s FTE-2 estimate. 
The DFC’s estimated decline in Lower Division AP (-0.5%) and PSV (-4.0%) over FTE-1 estimate are both consistent with our estimates based on our current Spring enrollment. These are primarily our AS and AA degree programs. Enrollment in these areas continues to improve. The funded FTE contribution for AA is almost flat, and the gap is closing for the AS programs.
Our PSAV program enrollment remains steady this year and no meaningful change is expected as the DFC estimated. The enrollment for the remainder of the Spring term is anticipated to be similar to previous Springs. 
College Prep enrollment continues to decline but has begun to level off. The College agrees with the DFC’s estimate of a (-4.3%) decrease in this category over FTE-1 estimate. 
The DFC’s estimate for Apprenticeship this year is 207 FTE. This is where we expect to be at the end of the year, mainly due to our Electrical Linesman program which we monitor closely.  
Overall Projections: St. Petersburg College has reviewed and accepts the DFC’s FTE Projections for 2024 through 2028. 
The College is continuing its recruitment efforts and expanding specific initiatives to drive retention and completion. Our Promise Scholarship, and Completion Scholarship are specifically designed for this purpose targeting students near the finish line, particularly those in low-income zip codes. These initiatives along with our aggressive data driven recruitment are expected to have significant impact on enrollment, retention, and completion in our credit programs. We anticipate initial increases in our Upper Division, AP and PSV categories followed by a steady increase over the next 4 years. The College Prep enrollment is expected to continue to have smaller decreases in the following years before stabilizing. PSAV and Apprenticeship is planned to be at small increase. New programs are always under discussion throughout the years which are expected to positively contribute to enrollment. The projected drop for Apprenticeship in 2024 to 193 is due to a program review by the sponsor that is expected to result in lower enrollment that year.</t>
  </si>
  <si>
    <t>FTE 2 Justification
Estimates:St. Petersburg College continuously monitors its FTE and accepts the DFC’s FTE-2 overall estimate of a (-1.7%) decline from our FTE-1 adjusted estimate submitted in October 2022. A smaller decline was originally anticipated, however, certain enrollment and completion initiatives that were expected to start in the Spring are instead planned to begin in Reporting year 2024.
The DFC’s estimate for the Upper Division is a (-2.1%) decrease over FTE-1 estimate. While some Upper Division programs are showing increases in enrollment compared to the previous year, we do expect an overall decline by the end of 2023 reporting year given the pattern of our current Spring enrollment. This is in line with the DFC’s FTE-2 estimate. 
The DFC’s estimated decline in Lower Division AP (-0.5%) and PSV (-4.0%) over FTE-1 estimate are both consistent with our estimates based on our current Spring enrollment. These are primarily our AS and AA degree programs. Enrollment in these areas continues to improve. The funded FTE contribution for AA is almost flat, and the gap is closing for the AS programs.
Our PSAV program enrollment remains steady this year and no meaningful change is expected as the DFC estimated. The enrollment for the remainder of the Spring term is anticipated to be similar to previous Springs. 
College Prep enrollment continues to decline but has begun to level off. The College agrees with the DFC’s estimate of a (-4.3%) decrease in this category over FTE-1 estimate. 
The DFC’s estimate for Apprenticeship this year is 207 FTE. This is where we expect to be at the end of the year, mainly due to our Electrical Linesman program which we monitor closely. 
Overall Projections: St. Petersburg College has reviewed and accepts the DFC’s FTE Projections for 2024 through 2028. 
The College is continuing its recruitment efforts and expanding specific initiatives to drive retention and completion. Our Promise Scholarship, and Completion Scholarship are specifically designed for this purpose targeting students near the finish line, particularly those in low-income zip codes. These initiatives along with our aggressive data driven recruitment are expected to have significant impact on enrollment, retention, and completion in our credit programs. We anticipate initial increases in our Upper Division, AP and PSV categories followed by a steady increase over the next 4 years. The College Prep enrollment is expected to continue to have smaller decreases in the following years before stabilizing. PSAV and Apprenticeship is planned to be at small increase. New programs are always under discussion throughout the years which are expected to positively contribute to enrollment. The projected drop for Apprenticeship in 2024 to 193 is due to a program review by the sponsor that is expected to result in lower enrollment that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</si>
</sst>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xf numFmtId="0" fontId="74" fillId="37" borderId="0" xfId="0" applyFont="1" applyFill="1" applyAlignment="1">
      <alignment horizontal="centerContinuous" vertical="center"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St. Petersburg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53062294</v>
      </c>
      <c r="C10" s="456">
        <v>8560307</v>
      </c>
      <c r="D10" s="456">
        <v>25185</v>
      </c>
      <c r="E10" s="371">
        <f>SUM(B10:D10)</f>
        <v>61647786</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19071140</v>
      </c>
      <c r="C14" s="458">
        <v>6937537</v>
      </c>
      <c r="D14" s="458">
        <v>346111</v>
      </c>
      <c r="E14" s="372">
        <f t="shared" ref="E14:E20" si="0">SUM(B14:D14)</f>
        <v>26354788</v>
      </c>
      <c r="F14" s="354"/>
    </row>
    <row r="15" spans="1:8" s="17" customFormat="1" ht="20.100000000000001" customHeight="1">
      <c r="A15" s="370" t="s">
        <v>592</v>
      </c>
      <c r="B15" s="457">
        <v>320000</v>
      </c>
      <c r="C15" s="446">
        <v>0</v>
      </c>
      <c r="D15" s="446">
        <v>0</v>
      </c>
      <c r="E15" s="372">
        <f>SUM(B15:D15)</f>
        <v>320000</v>
      </c>
      <c r="F15" s="354"/>
    </row>
    <row r="16" spans="1:8" s="17" customFormat="1" ht="20.100000000000001" customHeight="1">
      <c r="A16" s="370" t="s">
        <v>593</v>
      </c>
      <c r="B16" s="457">
        <v>17482155</v>
      </c>
      <c r="C16" s="446">
        <v>4254410.5</v>
      </c>
      <c r="D16" s="446">
        <v>281181.90000000002</v>
      </c>
      <c r="E16" s="372">
        <f t="shared" si="0"/>
        <v>22017747.399999999</v>
      </c>
      <c r="F16" s="354"/>
    </row>
    <row r="17" spans="1:6" s="17" customFormat="1" ht="20.100000000000001" customHeight="1">
      <c r="A17" s="370" t="s">
        <v>594</v>
      </c>
      <c r="B17" s="457">
        <v>15315874.5</v>
      </c>
      <c r="C17" s="446">
        <v>12943471</v>
      </c>
      <c r="D17" s="446">
        <v>410037.1</v>
      </c>
      <c r="E17" s="372">
        <f t="shared" si="0"/>
        <v>28669382.600000001</v>
      </c>
      <c r="F17" s="354"/>
    </row>
    <row r="18" spans="1:6" s="17" customFormat="1" ht="20.100000000000001" customHeight="1">
      <c r="A18" s="370" t="s">
        <v>595</v>
      </c>
      <c r="B18" s="457">
        <v>11848556.5</v>
      </c>
      <c r="C18" s="446">
        <v>8298709.5</v>
      </c>
      <c r="D18" s="446">
        <v>39400</v>
      </c>
      <c r="E18" s="372">
        <f t="shared" si="0"/>
        <v>20186666</v>
      </c>
      <c r="F18" s="354"/>
    </row>
    <row r="19" spans="1:6" s="17" customFormat="1" ht="20.100000000000001" customHeight="1">
      <c r="A19" s="370" t="s">
        <v>596</v>
      </c>
      <c r="B19" s="457">
        <v>0</v>
      </c>
      <c r="C19" s="446">
        <v>2341848</v>
      </c>
      <c r="D19" s="446">
        <v>0</v>
      </c>
      <c r="E19" s="372">
        <f t="shared" si="0"/>
        <v>2341848</v>
      </c>
      <c r="F19" s="354"/>
    </row>
    <row r="20" spans="1:6" s="17" customFormat="1" ht="20.100000000000001" customHeight="1" thickBot="1">
      <c r="A20" s="370" t="s">
        <v>597</v>
      </c>
      <c r="B20" s="457">
        <v>1793021</v>
      </c>
      <c r="C20" s="447">
        <v>16219000</v>
      </c>
      <c r="D20" s="447">
        <v>0</v>
      </c>
      <c r="E20" s="372">
        <f t="shared" si="0"/>
        <v>18012021</v>
      </c>
      <c r="F20" s="354"/>
    </row>
    <row r="21" spans="1:6" s="17" customFormat="1" ht="24" customHeight="1" thickBot="1">
      <c r="A21" s="295" t="s">
        <v>50</v>
      </c>
      <c r="B21" s="355">
        <f>SUM(B10:B20)</f>
        <v>118893041</v>
      </c>
      <c r="C21" s="358">
        <f>SUM(C10:C20)</f>
        <v>59555283</v>
      </c>
      <c r="D21" s="358">
        <f>SUM(D10:D20)</f>
        <v>1101915</v>
      </c>
      <c r="E21" s="357">
        <f>SUM(E10:E20)</f>
        <v>179550239</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St. Petersburg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1200707</v>
      </c>
      <c r="E11" s="773">
        <v>0</v>
      </c>
      <c r="F11" s="774">
        <f t="shared" si="0"/>
        <v>1200707</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3705695</v>
      </c>
      <c r="E15" s="773">
        <v>0</v>
      </c>
      <c r="F15" s="774">
        <f t="shared" si="0"/>
        <v>3705695</v>
      </c>
      <c r="I15" s="88"/>
      <c r="J15" s="29"/>
      <c r="K15" s="93"/>
      <c r="L15" s="93"/>
      <c r="M15" s="93"/>
      <c r="N15" s="93"/>
    </row>
    <row r="16" spans="1:224" s="17" customFormat="1" ht="30" customHeight="1">
      <c r="A16" s="770" t="s">
        <v>416</v>
      </c>
      <c r="B16" s="771"/>
      <c r="C16" s="772" t="s">
        <v>417</v>
      </c>
      <c r="D16" s="773">
        <v>607356</v>
      </c>
      <c r="E16" s="773">
        <v>0</v>
      </c>
      <c r="F16" s="774">
        <f t="shared" si="0"/>
        <v>607356</v>
      </c>
    </row>
    <row r="17" spans="1:6" s="17" customFormat="1" ht="30" customHeight="1">
      <c r="A17" s="770" t="s">
        <v>418</v>
      </c>
      <c r="B17" s="771"/>
      <c r="C17" s="772" t="s">
        <v>419</v>
      </c>
      <c r="D17" s="773">
        <v>150</v>
      </c>
      <c r="E17" s="773">
        <v>0</v>
      </c>
      <c r="F17" s="774">
        <f t="shared" si="0"/>
        <v>150</v>
      </c>
    </row>
    <row r="18" spans="1:6" s="17" customFormat="1" ht="30" customHeight="1">
      <c r="A18" s="770" t="s">
        <v>420</v>
      </c>
      <c r="B18" s="771"/>
      <c r="C18" s="772" t="s">
        <v>421</v>
      </c>
      <c r="D18" s="773">
        <v>101272</v>
      </c>
      <c r="E18" s="773">
        <v>0</v>
      </c>
      <c r="F18" s="774">
        <f t="shared" si="0"/>
        <v>101272</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878034</v>
      </c>
      <c r="E25" s="773">
        <v>0</v>
      </c>
      <c r="F25" s="774">
        <f t="shared" si="0"/>
        <v>878034</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582019</v>
      </c>
      <c r="E30" s="773">
        <v>0</v>
      </c>
      <c r="F30" s="774">
        <f t="shared" si="0"/>
        <v>582019</v>
      </c>
    </row>
    <row r="31" spans="1:6" s="17" customFormat="1" ht="30" customHeight="1">
      <c r="A31" s="770" t="s">
        <v>445</v>
      </c>
      <c r="B31" s="771"/>
      <c r="C31" s="772" t="s">
        <v>446</v>
      </c>
      <c r="D31" s="773">
        <v>1000</v>
      </c>
      <c r="E31" s="773">
        <v>0</v>
      </c>
      <c r="F31" s="774">
        <f t="shared" si="0"/>
        <v>1000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v>1121711</v>
      </c>
      <c r="E35" s="773">
        <v>0</v>
      </c>
      <c r="F35" s="774">
        <f>+D35+E35</f>
        <v>1121711</v>
      </c>
    </row>
    <row r="36" spans="1:6" s="17" customFormat="1" ht="30" customHeight="1">
      <c r="A36" s="770" t="s">
        <v>454</v>
      </c>
      <c r="B36" s="771"/>
      <c r="C36" s="772">
        <v>56002</v>
      </c>
      <c r="D36" s="773">
        <v>4578</v>
      </c>
      <c r="E36" s="773">
        <v>0</v>
      </c>
      <c r="F36" s="774">
        <f>+D36+E36</f>
        <v>4578</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150</v>
      </c>
      <c r="E39" s="773">
        <v>0</v>
      </c>
      <c r="F39" s="774">
        <f t="shared" si="0"/>
        <v>150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78522</v>
      </c>
      <c r="E41" s="773">
        <v>0</v>
      </c>
      <c r="F41" s="774">
        <f t="shared" si="0"/>
        <v>78522</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431668</v>
      </c>
      <c r="E48" s="773">
        <v>0</v>
      </c>
      <c r="F48" s="774">
        <f t="shared" si="0"/>
        <v>431668</v>
      </c>
    </row>
    <row r="49" spans="1:6" s="17" customFormat="1" ht="30" customHeight="1">
      <c r="A49" s="770" t="s">
        <v>478</v>
      </c>
      <c r="B49" s="771"/>
      <c r="C49" s="772" t="s">
        <v>479</v>
      </c>
      <c r="D49" s="773">
        <v>691272</v>
      </c>
      <c r="E49" s="773">
        <v>0</v>
      </c>
      <c r="F49" s="774">
        <f t="shared" si="0"/>
        <v>691272</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1072582</v>
      </c>
      <c r="E54" s="773">
        <v>0</v>
      </c>
      <c r="F54" s="774">
        <f t="shared" si="0"/>
        <v>1072582</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59254</v>
      </c>
      <c r="E56" s="778">
        <v>0</v>
      </c>
      <c r="F56" s="779">
        <f t="shared" si="0"/>
        <v>59254</v>
      </c>
    </row>
    <row r="57" spans="1:6" s="177" customFormat="1" ht="30" customHeight="1" thickBot="1">
      <c r="A57" s="264" t="s">
        <v>493</v>
      </c>
      <c r="B57" s="265"/>
      <c r="C57" s="567"/>
      <c r="D57" s="270">
        <f>SUM(D10:D56)</f>
        <v>10535970</v>
      </c>
      <c r="E57" s="270">
        <f>SUM(E10:E56)</f>
        <v>0</v>
      </c>
      <c r="F57" s="270">
        <f t="shared" si="0"/>
        <v>10535970</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43973</v>
      </c>
      <c r="E64" s="459">
        <v>0</v>
      </c>
      <c r="F64" s="236">
        <f t="shared" si="0"/>
        <v>43973</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177675</v>
      </c>
      <c r="E66" s="773">
        <v>0</v>
      </c>
      <c r="F66" s="774">
        <f t="shared" si="0"/>
        <v>177675</v>
      </c>
    </row>
    <row r="67" spans="1:6" s="17" customFormat="1" ht="30" customHeight="1">
      <c r="A67" s="770" t="s">
        <v>501</v>
      </c>
      <c r="B67" s="771"/>
      <c r="C67" s="780" t="s">
        <v>502</v>
      </c>
      <c r="D67" s="773">
        <v>14590</v>
      </c>
      <c r="E67" s="773">
        <v>0</v>
      </c>
      <c r="F67" s="774">
        <f t="shared" si="0"/>
        <v>14590</v>
      </c>
    </row>
    <row r="68" spans="1:6" s="17" customFormat="1" ht="30" customHeight="1">
      <c r="A68" s="770" t="s">
        <v>609</v>
      </c>
      <c r="B68" s="771"/>
      <c r="C68" s="780" t="s">
        <v>504</v>
      </c>
      <c r="D68" s="773">
        <v>4772</v>
      </c>
      <c r="E68" s="773">
        <v>0</v>
      </c>
      <c r="F68" s="774">
        <f t="shared" si="0"/>
        <v>4772</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596</v>
      </c>
      <c r="E72" s="773">
        <v>0</v>
      </c>
      <c r="F72" s="774">
        <f t="shared" si="0"/>
        <v>596</v>
      </c>
    </row>
    <row r="73" spans="1:6" s="17" customFormat="1" ht="30" customHeight="1">
      <c r="A73" s="770" t="s">
        <v>511</v>
      </c>
      <c r="B73" s="771"/>
      <c r="C73" s="780" t="s">
        <v>512</v>
      </c>
      <c r="D73" s="773">
        <v>60350</v>
      </c>
      <c r="E73" s="773">
        <v>0</v>
      </c>
      <c r="F73" s="774">
        <f t="shared" si="0"/>
        <v>60350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45895</v>
      </c>
      <c r="E76" s="773">
        <v>0</v>
      </c>
      <c r="F76" s="774">
        <f t="shared" si="1"/>
        <v>45895</v>
      </c>
    </row>
    <row r="77" spans="1:6" s="17" customFormat="1" ht="30" customHeight="1">
      <c r="A77" s="770" t="s">
        <v>518</v>
      </c>
      <c r="B77" s="771"/>
      <c r="C77" s="780" t="s">
        <v>519</v>
      </c>
      <c r="D77" s="773">
        <v>63988</v>
      </c>
      <c r="E77" s="773">
        <v>0</v>
      </c>
      <c r="F77" s="774">
        <f t="shared" si="1"/>
        <v>63988</v>
      </c>
    </row>
    <row r="78" spans="1:6" s="17" customFormat="1" ht="30" customHeight="1">
      <c r="A78" s="770" t="s">
        <v>520</v>
      </c>
      <c r="B78" s="771"/>
      <c r="C78" s="780" t="s">
        <v>521</v>
      </c>
      <c r="D78" s="773">
        <v>637490</v>
      </c>
      <c r="E78" s="773">
        <v>0</v>
      </c>
      <c r="F78" s="774">
        <f t="shared" si="1"/>
        <v>637490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14070</v>
      </c>
      <c r="E80" s="773">
        <v>0</v>
      </c>
      <c r="F80" s="774">
        <f t="shared" si="1"/>
        <v>14070</v>
      </c>
    </row>
    <row r="81" spans="1:6" s="17" customFormat="1" ht="30" customHeight="1">
      <c r="A81" s="770" t="s">
        <v>526</v>
      </c>
      <c r="B81" s="771"/>
      <c r="C81" s="780" t="s">
        <v>527</v>
      </c>
      <c r="D81" s="773">
        <v>153200</v>
      </c>
      <c r="E81" s="773">
        <v>0</v>
      </c>
      <c r="F81" s="774">
        <f t="shared" ref="F81:F86" si="2">+D81+E81</f>
        <v>153200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1216599</v>
      </c>
      <c r="E93" s="266">
        <f>SUM(E64:E92)</f>
        <v>0</v>
      </c>
      <c r="F93" s="266">
        <f t="shared" si="1"/>
        <v>1216599</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289682</v>
      </c>
      <c r="E98" s="459"/>
      <c r="F98" s="236">
        <f t="shared" si="1"/>
        <v>289682</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289682</v>
      </c>
      <c r="E111" s="270">
        <f>SUM(E98:E110)</f>
        <v>0</v>
      </c>
      <c r="F111" s="270">
        <f>SUM(D111:E111)</f>
        <v>289682</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12042251</v>
      </c>
      <c r="E113" s="266">
        <f>+E57+E93+E111</f>
        <v>0</v>
      </c>
      <c r="F113" s="266">
        <f>SUM(D113:E113)</f>
        <v>12042251</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6670900</v>
      </c>
      <c r="E118" s="773">
        <v>0</v>
      </c>
      <c r="F118" s="774">
        <f t="shared" ref="F118:F128" si="3">+D118+E118</f>
        <v>6670900</v>
      </c>
    </row>
    <row r="119" spans="1:6" s="69" customFormat="1" ht="30" customHeight="1">
      <c r="A119" s="770" t="s">
        <v>618</v>
      </c>
      <c r="B119" s="615"/>
      <c r="C119" s="782"/>
      <c r="D119" s="1103">
        <f>'EXHIBIT C'!F19</f>
        <v>417883</v>
      </c>
      <c r="E119" s="773">
        <v>0</v>
      </c>
      <c r="F119" s="774">
        <f t="shared" si="3"/>
        <v>417883</v>
      </c>
    </row>
    <row r="120" spans="1:6" s="69" customFormat="1" ht="50.25" customHeight="1">
      <c r="A120" s="770" t="s">
        <v>619</v>
      </c>
      <c r="B120" s="615"/>
      <c r="C120" s="782"/>
      <c r="D120" s="773">
        <v>1832716</v>
      </c>
      <c r="E120" s="773">
        <v>0</v>
      </c>
      <c r="F120" s="774">
        <f t="shared" si="3"/>
        <v>1832716</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3120752</v>
      </c>
      <c r="E123" s="773">
        <v>0</v>
      </c>
      <c r="F123" s="774">
        <f t="shared" si="3"/>
        <v>3120752</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12042251</v>
      </c>
      <c r="E129" s="260">
        <f>SUM(E117:E128)</f>
        <v>0</v>
      </c>
      <c r="F129" s="261">
        <f>SUM(F117:F128)</f>
        <v>12042251</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20"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topLeftCell="A11"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D22" sqref="D22"/>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topLeftCell="A68"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51"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43</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0.18337254341960879</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66810</v>
      </c>
      <c r="E44" s="114">
        <f>+'EXHIBIT C'!F10</f>
        <v>72675.672731234299</v>
      </c>
      <c r="F44" s="115">
        <f t="shared" ref="F44:F50" si="0">IF(D44=0,"0",(E44/D44-1))</f>
        <v>8.7796328861462269E-2</v>
      </c>
      <c r="G44" s="116" t="str">
        <f t="shared" ref="G44:G50" si="1">IF(OR(F44&gt;3%, F44&lt;-3%),"YES","NO")</f>
        <v>YES</v>
      </c>
      <c r="H44" s="88"/>
    </row>
    <row r="45" spans="1:8" ht="20.100000000000001" customHeight="1">
      <c r="C45" s="117" t="s">
        <v>132</v>
      </c>
      <c r="D45" s="664">
        <f>VLOOKUP($D$7,VLOOKUP!$A$111:$S$139,5)*30+D60</f>
        <v>196171.70173523543</v>
      </c>
      <c r="E45" s="118">
        <f>+'EXHIBIT C'!F11</f>
        <v>230935.161848282</v>
      </c>
      <c r="F45" s="665">
        <f t="shared" si="0"/>
        <v>0.17720935183589992</v>
      </c>
      <c r="G45" s="666" t="str">
        <f t="shared" si="1"/>
        <v>YES</v>
      </c>
      <c r="H45" s="88"/>
    </row>
    <row r="46" spans="1:8" ht="20.100000000000001" customHeight="1">
      <c r="C46" s="667" t="s">
        <v>133</v>
      </c>
      <c r="D46" s="668">
        <f>VLOOKUP($D$7,VLOOKUP!$A$111:$S$139,8)*30</f>
        <v>110646.54064809551</v>
      </c>
      <c r="E46" s="669">
        <f>+'EXHIBIT C'!F12</f>
        <v>108931.257721769</v>
      </c>
      <c r="F46" s="665">
        <f t="shared" si="0"/>
        <v>-1.5502363799893781E-2</v>
      </c>
      <c r="G46" s="666" t="str">
        <f t="shared" si="1"/>
        <v>NO</v>
      </c>
      <c r="H46" s="88"/>
    </row>
    <row r="47" spans="1:8" ht="20.100000000000001" customHeight="1">
      <c r="C47" s="667" t="s">
        <v>82</v>
      </c>
      <c r="D47" s="668">
        <f>VLOOKUP($D$7,VLOOKUP!$A$111:$S$139,17)*30</f>
        <v>3909.4750889679717</v>
      </c>
      <c r="E47" s="669">
        <f>+'EXHIBIT C'!F13</f>
        <v>5626.82</v>
      </c>
      <c r="F47" s="665">
        <f t="shared" si="0"/>
        <v>0.43927761961654421</v>
      </c>
      <c r="G47" s="666" t="str">
        <f t="shared" si="1"/>
        <v>YES</v>
      </c>
      <c r="H47" s="88"/>
    </row>
    <row r="48" spans="1:8" ht="20.100000000000001" customHeight="1">
      <c r="C48" s="667" t="s">
        <v>134</v>
      </c>
      <c r="D48" s="668">
        <f>VLOOKUP($D$7,VLOOKUP!$A$111:$S$139,11)*30</f>
        <v>8957.9025483057958</v>
      </c>
      <c r="E48" s="669">
        <f>+'EXHIBIT C'!F14</f>
        <v>13386.903879416899</v>
      </c>
      <c r="F48" s="665">
        <f t="shared" si="0"/>
        <v>0.49442392426436466</v>
      </c>
      <c r="G48" s="666" t="str">
        <f t="shared" si="1"/>
        <v>YES</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386495.62002060475</v>
      </c>
      <c r="E50" s="121">
        <f>+'EXHIBIT C'!F17</f>
        <v>431555.81618070218</v>
      </c>
      <c r="F50" s="122">
        <f t="shared" si="0"/>
        <v>0.11658656353646446</v>
      </c>
      <c r="G50" s="123" t="str">
        <f t="shared" si="1"/>
        <v>YES</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409.5" customHeight="1" thickBot="1">
      <c r="C53" s="1109" t="s">
        <v>794</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1516.6515442964001</v>
      </c>
      <c r="F59" s="676" t="str">
        <f t="shared" ref="F59:F65" si="2">IF(D59=0,"0",(E59/D59-1))</f>
        <v>0</v>
      </c>
      <c r="G59" s="677" t="str">
        <f>IF(OR(F59&gt;5%, F59&lt;-5%),"YES","NO")</f>
        <v>NO</v>
      </c>
    </row>
    <row r="60" spans="3:8" ht="20.100000000000001" customHeight="1">
      <c r="C60" s="117" t="s">
        <v>132</v>
      </c>
      <c r="D60" s="675">
        <f>VLOOKUP($D$7,VLOOKUP!$A$111:$S$139,6)*30</f>
        <v>9764.6252870101998</v>
      </c>
      <c r="E60" s="131">
        <f>+'EXHIBIT C'!D20</f>
        <v>9953.0682800346003</v>
      </c>
      <c r="F60" s="676">
        <f t="shared" si="2"/>
        <v>1.9298538088817763E-2</v>
      </c>
      <c r="G60" s="677" t="str">
        <f t="shared" ref="G60:G65" si="3">IF(OR(F60&gt;5%, F60&lt;-5%),"YES","NO")</f>
        <v>NO</v>
      </c>
      <c r="H60" s="88"/>
    </row>
    <row r="61" spans="3:8" ht="20.100000000000001" customHeight="1">
      <c r="C61" s="667" t="s">
        <v>133</v>
      </c>
      <c r="D61" s="678">
        <f>VLOOKUP($D$7,VLOOKUP!$A$111:$S$139,9)*30</f>
        <v>6344.8422399090387</v>
      </c>
      <c r="E61" s="679">
        <f>+'EXHIBIT C'!D21</f>
        <v>4075.8776803720998</v>
      </c>
      <c r="F61" s="676">
        <f t="shared" si="2"/>
        <v>-0.35760771879640418</v>
      </c>
      <c r="G61" s="677" t="str">
        <f t="shared" si="3"/>
        <v>YES</v>
      </c>
      <c r="H61" s="88"/>
    </row>
    <row r="62" spans="3:8" ht="20.100000000000001" customHeight="1">
      <c r="C62" s="667" t="s">
        <v>82</v>
      </c>
      <c r="D62" s="678">
        <f>VLOOKUP($D$7,VLOOKUP!$A$111:$S$139,18)*30</f>
        <v>2840.5249110320283</v>
      </c>
      <c r="E62" s="679">
        <f>+'EXHIBIT C'!D22</f>
        <v>291.5168593917</v>
      </c>
      <c r="F62" s="676">
        <f t="shared" si="2"/>
        <v>-0.8973721869998369</v>
      </c>
      <c r="G62" s="677" t="str">
        <f t="shared" si="3"/>
        <v>YES</v>
      </c>
      <c r="H62" s="88"/>
    </row>
    <row r="63" spans="3:8" ht="20.100000000000001" customHeight="1">
      <c r="C63" s="667" t="s">
        <v>134</v>
      </c>
      <c r="D63" s="678">
        <f>VLOOKUP($D$7,VLOOKUP!$A$111:$S$139,12)*30</f>
        <v>912.0974516942033</v>
      </c>
      <c r="E63" s="679">
        <f>+'EXHIBIT C'!D23</f>
        <v>1142.4455694118999</v>
      </c>
      <c r="F63" s="676">
        <f t="shared" si="2"/>
        <v>0.25254770451318498</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19862.089889645471</v>
      </c>
      <c r="E65" s="133">
        <f>SUM(E59:E64)</f>
        <v>16979.559933506702</v>
      </c>
      <c r="F65" s="134">
        <f t="shared" si="2"/>
        <v>-0.14512722337650341</v>
      </c>
      <c r="G65" s="135" t="str">
        <f t="shared" si="3"/>
        <v>YES</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409.5" customHeight="1" thickBot="1">
      <c r="A68" s="98"/>
      <c r="B68" s="98"/>
      <c r="C68" s="1112" t="s">
        <v>795</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76965923</v>
      </c>
      <c r="E84" s="1149">
        <f>+'EXHIBIT D'!G75</f>
        <v>76965923</v>
      </c>
      <c r="F84" s="1149">
        <f>D84-E84</f>
        <v>0</v>
      </c>
      <c r="G84" s="88"/>
      <c r="H84" s="88"/>
    </row>
    <row r="85" spans="1:8" ht="20.100000000000001" customHeight="1">
      <c r="A85" s="98"/>
      <c r="B85" s="98"/>
      <c r="C85" s="688" t="s">
        <v>156</v>
      </c>
      <c r="D85" s="687">
        <f>VLOOKUP($D$7,VLOOKUP!$A$152:$B$180,2)</f>
        <v>1764500</v>
      </c>
      <c r="E85" s="1149">
        <f>'EXHIBIT D'!G77</f>
        <v>1764500</v>
      </c>
      <c r="F85" s="1149">
        <f>D85-E85</f>
        <v>0</v>
      </c>
      <c r="G85" s="88"/>
      <c r="H85" s="88"/>
    </row>
    <row r="86" spans="1:8" ht="20.100000000000001" customHeight="1">
      <c r="A86" s="98"/>
      <c r="B86" s="98"/>
      <c r="C86" s="688" t="s">
        <v>157</v>
      </c>
      <c r="D86" s="687">
        <f>VLOOKUP($D$7,VLOOKUP!$A$7:$E$35,3)</f>
        <v>16754342</v>
      </c>
      <c r="E86" s="1149">
        <f>'EXHIBIT D'!G81</f>
        <v>16754342</v>
      </c>
      <c r="F86" s="1149">
        <f>D86-E86</f>
        <v>0</v>
      </c>
      <c r="G86" s="88"/>
      <c r="H86" s="88"/>
    </row>
    <row r="87" spans="1:8" ht="20.100000000000001" customHeight="1" thickBot="1">
      <c r="A87" s="97"/>
      <c r="B87" s="97"/>
      <c r="C87" s="143" t="s">
        <v>708</v>
      </c>
      <c r="D87" s="687">
        <f>VLOOKUP($D$7,VLOOKUP!$A$187:$B$215,2)</f>
        <v>2073253</v>
      </c>
      <c r="E87" s="1150">
        <f>'EXHIBIT D'!G76</f>
        <v>2073253</v>
      </c>
      <c r="F87" s="1149">
        <f>D87-E87</f>
        <v>0</v>
      </c>
      <c r="G87" s="88"/>
      <c r="H87" s="88"/>
    </row>
    <row r="88" spans="1:8" ht="20.100000000000001" customHeight="1" thickBot="1">
      <c r="A88" s="97"/>
      <c r="B88" s="97"/>
      <c r="C88" s="144" t="s">
        <v>158</v>
      </c>
      <c r="D88" s="145">
        <f>SUM(D84:D87)</f>
        <v>97558018</v>
      </c>
      <c r="E88" s="145">
        <f>SUM(E84:E87)</f>
        <v>97558018</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65300155</v>
      </c>
      <c r="D101" s="836" t="s">
        <v>721</v>
      </c>
      <c r="E101" s="836"/>
      <c r="F101" s="836"/>
      <c r="G101" s="88"/>
      <c r="H101" s="88"/>
    </row>
    <row r="102" spans="1:8" ht="20.100000000000001" customHeight="1">
      <c r="A102" s="95"/>
      <c r="B102" s="95"/>
      <c r="C102" s="691">
        <f>'EXHIBIT D'!G266-'EXHIBIT D'!G252-'EXHIBIT D'!G264</f>
        <v>65300155</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113423608</v>
      </c>
      <c r="D108" s="17" t="s">
        <v>723</v>
      </c>
    </row>
    <row r="109" spans="1:8" ht="26.25" customHeight="1">
      <c r="A109" s="151"/>
      <c r="B109" s="151"/>
      <c r="C109" s="693">
        <f>'EXHIBIT A'!E36</f>
        <v>114194608</v>
      </c>
      <c r="D109" s="17" t="s">
        <v>724</v>
      </c>
    </row>
    <row r="110" spans="1:8" ht="26.1" customHeight="1">
      <c r="A110" s="151"/>
      <c r="B110" s="151"/>
      <c r="C110" s="694">
        <f>C108-C109</f>
        <v>-771000</v>
      </c>
      <c r="D110" s="89" t="s">
        <v>166</v>
      </c>
      <c r="E110" s="89"/>
      <c r="F110" s="89"/>
      <c r="G110" s="89"/>
    </row>
    <row r="111" spans="1:8" ht="20.100000000000001" customHeight="1">
      <c r="A111" s="151"/>
      <c r="B111" s="151"/>
      <c r="C111" s="154"/>
    </row>
    <row r="112" spans="1:8" ht="26.1" customHeight="1">
      <c r="A112" s="151"/>
      <c r="B112" s="151"/>
      <c r="C112" s="692">
        <f>'EXHIBIT D'!G186</f>
        <v>771000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91.790000000000049</v>
      </c>
      <c r="D119" s="17" t="s">
        <v>87</v>
      </c>
    </row>
    <row r="120" spans="1:8" ht="20.100000000000001" customHeight="1">
      <c r="C120" s="158"/>
    </row>
    <row r="121" spans="1:8" ht="20.100000000000001" customHeight="1">
      <c r="C121" s="159">
        <f>IF('EXHIBIT G'!D119=0,"No Credit Hours or Not Applicable",('EXHIBIT G'!D119/'EXHIBIT C'!D19))</f>
        <v>275.5300000000085</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j7NGA3z182GSDLW5ZPvL4pZXUg1Kpcs687U6Fe1IseoD8qpP4BOLO8Edk3+G4E6cQm4pOrC4cvVmVI6LqqCIeA==" saltValue="c70R8+MELB0i/Twp2eCc+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St. Petersburg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63132655</v>
      </c>
    </row>
    <row r="14" spans="2:7" ht="25.35" customHeight="1">
      <c r="B14" s="17" t="s">
        <v>180</v>
      </c>
      <c r="D14" s="28"/>
      <c r="E14" s="585">
        <v>113423608</v>
      </c>
    </row>
    <row r="15" spans="2:7" ht="25.35" customHeight="1">
      <c r="B15" s="28"/>
      <c r="D15" s="28"/>
      <c r="E15" s="164"/>
    </row>
    <row r="16" spans="2:7" ht="25.35" customHeight="1">
      <c r="B16" s="17" t="s">
        <v>735</v>
      </c>
      <c r="C16" s="28"/>
      <c r="D16" s="28"/>
      <c r="E16" s="586">
        <f>+E14+E13</f>
        <v>176556263</v>
      </c>
    </row>
    <row r="17" spans="2:7" ht="25.35" customHeight="1">
      <c r="B17" s="28"/>
      <c r="C17" s="28"/>
      <c r="D17" s="28"/>
      <c r="E17" s="165"/>
    </row>
    <row r="18" spans="2:7" ht="25.35" customHeight="1">
      <c r="B18" s="17" t="s">
        <v>181</v>
      </c>
      <c r="C18" s="28"/>
      <c r="D18" s="28"/>
      <c r="E18" s="175">
        <f>+'EXHIBIT D'!G142-SUM(+'EXHIBIT D'!G132+'EXHIBIT D'!G133)</f>
        <v>158810239</v>
      </c>
      <c r="G18" s="138"/>
    </row>
    <row r="19" spans="2:7" ht="25.35" customHeight="1">
      <c r="B19" s="17" t="s">
        <v>182</v>
      </c>
      <c r="D19" s="28"/>
      <c r="E19" s="586">
        <f>+'EXHIBIT D'!G132+'EXHIBIT D'!G133</f>
        <v>20740000</v>
      </c>
    </row>
    <row r="20" spans="2:7" ht="25.35" customHeight="1">
      <c r="B20" s="28"/>
      <c r="D20" s="28"/>
      <c r="E20" s="170"/>
    </row>
    <row r="21" spans="2:7" ht="25.35" customHeight="1">
      <c r="B21" s="17" t="s">
        <v>183</v>
      </c>
      <c r="C21" s="28"/>
      <c r="D21" s="28"/>
      <c r="E21" s="587">
        <f>+E19+E18</f>
        <v>179550239</v>
      </c>
    </row>
    <row r="22" spans="2:7" ht="25.35" customHeight="1">
      <c r="B22" s="28"/>
      <c r="C22" s="28"/>
      <c r="D22" s="28"/>
      <c r="E22" s="170"/>
    </row>
    <row r="23" spans="2:7" ht="25.35" customHeight="1">
      <c r="B23" s="28" t="s">
        <v>184</v>
      </c>
      <c r="C23" s="28"/>
      <c r="D23" s="28"/>
      <c r="E23" s="587">
        <f>+E21+E16</f>
        <v>356106502</v>
      </c>
    </row>
    <row r="24" spans="2:7" ht="25.35" customHeight="1">
      <c r="B24" s="28"/>
      <c r="C24" s="28"/>
      <c r="D24" s="28"/>
      <c r="E24" s="170"/>
    </row>
    <row r="25" spans="2:7" ht="25.35" customHeight="1">
      <c r="B25" s="17" t="s">
        <v>185</v>
      </c>
      <c r="C25" s="28"/>
      <c r="D25" s="28"/>
      <c r="E25" s="176">
        <f>'EXHIBIT D'!G248-SUM(+'EXHIBIT D'!G222+'EXHIBIT D'!G223)</f>
        <v>161971239</v>
      </c>
    </row>
    <row r="26" spans="2:7" ht="25.35" customHeight="1">
      <c r="B26" s="17" t="s">
        <v>186</v>
      </c>
      <c r="D26" s="28"/>
      <c r="E26" s="586">
        <f>'EXHIBIT D'!G222+'EXHIBIT D'!G223</f>
        <v>17579000</v>
      </c>
    </row>
    <row r="27" spans="2:7" ht="25.35" customHeight="1">
      <c r="B27" s="28"/>
      <c r="D27" s="28"/>
      <c r="E27" s="170"/>
    </row>
    <row r="28" spans="2:7" ht="25.35" customHeight="1">
      <c r="B28" s="28" t="s">
        <v>187</v>
      </c>
      <c r="C28" s="28"/>
      <c r="D28" s="28"/>
      <c r="E28" s="588">
        <f>+E26+E25</f>
        <v>179550239</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176556263</v>
      </c>
      <c r="E32" s="166"/>
    </row>
    <row r="33" spans="2:10" ht="25.35" customHeight="1">
      <c r="B33" s="17" t="s">
        <v>189</v>
      </c>
      <c r="C33" s="28"/>
      <c r="D33" s="589">
        <f>+'EXHIBIT D'!G186</f>
        <v>771000</v>
      </c>
      <c r="E33" s="166"/>
    </row>
    <row r="34" spans="2:10" ht="25.35" customHeight="1">
      <c r="B34" s="28"/>
      <c r="D34" s="28"/>
      <c r="E34" s="166"/>
      <c r="J34" s="168"/>
    </row>
    <row r="35" spans="2:10" ht="25.35" customHeight="1">
      <c r="B35" s="17" t="s">
        <v>736</v>
      </c>
      <c r="C35" s="28"/>
      <c r="D35" s="28"/>
      <c r="E35" s="169">
        <f>+D32+D33</f>
        <v>177327263</v>
      </c>
    </row>
    <row r="36" spans="2:10" ht="25.35" customHeight="1">
      <c r="B36" s="17" t="s">
        <v>737</v>
      </c>
      <c r="C36" s="28"/>
      <c r="D36" s="28"/>
      <c r="E36" s="587">
        <f>-'EXHIBIT D'!G264</f>
        <v>114194608</v>
      </c>
      <c r="J36" s="48"/>
    </row>
    <row r="37" spans="2:10" ht="25.35" customHeight="1">
      <c r="D37" s="28"/>
      <c r="E37" s="169"/>
    </row>
    <row r="38" spans="2:10" ht="25.35" customHeight="1">
      <c r="B38" s="28" t="s">
        <v>738</v>
      </c>
      <c r="D38" s="28"/>
      <c r="E38" s="586">
        <f>+E35-E36</f>
        <v>63132655</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65300155</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0.18337254341960879</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90" zoomScaleNormal="9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St. Petersburg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9.18</v>
      </c>
      <c r="E14" s="983">
        <v>12.55</v>
      </c>
      <c r="F14" s="983">
        <v>4.59</v>
      </c>
      <c r="G14" s="696">
        <f>SUM(B14:F14)</f>
        <v>122.7</v>
      </c>
      <c r="H14" s="367">
        <f>G14*30</f>
        <v>3681</v>
      </c>
    </row>
    <row r="15" spans="1:18" s="17" customFormat="1" ht="20.100000000000001" customHeight="1">
      <c r="A15" s="28" t="s">
        <v>207</v>
      </c>
      <c r="B15" s="984">
        <v>80.94</v>
      </c>
      <c r="C15" s="984">
        <v>4.04</v>
      </c>
      <c r="D15" s="984">
        <v>7.63</v>
      </c>
      <c r="E15" s="984">
        <v>15.1</v>
      </c>
      <c r="F15" s="984">
        <v>4.04</v>
      </c>
      <c r="G15" s="696">
        <f>SUM(B15:F15)</f>
        <v>111.75</v>
      </c>
      <c r="H15" s="340">
        <f>G15*30</f>
        <v>3352.5</v>
      </c>
    </row>
    <row r="16" spans="1:18" s="17" customFormat="1" ht="20.100000000000001" customHeight="1" thickBot="1">
      <c r="A16" s="28" t="s">
        <v>82</v>
      </c>
      <c r="B16" s="985">
        <v>68.599999999999994</v>
      </c>
      <c r="C16" s="985">
        <v>0</v>
      </c>
      <c r="D16" s="986"/>
      <c r="E16" s="985">
        <v>3.43</v>
      </c>
      <c r="F16" s="985">
        <v>3.43</v>
      </c>
      <c r="G16" s="341">
        <f>SUM(B16:F16)</f>
        <v>75.460000000000008</v>
      </c>
      <c r="H16" s="697">
        <f>G16*30</f>
        <v>2263.8000000000002</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275.52999999999997</v>
      </c>
      <c r="D29" s="983">
        <v>18.37</v>
      </c>
      <c r="E29" s="543">
        <f>D14</f>
        <v>9.18</v>
      </c>
      <c r="F29" s="983">
        <v>12.55</v>
      </c>
      <c r="G29" s="983">
        <v>18.37</v>
      </c>
      <c r="H29" s="348">
        <f>SUM(B29:G29)</f>
        <v>425.79</v>
      </c>
      <c r="I29" s="361">
        <f>H29*30</f>
        <v>12773.7</v>
      </c>
    </row>
    <row r="30" spans="1:11" s="17" customFormat="1" ht="20.100000000000001" customHeight="1">
      <c r="A30" s="28" t="str">
        <f t="shared" si="0"/>
        <v>LOWER LEVEL - CREDIT (A &amp; P, PSV, DEVELOPMENTAL EDUCATION AND EPI)</v>
      </c>
      <c r="B30" s="700">
        <f t="shared" si="0"/>
        <v>80.94</v>
      </c>
      <c r="C30" s="987">
        <v>242.97</v>
      </c>
      <c r="D30" s="987">
        <v>16.2</v>
      </c>
      <c r="E30" s="701">
        <f>D15</f>
        <v>7.63</v>
      </c>
      <c r="F30" s="987">
        <v>22.96</v>
      </c>
      <c r="G30" s="987">
        <v>16.2</v>
      </c>
      <c r="H30" s="696">
        <f>SUM(B30:G30)</f>
        <v>386.89999999999992</v>
      </c>
      <c r="I30" s="340">
        <f>H30*30</f>
        <v>11606.999999999998</v>
      </c>
    </row>
    <row r="31" spans="1:11" s="17" customFormat="1" ht="20.100000000000001" customHeight="1" thickBot="1">
      <c r="A31" s="28" t="str">
        <f t="shared" si="0"/>
        <v>CAREER CERTIFICATE AND APPLIED TECHNOLOGY DIPLOMA</v>
      </c>
      <c r="B31" s="411">
        <f t="shared" si="0"/>
        <v>68.599999999999994</v>
      </c>
      <c r="C31" s="984">
        <v>205.82</v>
      </c>
      <c r="D31" s="984">
        <v>0</v>
      </c>
      <c r="E31" s="322"/>
      <c r="F31" s="984">
        <v>13.72</v>
      </c>
      <c r="G31" s="984">
        <v>13.72</v>
      </c>
      <c r="H31" s="341">
        <f>SUM(B31:G31)</f>
        <v>301.86</v>
      </c>
      <c r="I31" s="697">
        <f>H31*30</f>
        <v>9055.8000000000011</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St. Petersburg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72675.672731234299</v>
      </c>
      <c r="E10" s="546">
        <v>0</v>
      </c>
      <c r="F10" s="547">
        <f t="shared" ref="F10:F15" si="0">+D10-E10</f>
        <v>72675.672731234299</v>
      </c>
      <c r="G10" s="547">
        <f>'EXHIBIT B'!B14</f>
        <v>91.79</v>
      </c>
      <c r="H10" s="548">
        <f>ROUND(+F10*G10,0)</f>
        <v>6670900</v>
      </c>
    </row>
    <row r="11" spans="1:9" ht="20.100000000000001" customHeight="1">
      <c r="A11" s="707" t="s">
        <v>200</v>
      </c>
      <c r="B11" s="707" t="s">
        <v>132</v>
      </c>
      <c r="C11" s="708" t="s">
        <v>228</v>
      </c>
      <c r="D11" s="706">
        <v>230935.161848282</v>
      </c>
      <c r="E11" s="706">
        <v>0</v>
      </c>
      <c r="F11" s="709">
        <f t="shared" si="0"/>
        <v>230935.161848282</v>
      </c>
      <c r="G11" s="709">
        <f>+'EXHIBIT B'!B15</f>
        <v>80.94</v>
      </c>
      <c r="H11" s="710">
        <f t="shared" ref="H11:H15" si="1">ROUND(+F11*G11,0)</f>
        <v>18691892</v>
      </c>
    </row>
    <row r="12" spans="1:9" ht="20.100000000000001" customHeight="1">
      <c r="A12" s="707" t="s">
        <v>200</v>
      </c>
      <c r="B12" s="707" t="s">
        <v>133</v>
      </c>
      <c r="C12" s="708" t="s">
        <v>229</v>
      </c>
      <c r="D12" s="706">
        <v>108931.257721769</v>
      </c>
      <c r="E12" s="706">
        <v>0</v>
      </c>
      <c r="F12" s="709">
        <f t="shared" si="0"/>
        <v>108931.257721769</v>
      </c>
      <c r="G12" s="709">
        <f>+'EXHIBIT B'!B15</f>
        <v>80.94</v>
      </c>
      <c r="H12" s="710">
        <f t="shared" si="1"/>
        <v>8816896</v>
      </c>
    </row>
    <row r="13" spans="1:9" ht="20.100000000000001" customHeight="1">
      <c r="A13" s="707" t="s">
        <v>200</v>
      </c>
      <c r="B13" s="707" t="s">
        <v>82</v>
      </c>
      <c r="C13" s="708" t="s">
        <v>230</v>
      </c>
      <c r="D13" s="711">
        <v>5626.82</v>
      </c>
      <c r="E13" s="711">
        <v>0</v>
      </c>
      <c r="F13" s="709">
        <f t="shared" si="0"/>
        <v>5626.82</v>
      </c>
      <c r="G13" s="709">
        <f>+'EXHIBIT B'!B16</f>
        <v>68.599999999999994</v>
      </c>
      <c r="H13" s="710">
        <f t="shared" si="1"/>
        <v>386000</v>
      </c>
    </row>
    <row r="14" spans="1:9" ht="20.100000000000001" customHeight="1">
      <c r="A14" s="707" t="s">
        <v>200</v>
      </c>
      <c r="B14" s="707" t="s">
        <v>134</v>
      </c>
      <c r="C14" s="708" t="s">
        <v>231</v>
      </c>
      <c r="D14" s="706">
        <v>13386.903879416899</v>
      </c>
      <c r="E14" s="706">
        <v>0</v>
      </c>
      <c r="F14" s="709">
        <f t="shared" si="0"/>
        <v>13386.903879416899</v>
      </c>
      <c r="G14" s="709">
        <f>+'EXHIBIT B'!B15</f>
        <v>80.94</v>
      </c>
      <c r="H14" s="710">
        <f t="shared" si="1"/>
        <v>1083536</v>
      </c>
    </row>
    <row r="15" spans="1:9" ht="20.100000000000001" customHeight="1" thickBot="1">
      <c r="A15" s="712" t="s">
        <v>200</v>
      </c>
      <c r="B15" s="712" t="s">
        <v>135</v>
      </c>
      <c r="C15" s="713">
        <v>40160</v>
      </c>
      <c r="D15" s="714">
        <v>0</v>
      </c>
      <c r="E15" s="714">
        <v>0</v>
      </c>
      <c r="F15" s="715">
        <f t="shared" si="0"/>
        <v>0</v>
      </c>
      <c r="G15" s="715">
        <f>+'EXHIBIT B'!B15</f>
        <v>80.94</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431555.81618070218</v>
      </c>
      <c r="E17" s="304">
        <f>SUM(E10:E15)</f>
        <v>0</v>
      </c>
      <c r="F17" s="305">
        <f>SUM(F10:F15)</f>
        <v>431555.81618070218</v>
      </c>
      <c r="G17" s="305"/>
      <c r="H17" s="306">
        <f>SUM(H10:H15)</f>
        <v>35649224</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1516.6515442964001</v>
      </c>
      <c r="E19" s="718">
        <f>'EXHIBIT B'!C29</f>
        <v>275.52999999999997</v>
      </c>
      <c r="F19" s="719">
        <f t="shared" ref="F19:F24" si="2">ROUND(+D19*E19,0)</f>
        <v>417883</v>
      </c>
      <c r="G19" s="308"/>
      <c r="H19" s="308"/>
    </row>
    <row r="20" spans="1:9" ht="20.100000000000001" customHeight="1">
      <c r="A20" s="654" t="s">
        <v>215</v>
      </c>
      <c r="B20" s="654" t="s">
        <v>132</v>
      </c>
      <c r="C20" s="720" t="s">
        <v>235</v>
      </c>
      <c r="D20" s="727">
        <v>9953.0682800346003</v>
      </c>
      <c r="E20" s="721">
        <f>+'EXHIBIT B'!C30</f>
        <v>242.97</v>
      </c>
      <c r="F20" s="722">
        <f t="shared" si="2"/>
        <v>2418297</v>
      </c>
      <c r="G20" s="48"/>
      <c r="H20" s="48"/>
    </row>
    <row r="21" spans="1:9" ht="20.100000000000001" customHeight="1">
      <c r="A21" s="654" t="s">
        <v>215</v>
      </c>
      <c r="B21" s="654" t="s">
        <v>133</v>
      </c>
      <c r="C21" s="720" t="s">
        <v>236</v>
      </c>
      <c r="D21" s="727">
        <v>4075.8776803720998</v>
      </c>
      <c r="E21" s="721">
        <f>+'EXHIBIT B'!C30</f>
        <v>242.97</v>
      </c>
      <c r="F21" s="722">
        <f t="shared" si="2"/>
        <v>990316</v>
      </c>
      <c r="G21" s="48"/>
      <c r="H21" s="48"/>
    </row>
    <row r="22" spans="1:9" ht="20.100000000000001" customHeight="1">
      <c r="A22" s="654" t="s">
        <v>215</v>
      </c>
      <c r="B22" s="654" t="s">
        <v>82</v>
      </c>
      <c r="C22" s="720" t="s">
        <v>237</v>
      </c>
      <c r="D22" s="727">
        <v>291.5168593917</v>
      </c>
      <c r="E22" s="721">
        <f>+'EXHIBIT B'!C31</f>
        <v>205.82</v>
      </c>
      <c r="F22" s="722">
        <f t="shared" si="2"/>
        <v>60000</v>
      </c>
      <c r="G22" s="48"/>
      <c r="H22" s="48"/>
    </row>
    <row r="23" spans="1:9" ht="20.100000000000001" customHeight="1">
      <c r="A23" s="654" t="s">
        <v>215</v>
      </c>
      <c r="B23" s="654" t="s">
        <v>134</v>
      </c>
      <c r="C23" s="720" t="s">
        <v>238</v>
      </c>
      <c r="D23" s="727">
        <v>1142.4455694118999</v>
      </c>
      <c r="E23" s="721">
        <f>+'EXHIBIT B'!C30</f>
        <v>242.97</v>
      </c>
      <c r="F23" s="722">
        <f t="shared" si="2"/>
        <v>277580</v>
      </c>
      <c r="G23" s="48"/>
      <c r="H23" s="48"/>
    </row>
    <row r="24" spans="1:9" ht="20.100000000000001" customHeight="1" thickBot="1">
      <c r="A24" s="606" t="s">
        <v>215</v>
      </c>
      <c r="B24" s="606" t="s">
        <v>135</v>
      </c>
      <c r="C24" s="607">
        <v>40360</v>
      </c>
      <c r="D24" s="989">
        <v>0</v>
      </c>
      <c r="E24" s="608">
        <f>+'EXHIBIT B'!C30</f>
        <v>242.97</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16979.559933506702</v>
      </c>
      <c r="E26" s="725"/>
      <c r="F26" s="726">
        <f>SUM(F19:F24)</f>
        <v>4164076</v>
      </c>
      <c r="G26" s="312"/>
      <c r="H26" s="312"/>
    </row>
    <row r="27" spans="1:9" ht="20.100000000000001" customHeight="1" thickBot="1">
      <c r="A27" s="313" t="s">
        <v>239</v>
      </c>
      <c r="B27" s="313"/>
      <c r="C27" s="313"/>
      <c r="D27" s="313"/>
      <c r="E27" s="313"/>
      <c r="F27" s="314"/>
      <c r="G27" s="549"/>
      <c r="H27" s="315">
        <f>H17+F26</f>
        <v>39813300</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39813300</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t="s">
        <v>781</v>
      </c>
      <c r="B55" s="727">
        <v>3000000</v>
      </c>
      <c r="C55" s="994" t="s">
        <v>782</v>
      </c>
      <c r="D55" s="995"/>
      <c r="E55" s="994" t="s">
        <v>783</v>
      </c>
      <c r="F55" s="995"/>
      <c r="J55" s="92"/>
    </row>
    <row r="56" spans="1:10" ht="24.95" customHeight="1">
      <c r="A56" s="733" t="s">
        <v>784</v>
      </c>
      <c r="B56" s="727">
        <v>13400000</v>
      </c>
      <c r="C56" s="994" t="s">
        <v>782</v>
      </c>
      <c r="D56" s="995"/>
      <c r="E56" s="994" t="s">
        <v>785</v>
      </c>
      <c r="F56" s="995"/>
    </row>
    <row r="57" spans="1:10" ht="24.95" customHeight="1">
      <c r="A57" s="733" t="s">
        <v>786</v>
      </c>
      <c r="B57" s="727">
        <v>445500</v>
      </c>
      <c r="C57" s="994" t="s">
        <v>782</v>
      </c>
      <c r="D57" s="995"/>
      <c r="E57" s="994" t="s">
        <v>793</v>
      </c>
      <c r="F57" s="995"/>
    </row>
    <row r="58" spans="1:10" ht="24.95" customHeight="1">
      <c r="A58" s="733" t="s">
        <v>791</v>
      </c>
      <c r="B58" s="727">
        <v>733500</v>
      </c>
      <c r="C58" s="994" t="s">
        <v>782</v>
      </c>
      <c r="D58" s="995"/>
      <c r="E58" s="994" t="s">
        <v>792</v>
      </c>
      <c r="F58" s="995"/>
    </row>
    <row r="59" spans="1:10" ht="24.95" customHeight="1" thickBot="1">
      <c r="A59" s="610"/>
      <c r="B59" s="611">
        <v>0</v>
      </c>
      <c r="C59" s="996"/>
      <c r="D59" s="997"/>
      <c r="E59" s="998"/>
      <c r="F59" s="999"/>
    </row>
    <row r="60" spans="1:10" ht="24.95" customHeight="1" thickBot="1">
      <c r="A60" s="292" t="s">
        <v>262</v>
      </c>
      <c r="B60" s="293">
        <f>SUM(B54:B59)</f>
        <v>17579000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0</v>
      </c>
      <c r="C63" s="992"/>
      <c r="D63" s="993"/>
      <c r="E63" s="992"/>
      <c r="F63" s="993"/>
    </row>
    <row r="64" spans="1:10" ht="24.95" customHeight="1">
      <c r="A64" s="733" t="s">
        <v>787</v>
      </c>
      <c r="B64" s="727">
        <v>1600000</v>
      </c>
      <c r="C64" s="994" t="s">
        <v>788</v>
      </c>
      <c r="D64" s="995"/>
      <c r="E64" s="994" t="s">
        <v>782</v>
      </c>
      <c r="F64" s="995"/>
    </row>
    <row r="65" spans="1:6" ht="24.95" customHeight="1">
      <c r="A65" s="733" t="s">
        <v>789</v>
      </c>
      <c r="B65" s="727">
        <f>11640000+7500000</f>
        <v>19140000</v>
      </c>
      <c r="C65" s="994" t="s">
        <v>790</v>
      </c>
      <c r="D65" s="995"/>
      <c r="E65" s="994" t="s">
        <v>790</v>
      </c>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20740000</v>
      </c>
      <c r="C69" s="1002"/>
      <c r="D69" s="1003"/>
      <c r="E69" s="1002"/>
      <c r="F69" s="1003"/>
    </row>
    <row r="70" spans="1:6" ht="24.95" customHeight="1" thickBot="1">
      <c r="A70" s="292" t="s">
        <v>264</v>
      </c>
      <c r="B70" s="293">
        <f>+B69+B60</f>
        <v>38319000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St. Petersburg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110" zoomScaleNormal="11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St. Petersburg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6670900</v>
      </c>
    </row>
    <row r="13" spans="1:8" ht="20.100000000000001" customHeight="1">
      <c r="A13" s="499" t="s">
        <v>200</v>
      </c>
      <c r="B13" s="184"/>
      <c r="C13" s="177" t="s">
        <v>132</v>
      </c>
      <c r="D13" s="184"/>
      <c r="E13" s="184"/>
      <c r="F13" s="189" t="s">
        <v>228</v>
      </c>
      <c r="G13" s="188">
        <f>+'EXHIBIT C'!H11+'EXHIBIT C(2)'!E14</f>
        <v>18691892</v>
      </c>
    </row>
    <row r="14" spans="1:8" ht="20.100000000000001" customHeight="1">
      <c r="A14" s="499" t="s">
        <v>200</v>
      </c>
      <c r="B14" s="184"/>
      <c r="C14" s="184" t="s">
        <v>133</v>
      </c>
      <c r="D14" s="184"/>
      <c r="E14" s="184"/>
      <c r="F14" s="189" t="s">
        <v>229</v>
      </c>
      <c r="G14" s="520">
        <f>+'EXHIBIT C'!H12+'EXHIBIT C(2)'!E15</f>
        <v>8816896</v>
      </c>
    </row>
    <row r="15" spans="1:8" ht="20.100000000000001" customHeight="1">
      <c r="A15" s="499" t="s">
        <v>200</v>
      </c>
      <c r="B15" s="184"/>
      <c r="C15" s="190" t="s">
        <v>281</v>
      </c>
      <c r="D15" s="184"/>
      <c r="E15" s="184"/>
      <c r="F15" s="189" t="s">
        <v>230</v>
      </c>
      <c r="G15" s="520">
        <f>+'EXHIBIT C'!H13+'EXHIBIT C(2)'!E16</f>
        <v>386000</v>
      </c>
    </row>
    <row r="16" spans="1:8" ht="20.100000000000001" customHeight="1">
      <c r="A16" s="499" t="s">
        <v>200</v>
      </c>
      <c r="B16" s="184"/>
      <c r="C16" s="190" t="s">
        <v>282</v>
      </c>
      <c r="D16" s="184"/>
      <c r="E16" s="184"/>
      <c r="F16" s="189" t="s">
        <v>231</v>
      </c>
      <c r="G16" s="521">
        <f>+'EXHIBIT C'!H14+'EXHIBIT C(2)'!E17</f>
        <v>1083536</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35649224</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417883</v>
      </c>
    </row>
    <row r="22" spans="1:7" ht="20.100000000000001" customHeight="1">
      <c r="A22" s="499" t="s">
        <v>215</v>
      </c>
      <c r="B22" s="184"/>
      <c r="C22" s="177" t="s">
        <v>132</v>
      </c>
      <c r="D22" s="184"/>
      <c r="E22" s="184"/>
      <c r="F22" s="189" t="s">
        <v>235</v>
      </c>
      <c r="G22" s="193">
        <f>+'EXHIBIT C'!F20+'EXHIBIT C(2)'!E23</f>
        <v>2418297</v>
      </c>
    </row>
    <row r="23" spans="1:7" ht="20.100000000000001" customHeight="1">
      <c r="A23" s="499" t="s">
        <v>215</v>
      </c>
      <c r="B23" s="184"/>
      <c r="C23" s="184" t="s">
        <v>133</v>
      </c>
      <c r="D23" s="184"/>
      <c r="E23" s="184"/>
      <c r="F23" s="189" t="s">
        <v>236</v>
      </c>
      <c r="G23" s="198">
        <f>+'EXHIBIT C'!F21+'EXHIBIT C(2)'!E24</f>
        <v>990316</v>
      </c>
    </row>
    <row r="24" spans="1:7" ht="20.100000000000001" customHeight="1">
      <c r="A24" s="499" t="s">
        <v>215</v>
      </c>
      <c r="B24" s="184"/>
      <c r="C24" s="190" t="s">
        <v>281</v>
      </c>
      <c r="D24" s="184"/>
      <c r="E24" s="184"/>
      <c r="F24" s="189" t="s">
        <v>237</v>
      </c>
      <c r="G24" s="198">
        <f>+'EXHIBIT C'!F22+'EXHIBIT C(2)'!E25</f>
        <v>60000</v>
      </c>
    </row>
    <row r="25" spans="1:7" ht="20.100000000000001" customHeight="1">
      <c r="A25" s="499" t="s">
        <v>215</v>
      </c>
      <c r="B25" s="184"/>
      <c r="C25" s="190" t="s">
        <v>282</v>
      </c>
      <c r="D25" s="184"/>
      <c r="E25" s="184"/>
      <c r="F25" s="189" t="s">
        <v>238</v>
      </c>
      <c r="G25" s="198">
        <f>+'EXHIBIT C'!F23+'EXHIBIT C(2)'!E26</f>
        <v>277580</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4164076</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39813300</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20000</v>
      </c>
    </row>
    <row r="47" spans="1:7" ht="20.100000000000001" customHeight="1">
      <c r="A47" s="499" t="s">
        <v>294</v>
      </c>
      <c r="B47" s="199"/>
      <c r="C47" s="199"/>
      <c r="D47" s="199"/>
      <c r="E47" s="199"/>
      <c r="F47" s="200" t="s">
        <v>295</v>
      </c>
      <c r="G47" s="448">
        <v>4086121</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42000</v>
      </c>
    </row>
    <row r="50" spans="1:7" ht="20.100000000000001" customHeight="1">
      <c r="A50" s="499" t="s">
        <v>300</v>
      </c>
      <c r="B50" s="184"/>
      <c r="C50" s="184"/>
      <c r="D50" s="184"/>
      <c r="E50" s="184"/>
      <c r="F50" s="189" t="s">
        <v>301</v>
      </c>
      <c r="G50" s="448">
        <v>2806882</v>
      </c>
    </row>
    <row r="51" spans="1:7" ht="20.100000000000001" customHeight="1">
      <c r="A51" s="499" t="s">
        <v>302</v>
      </c>
      <c r="B51" s="184"/>
      <c r="C51" s="184"/>
      <c r="D51" s="184"/>
      <c r="E51" s="184"/>
      <c r="F51" s="187">
        <v>40450</v>
      </c>
      <c r="G51" s="448">
        <v>4693440</v>
      </c>
    </row>
    <row r="52" spans="1:7" ht="20.100000000000001" customHeight="1">
      <c r="A52" s="499" t="s">
        <v>303</v>
      </c>
      <c r="B52" s="184"/>
      <c r="C52" s="184"/>
      <c r="D52" s="184"/>
      <c r="E52" s="184"/>
      <c r="F52" s="189" t="s">
        <v>304</v>
      </c>
      <c r="G52" s="448">
        <v>510000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96500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2035406</v>
      </c>
    </row>
    <row r="59" spans="1:7" ht="20.100000000000001" customHeight="1">
      <c r="A59" s="499" t="s">
        <v>317</v>
      </c>
      <c r="B59" s="184"/>
      <c r="C59" s="184"/>
      <c r="D59" s="184"/>
      <c r="E59" s="184"/>
      <c r="F59" s="189" t="s">
        <v>318</v>
      </c>
      <c r="G59" s="448">
        <v>217500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54321149</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1448400</v>
      </c>
    </row>
    <row r="68" spans="1:7" ht="20.100000000000001" customHeight="1">
      <c r="A68" s="499" t="s">
        <v>327</v>
      </c>
      <c r="B68" s="184"/>
      <c r="C68" s="184"/>
      <c r="D68" s="184"/>
      <c r="E68" s="184"/>
      <c r="F68" s="189" t="s">
        <v>328</v>
      </c>
      <c r="G68" s="448">
        <v>2100000</v>
      </c>
    </row>
    <row r="69" spans="1:7" ht="20.100000000000001" customHeight="1">
      <c r="A69" s="499" t="s">
        <v>329</v>
      </c>
      <c r="B69" s="184"/>
      <c r="C69" s="184"/>
      <c r="D69" s="184"/>
      <c r="E69" s="184"/>
      <c r="F69" s="189" t="s">
        <v>330</v>
      </c>
      <c r="G69" s="448">
        <v>2000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3550400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76965923</v>
      </c>
    </row>
    <row r="76" spans="1:7" ht="20.100000000000001" customHeight="1">
      <c r="A76" s="499" t="s">
        <v>709</v>
      </c>
      <c r="B76" s="184"/>
      <c r="C76" s="184"/>
      <c r="D76" s="184"/>
      <c r="E76" s="184"/>
      <c r="F76" s="187">
        <v>42130</v>
      </c>
      <c r="G76" s="523">
        <v>2073253</v>
      </c>
    </row>
    <row r="77" spans="1:7" ht="20.100000000000001" customHeight="1">
      <c r="A77" s="501" t="s">
        <v>335</v>
      </c>
      <c r="B77" s="502"/>
      <c r="C77" s="502"/>
      <c r="D77" s="502"/>
      <c r="E77" s="502"/>
      <c r="F77" s="203" t="s">
        <v>336</v>
      </c>
      <c r="G77" s="524">
        <v>1764500</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v>700000</v>
      </c>
    </row>
    <row r="81" spans="1:10" ht="20.100000000000001" customHeight="1">
      <c r="A81" s="499" t="s">
        <v>342</v>
      </c>
      <c r="B81" s="184"/>
      <c r="C81" s="184"/>
      <c r="D81" s="184"/>
      <c r="E81" s="184"/>
      <c r="F81" s="189" t="s">
        <v>343</v>
      </c>
      <c r="G81" s="522">
        <f>'CHECK SHEET'!D86</f>
        <v>16754342</v>
      </c>
    </row>
    <row r="82" spans="1:10" ht="20.100000000000001" customHeight="1">
      <c r="A82" s="503" t="s">
        <v>344</v>
      </c>
      <c r="B82" s="504"/>
      <c r="C82" s="504"/>
      <c r="D82" s="504"/>
      <c r="E82" s="504"/>
      <c r="F82" s="202" t="s">
        <v>345</v>
      </c>
      <c r="G82" s="523">
        <v>-2073253</v>
      </c>
    </row>
    <row r="83" spans="1:10" ht="20.100000000000001" customHeight="1">
      <c r="A83" s="499" t="s">
        <v>346</v>
      </c>
      <c r="B83" s="184"/>
      <c r="C83" s="184"/>
      <c r="D83" s="184"/>
      <c r="E83" s="184"/>
      <c r="F83" s="189" t="s">
        <v>347</v>
      </c>
      <c r="G83" s="523">
        <v>50000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96234765</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70000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350000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420000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1149800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1149800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34000</v>
      </c>
    </row>
    <row r="111" spans="1:7" ht="20.100000000000001" customHeight="1">
      <c r="A111" s="499" t="s">
        <v>371</v>
      </c>
      <c r="B111" s="184"/>
      <c r="C111" s="184"/>
      <c r="D111" s="184"/>
      <c r="E111" s="184"/>
      <c r="F111" s="189" t="s">
        <v>372</v>
      </c>
      <c r="G111" s="449">
        <v>2197125</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2231125</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875000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2000</v>
      </c>
    </row>
    <row r="126" spans="1:7" ht="20.100000000000001" customHeight="1">
      <c r="A126" s="499" t="s">
        <v>388</v>
      </c>
      <c r="B126" s="184"/>
      <c r="C126" s="184"/>
      <c r="D126" s="184"/>
      <c r="E126" s="184"/>
      <c r="F126" s="189" t="s">
        <v>389</v>
      </c>
      <c r="G126" s="449">
        <v>26000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903000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711</v>
      </c>
      <c r="B133" s="184"/>
      <c r="C133" s="184"/>
      <c r="D133" s="508"/>
      <c r="E133" s="199"/>
      <c r="F133" s="1118">
        <v>49200</v>
      </c>
      <c r="G133" s="449">
        <f>11640000+1600000+7500000</f>
        <v>20740000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20740000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179550239</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3690000</v>
      </c>
    </row>
    <row r="147" spans="1:7" ht="20.100000000000001" customHeight="1">
      <c r="A147" s="499" t="s">
        <v>406</v>
      </c>
      <c r="F147" s="189" t="s">
        <v>407</v>
      </c>
      <c r="G147" s="453">
        <v>5100718</v>
      </c>
    </row>
    <row r="148" spans="1:7" ht="20.100000000000001" customHeight="1">
      <c r="A148" s="499" t="s">
        <v>408</v>
      </c>
      <c r="F148" s="189" t="s">
        <v>409</v>
      </c>
      <c r="G148" s="453">
        <v>2083420</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22377202</v>
      </c>
    </row>
    <row r="152" spans="1:7" ht="20.100000000000001" customHeight="1">
      <c r="A152" s="499" t="s">
        <v>416</v>
      </c>
      <c r="B152" s="184"/>
      <c r="C152" s="184"/>
      <c r="D152" s="184"/>
      <c r="E152" s="184"/>
      <c r="F152" s="189" t="s">
        <v>417</v>
      </c>
      <c r="G152" s="453">
        <v>2754400</v>
      </c>
    </row>
    <row r="153" spans="1:7" ht="20.100000000000001" customHeight="1">
      <c r="A153" s="499" t="s">
        <v>418</v>
      </c>
      <c r="B153" s="184"/>
      <c r="C153" s="184"/>
      <c r="D153" s="184"/>
      <c r="E153" s="184"/>
      <c r="F153" s="189" t="s">
        <v>419</v>
      </c>
      <c r="G153" s="453">
        <v>24417</v>
      </c>
    </row>
    <row r="154" spans="1:7" ht="20.100000000000001" customHeight="1">
      <c r="A154" s="499" t="s">
        <v>420</v>
      </c>
      <c r="B154" s="184"/>
      <c r="C154" s="184"/>
      <c r="D154" s="184"/>
      <c r="E154" s="184"/>
      <c r="F154" s="189" t="s">
        <v>421</v>
      </c>
      <c r="G154" s="453">
        <v>1881327</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19724949</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19081300</v>
      </c>
    </row>
    <row r="167" spans="1:7" ht="20.100000000000001" customHeight="1">
      <c r="A167" s="499" t="s">
        <v>445</v>
      </c>
      <c r="B167" s="184"/>
      <c r="C167" s="184"/>
      <c r="D167" s="184"/>
      <c r="E167" s="184"/>
      <c r="F167" s="189" t="s">
        <v>446</v>
      </c>
      <c r="G167" s="453">
        <v>416131</v>
      </c>
    </row>
    <row r="168" spans="1:7" ht="20.100000000000001" customHeight="1">
      <c r="A168" s="499" t="s">
        <v>447</v>
      </c>
      <c r="B168" s="184"/>
      <c r="C168" s="184"/>
      <c r="D168" s="184"/>
      <c r="E168" s="184"/>
      <c r="F168" s="189" t="s">
        <v>448</v>
      </c>
      <c r="G168" s="453">
        <v>22374</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7783585</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15340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8075</v>
      </c>
    </row>
    <row r="176" spans="1:7" ht="20.100000000000001" customHeight="1">
      <c r="A176" s="507" t="s">
        <v>460</v>
      </c>
      <c r="F176" s="207" t="s">
        <v>461</v>
      </c>
      <c r="G176" s="453">
        <v>566673</v>
      </c>
    </row>
    <row r="177" spans="1:7" ht="20.100000000000001" customHeight="1">
      <c r="A177" s="499" t="s">
        <v>462</v>
      </c>
      <c r="B177" s="184"/>
      <c r="C177" s="184"/>
      <c r="D177" s="184"/>
      <c r="E177" s="184"/>
      <c r="F177" s="189" t="s">
        <v>463</v>
      </c>
      <c r="G177" s="453">
        <v>1135338</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503662</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20800</v>
      </c>
    </row>
    <row r="184" spans="1:7" ht="20.100000000000001" customHeight="1">
      <c r="A184" s="499" t="s">
        <v>476</v>
      </c>
      <c r="B184" s="184"/>
      <c r="C184" s="184"/>
      <c r="D184" s="184"/>
      <c r="E184" s="184"/>
      <c r="F184" s="189" t="s">
        <v>477</v>
      </c>
      <c r="G184" s="453">
        <v>4839592</v>
      </c>
    </row>
    <row r="185" spans="1:7" ht="20.100000000000001" customHeight="1">
      <c r="A185" s="499" t="s">
        <v>478</v>
      </c>
      <c r="B185" s="184"/>
      <c r="C185" s="184"/>
      <c r="D185" s="184"/>
      <c r="E185" s="184"/>
      <c r="F185" s="189" t="s">
        <v>479</v>
      </c>
      <c r="G185" s="453">
        <v>8805233</v>
      </c>
    </row>
    <row r="186" spans="1:7" ht="20.100000000000001" customHeight="1">
      <c r="A186" s="499" t="s">
        <v>480</v>
      </c>
      <c r="B186" s="184"/>
      <c r="C186" s="184"/>
      <c r="D186" s="184"/>
      <c r="E186" s="184"/>
      <c r="F186" s="189" t="s">
        <v>481</v>
      </c>
      <c r="G186" s="453">
        <v>771000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16258524</v>
      </c>
    </row>
    <row r="191" spans="1:7" ht="20.100000000000001" customHeight="1">
      <c r="A191" s="499" t="s">
        <v>489</v>
      </c>
      <c r="B191" s="184"/>
      <c r="C191" s="184"/>
      <c r="D191" s="184"/>
      <c r="E191" s="184"/>
      <c r="F191" s="189" t="s">
        <v>490</v>
      </c>
      <c r="G191" s="453">
        <v>208194</v>
      </c>
    </row>
    <row r="192" spans="1:7" ht="20.100000000000001" customHeight="1">
      <c r="A192" s="499" t="s">
        <v>491</v>
      </c>
      <c r="B192" s="184"/>
      <c r="C192" s="184"/>
      <c r="D192" s="184"/>
      <c r="E192" s="184"/>
      <c r="F192" s="189" t="s">
        <v>492</v>
      </c>
      <c r="G192" s="453">
        <v>820787</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118893041</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872007</v>
      </c>
    </row>
    <row r="199" spans="1:7" ht="20.100000000000001" customHeight="1">
      <c r="A199" s="499" t="s">
        <v>497</v>
      </c>
      <c r="B199" s="184"/>
      <c r="C199" s="184"/>
      <c r="D199" s="184"/>
      <c r="E199" s="184"/>
      <c r="F199" s="189" t="s">
        <v>498</v>
      </c>
      <c r="G199" s="453">
        <v>227750</v>
      </c>
    </row>
    <row r="200" spans="1:7" ht="20.100000000000001" customHeight="1">
      <c r="A200" s="499" t="s">
        <v>499</v>
      </c>
      <c r="B200" s="184"/>
      <c r="C200" s="184"/>
      <c r="D200" s="184"/>
      <c r="E200" s="184"/>
      <c r="F200" s="189" t="s">
        <v>500</v>
      </c>
      <c r="G200" s="453">
        <v>838346</v>
      </c>
    </row>
    <row r="201" spans="1:7" ht="20.100000000000001" customHeight="1">
      <c r="A201" s="499" t="s">
        <v>501</v>
      </c>
      <c r="B201" s="184"/>
      <c r="C201" s="184"/>
      <c r="D201" s="184"/>
      <c r="E201" s="184"/>
      <c r="F201" s="189" t="s">
        <v>502</v>
      </c>
      <c r="G201" s="453">
        <v>379532</v>
      </c>
    </row>
    <row r="202" spans="1:7" ht="20.100000000000001" customHeight="1">
      <c r="A202" s="499" t="s">
        <v>503</v>
      </c>
      <c r="B202" s="184"/>
      <c r="C202" s="184"/>
      <c r="D202" s="184"/>
      <c r="E202" s="184"/>
      <c r="F202" s="189" t="s">
        <v>504</v>
      </c>
      <c r="G202" s="453">
        <v>1351491</v>
      </c>
    </row>
    <row r="203" spans="1:7" ht="20.100000000000001" customHeight="1">
      <c r="A203" s="499" t="s">
        <v>505</v>
      </c>
      <c r="B203" s="184"/>
      <c r="C203" s="184"/>
      <c r="D203" s="184"/>
      <c r="E203" s="184"/>
      <c r="F203" s="189" t="s">
        <v>506</v>
      </c>
      <c r="G203" s="453">
        <v>273825</v>
      </c>
    </row>
    <row r="204" spans="1:7" ht="20.100000000000001" customHeight="1">
      <c r="A204" s="499" t="s">
        <v>697</v>
      </c>
      <c r="B204" s="184"/>
      <c r="C204" s="184"/>
      <c r="D204" s="184"/>
      <c r="E204" s="184"/>
      <c r="F204" s="1028">
        <v>63100</v>
      </c>
      <c r="G204" s="453">
        <v>9373</v>
      </c>
    </row>
    <row r="205" spans="1:7" ht="20.100000000000001" customHeight="1">
      <c r="A205" s="499" t="s">
        <v>507</v>
      </c>
      <c r="B205" s="184"/>
      <c r="C205" s="184"/>
      <c r="D205" s="184"/>
      <c r="E205" s="184"/>
      <c r="F205" s="189" t="s">
        <v>508</v>
      </c>
      <c r="G205" s="453">
        <v>2921673</v>
      </c>
    </row>
    <row r="206" spans="1:7" ht="20.100000000000001" customHeight="1">
      <c r="A206" s="499" t="s">
        <v>509</v>
      </c>
      <c r="B206" s="184"/>
      <c r="C206" s="184"/>
      <c r="D206" s="184"/>
      <c r="E206" s="184"/>
      <c r="F206" s="189" t="s">
        <v>510</v>
      </c>
      <c r="G206" s="453">
        <v>5461199</v>
      </c>
    </row>
    <row r="207" spans="1:7" ht="20.100000000000001" customHeight="1">
      <c r="A207" s="499" t="s">
        <v>511</v>
      </c>
      <c r="B207" s="184"/>
      <c r="C207" s="184"/>
      <c r="D207" s="184"/>
      <c r="E207" s="184"/>
      <c r="F207" s="189" t="s">
        <v>512</v>
      </c>
      <c r="G207" s="453">
        <v>4235832</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4629456</v>
      </c>
    </row>
    <row r="211" spans="1:9" ht="20.100000000000001" customHeight="1">
      <c r="A211" s="499" t="s">
        <v>518</v>
      </c>
      <c r="B211" s="184"/>
      <c r="C211" s="184"/>
      <c r="D211" s="184"/>
      <c r="E211" s="184"/>
      <c r="F211" s="189" t="s">
        <v>519</v>
      </c>
      <c r="G211" s="453">
        <v>1688030</v>
      </c>
    </row>
    <row r="212" spans="1:9" ht="20.100000000000001" customHeight="1">
      <c r="A212" s="499" t="s">
        <v>520</v>
      </c>
      <c r="F212" s="207" t="s">
        <v>521</v>
      </c>
      <c r="G212" s="453">
        <v>5145509</v>
      </c>
    </row>
    <row r="213" spans="1:9" ht="20.100000000000001" customHeight="1">
      <c r="A213" s="499" t="s">
        <v>522</v>
      </c>
      <c r="B213" s="184"/>
      <c r="C213" s="184"/>
      <c r="D213" s="184"/>
      <c r="E213" s="184"/>
      <c r="F213" s="189" t="s">
        <v>523</v>
      </c>
      <c r="G213" s="453">
        <v>883235</v>
      </c>
    </row>
    <row r="214" spans="1:9" ht="20.100000000000001" customHeight="1">
      <c r="A214" s="499" t="s">
        <v>524</v>
      </c>
      <c r="B214" s="184"/>
      <c r="C214" s="184"/>
      <c r="D214" s="184"/>
      <c r="E214" s="184"/>
      <c r="F214" s="189" t="s">
        <v>525</v>
      </c>
      <c r="G214" s="453">
        <v>1223196</v>
      </c>
    </row>
    <row r="215" spans="1:9" ht="20.100000000000001" customHeight="1">
      <c r="A215" s="499" t="s">
        <v>526</v>
      </c>
      <c r="B215" s="184"/>
      <c r="C215" s="184"/>
      <c r="D215" s="184"/>
      <c r="E215" s="184"/>
      <c r="F215" s="189" t="s">
        <v>527</v>
      </c>
      <c r="G215" s="453">
        <v>320200</v>
      </c>
    </row>
    <row r="216" spans="1:9" ht="20.100000000000001" customHeight="1">
      <c r="A216" s="499" t="s">
        <v>528</v>
      </c>
      <c r="B216" s="184"/>
      <c r="C216" s="184"/>
      <c r="D216" s="184"/>
      <c r="E216" s="184"/>
      <c r="F216" s="205" t="s">
        <v>529</v>
      </c>
      <c r="G216" s="453">
        <v>16825</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2347215</v>
      </c>
    </row>
    <row r="220" spans="1:9" ht="20.100000000000001" customHeight="1">
      <c r="A220" s="499" t="s">
        <v>536</v>
      </c>
      <c r="B220" s="184"/>
      <c r="C220" s="184"/>
      <c r="D220" s="184"/>
      <c r="E220" s="184"/>
      <c r="F220" s="189" t="s">
        <v>537</v>
      </c>
      <c r="G220" s="453">
        <v>21817.5</v>
      </c>
    </row>
    <row r="221" spans="1:9" ht="20.100000000000001" customHeight="1">
      <c r="A221" s="499" t="s">
        <v>538</v>
      </c>
      <c r="B221" s="184"/>
      <c r="C221" s="184"/>
      <c r="D221" s="184"/>
      <c r="E221" s="184"/>
      <c r="F221" s="189" t="s">
        <v>539</v>
      </c>
      <c r="G221" s="453"/>
    </row>
    <row r="222" spans="1:9" ht="20.100000000000001" customHeight="1">
      <c r="A222" s="510" t="s">
        <v>712</v>
      </c>
      <c r="B222" s="184"/>
      <c r="C222" s="184"/>
      <c r="D222" s="213"/>
      <c r="E222" s="184"/>
      <c r="F222" s="1120">
        <v>69100</v>
      </c>
      <c r="G222" s="453">
        <v>445500</v>
      </c>
    </row>
    <row r="223" spans="1:9" ht="20.100000000000001" customHeight="1">
      <c r="A223" s="510" t="s">
        <v>713</v>
      </c>
      <c r="B223" s="214"/>
      <c r="C223" s="214"/>
      <c r="D223" s="215"/>
      <c r="E223" s="214"/>
      <c r="F223" s="1119">
        <v>69200</v>
      </c>
      <c r="G223" s="453">
        <v>17133500</v>
      </c>
    </row>
    <row r="224" spans="1:9" ht="20.100000000000001" customHeight="1">
      <c r="A224" s="499" t="s">
        <v>540</v>
      </c>
      <c r="B224" s="184"/>
      <c r="C224" s="184"/>
      <c r="D224" s="184"/>
      <c r="E224" s="184"/>
      <c r="F224" s="189" t="s">
        <v>541</v>
      </c>
      <c r="G224" s="453">
        <v>508831.5</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8620940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59555283</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1101915</v>
      </c>
    </row>
    <row r="233" spans="1:7" ht="20.100000000000001" customHeight="1">
      <c r="A233" s="499" t="s">
        <v>549</v>
      </c>
      <c r="B233" s="184"/>
      <c r="C233" s="184"/>
      <c r="D233" s="184"/>
      <c r="E233" s="184"/>
      <c r="F233" s="189" t="s">
        <v>550</v>
      </c>
      <c r="G233" s="453">
        <v>0</v>
      </c>
    </row>
    <row r="234" spans="1:7" ht="20.100000000000001" customHeight="1">
      <c r="A234" s="499" t="s">
        <v>551</v>
      </c>
      <c r="B234" s="184"/>
      <c r="C234" s="184"/>
      <c r="D234" s="184"/>
      <c r="E234" s="184"/>
      <c r="F234" s="189" t="s">
        <v>552</v>
      </c>
      <c r="G234" s="453">
        <v>0</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1101915</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179550239</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1910320</v>
      </c>
    </row>
    <row r="256" spans="1:7" ht="20.100000000000001" customHeight="1">
      <c r="A256" s="499" t="s">
        <v>572</v>
      </c>
      <c r="B256" s="184"/>
      <c r="C256" s="184"/>
      <c r="D256" s="184"/>
      <c r="E256" s="184"/>
      <c r="F256" s="201">
        <v>30500</v>
      </c>
      <c r="G256" s="453">
        <v>257180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63132655</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65300155</v>
      </c>
    </row>
    <row r="263" spans="1:12" ht="20.100000000000001" customHeight="1">
      <c r="A263" s="500"/>
      <c r="B263" s="184"/>
      <c r="C263" s="184"/>
      <c r="D263" s="184"/>
      <c r="E263" s="184"/>
      <c r="F263" s="201"/>
      <c r="G263" s="217"/>
    </row>
    <row r="264" spans="1:12" ht="20.100000000000001" customHeight="1" thickBot="1">
      <c r="A264" s="511" t="s">
        <v>703</v>
      </c>
      <c r="F264" s="207">
        <v>30800</v>
      </c>
      <c r="G264" s="454">
        <v>-114194608</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-48894453</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2023-08-09T20:29:22Z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ies>
</file>