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codeName="ThisWorkbook" autoCompressPictures="0"/>
  <mc:AlternateContent xmlns:mc="http://schemas.openxmlformats.org/markup-compatibility/2006">
    <mc:Choice Requires="x15">
      <x15ac:absPath xmlns:x15ac="http://schemas.microsoft.com/office/spreadsheetml/2010/11/ac" url="J:\Finance\FCS Finance Website\2023-24 Reports\Operating Budgets\"/>
    </mc:Choice>
  </mc:AlternateContent>
  <xr:revisionPtr revIDLastSave="0" documentId="13_ncr:1_{1D289EBF-CE69-4AAF-991B-F71B55D67949}" xr6:coauthVersionLast="47" xr6:coauthVersionMax="47" xr10:uidLastSave="{00000000-0000-0000-0000-000000000000}"/>
  <bookViews>
    <workbookView xWindow="-120" yWindow="-120" windowWidth="29040" windowHeight="15840" tabRatio="769" firstSheet="3" activeTab="3" xr2:uid="{00000000-000D-0000-FFFF-FFFF00000000}"/>
  </bookViews>
  <sheets>
    <sheet name="SUMMARY OF CHANGES" sheetId="10" state="hidden" r:id="rId1"/>
    <sheet name="OPB WORKBOOK INSTRUCTIONS" sheetId="25" state="hidden"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G'!$C$117:$C$129</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D'!$A$1:$G$266</definedName>
    <definedName name="_xlnm.Print_Area" localSheetId="9">'EXHIBIT E'!$A$1:$E$21</definedName>
    <definedName name="_xlnm.Print_Area" localSheetId="10">'EXHIBIT F'!$A$1:$B$50</definedName>
    <definedName name="_xlnm.Print_Area" localSheetId="11">'EXHIBIT G'!$A$1:$F$137</definedName>
    <definedName name="_xlnm.Print_Area" localSheetId="12">'FEE AUDIT - TUITION AND FEES'!$A$1:$E$81</definedName>
    <definedName name="_xlnm.Print_Area" localSheetId="0">'SUMMARY OF CHANGES'!$A$1:$E$20</definedName>
    <definedName name="_xlnm.Print_Area" localSheetId="2">VLOOKUP!$A$1:$AG$144</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D'!$A$2:$H$270</definedName>
    <definedName name="Z_8CA1AA3C_D3A6_493D_93EE_74DE1406A5FE_.wvu.PrintArea" localSheetId="9" hidden="1">'EXHIBIT E'!$A$1:$F$23</definedName>
    <definedName name="Z_8CA1AA3C_D3A6_493D_93EE_74DE1406A5FE_.wvu.PrintArea" localSheetId="11" hidden="1">'EXHIBIT G'!$A$1:$E$123</definedName>
    <definedName name="Z_8CA1AA3C_D3A6_493D_93EE_74DE1406A5FE_.wvu.PrintArea" localSheetId="0" hidden="1">'SUMMARY OF CHANGES'!#REF!</definedName>
  </definedNames>
  <calcPr calcId="191028"/>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92" i="7" l="1"/>
  <c r="G190" i="7"/>
  <c r="B10" i="8" l="1"/>
  <c r="B18" i="8"/>
  <c r="B17" i="8"/>
  <c r="B16" i="8"/>
  <c r="B14" i="8"/>
  <c r="C18" i="8"/>
  <c r="G206" i="7"/>
  <c r="G77" i="7"/>
  <c r="G184" i="7"/>
  <c r="E13" i="6"/>
  <c r="G161" i="7"/>
  <c r="G151" i="7"/>
  <c r="E26" i="4"/>
  <c r="E19" i="4"/>
  <c r="G14" i="5" l="1"/>
  <c r="B29" i="23" l="1"/>
  <c r="B34" i="23"/>
  <c r="B33" i="23"/>
  <c r="B32" i="23"/>
  <c r="B31" i="23"/>
  <c r="B30" i="23"/>
  <c r="B28" i="23"/>
  <c r="B27" i="23"/>
  <c r="B26" i="23"/>
  <c r="B25" i="23"/>
  <c r="B24" i="23"/>
  <c r="B23" i="23"/>
  <c r="B22" i="23"/>
  <c r="B21" i="23"/>
  <c r="B20" i="23"/>
  <c r="B19" i="23"/>
  <c r="B18" i="23"/>
  <c r="B17" i="23"/>
  <c r="B16" i="23" l="1"/>
  <c r="D16" i="23" s="1"/>
  <c r="B15" i="23"/>
  <c r="D15" i="23" s="1"/>
  <c r="B14" i="23"/>
  <c r="D14" i="23" s="1"/>
  <c r="B8" i="23"/>
  <c r="B13" i="23"/>
  <c r="D13" i="23"/>
  <c r="B12" i="23"/>
  <c r="D12" i="23" s="1"/>
  <c r="B11" i="23"/>
  <c r="D11" i="23" s="1"/>
  <c r="B10" i="23"/>
  <c r="D10" i="23" s="1"/>
  <c r="B9" i="23"/>
  <c r="D8" i="23"/>
  <c r="B7" i="23"/>
  <c r="D7" i="23"/>
  <c r="D9" i="23"/>
  <c r="D17" i="23"/>
  <c r="D18" i="23"/>
  <c r="D19" i="23"/>
  <c r="D20" i="23"/>
  <c r="D21" i="23"/>
  <c r="D22" i="23"/>
  <c r="D23" i="23"/>
  <c r="D24" i="23"/>
  <c r="D25" i="23"/>
  <c r="D26" i="23"/>
  <c r="D27" i="23"/>
  <c r="D28" i="23"/>
  <c r="D29" i="23"/>
  <c r="D30" i="23"/>
  <c r="D31" i="23"/>
  <c r="D32" i="23"/>
  <c r="D33" i="23"/>
  <c r="D34" i="23"/>
  <c r="E51" i="23" l="1"/>
  <c r="B35" i="23" l="1"/>
  <c r="AO113" i="23" l="1"/>
  <c r="D87" i="3" l="1"/>
  <c r="B215" i="23"/>
  <c r="D85" i="3"/>
  <c r="B180" i="23" l="1"/>
  <c r="E11" i="8" l="1"/>
  <c r="E87" i="3" l="1"/>
  <c r="F87" i="3" s="1"/>
  <c r="C56" i="23" l="1"/>
  <c r="E44" i="23"/>
  <c r="E45" i="23"/>
  <c r="E46" i="23"/>
  <c r="E48" i="23"/>
  <c r="E49" i="23"/>
  <c r="E50" i="23"/>
  <c r="E52" i="23"/>
  <c r="E53" i="23"/>
  <c r="E54" i="23"/>
  <c r="E55" i="23"/>
  <c r="D56" i="23"/>
  <c r="F106" i="15" l="1"/>
  <c r="F104" i="15"/>
  <c r="F103" i="15"/>
  <c r="F13" i="6" l="1"/>
  <c r="S111" i="23" l="1"/>
  <c r="V111" i="23"/>
  <c r="AG111" i="23"/>
  <c r="AB111" i="23" s="1"/>
  <c r="Z111" i="23" s="1"/>
  <c r="G10" i="6" l="1"/>
  <c r="G11" i="6"/>
  <c r="G12" i="6"/>
  <c r="G13" i="6"/>
  <c r="G14" i="6"/>
  <c r="G15" i="6"/>
  <c r="F32" i="6"/>
  <c r="G32" i="6"/>
  <c r="H32" i="6"/>
  <c r="G30" i="7" s="1"/>
  <c r="F33" i="6"/>
  <c r="G33" i="6"/>
  <c r="H33" i="6" s="1"/>
  <c r="F34" i="6"/>
  <c r="G34" i="6"/>
  <c r="H34" i="6"/>
  <c r="G32" i="7"/>
  <c r="F35" i="6"/>
  <c r="G35" i="6"/>
  <c r="E19" i="6"/>
  <c r="F19" i="6" s="1"/>
  <c r="G21" i="7" s="1"/>
  <c r="E20" i="6"/>
  <c r="F20" i="6"/>
  <c r="G22" i="7" s="1"/>
  <c r="E21" i="6"/>
  <c r="F21" i="6"/>
  <c r="G23" i="7" s="1"/>
  <c r="E22" i="6"/>
  <c r="F22" i="6" s="1"/>
  <c r="G24" i="7" s="1"/>
  <c r="E23" i="6"/>
  <c r="F23" i="6" s="1"/>
  <c r="G25" i="7" s="1"/>
  <c r="E24" i="6"/>
  <c r="F24" i="6"/>
  <c r="G26" i="7" s="1"/>
  <c r="B34" i="5"/>
  <c r="E39" i="6" s="1"/>
  <c r="F39" i="6" s="1"/>
  <c r="G37" i="7" s="1"/>
  <c r="B35" i="5"/>
  <c r="E40" i="6" s="1"/>
  <c r="F40" i="6" s="1"/>
  <c r="B37" i="5"/>
  <c r="E41" i="6"/>
  <c r="F41" i="6"/>
  <c r="G39" i="7"/>
  <c r="B38" i="5"/>
  <c r="E42" i="6"/>
  <c r="F42" i="6"/>
  <c r="G40" i="7" s="1"/>
  <c r="G71" i="7"/>
  <c r="D84" i="3"/>
  <c r="G96" i="7"/>
  <c r="G105" i="7"/>
  <c r="G115" i="7"/>
  <c r="G119" i="7"/>
  <c r="G128" i="7"/>
  <c r="G140" i="7"/>
  <c r="C74" i="23"/>
  <c r="D74" i="23" s="1"/>
  <c r="E74" i="23" s="1"/>
  <c r="F74" i="23" s="1"/>
  <c r="A111" i="23"/>
  <c r="AD111" i="23" s="1"/>
  <c r="A112" i="23"/>
  <c r="A113" i="23"/>
  <c r="AD113" i="23" s="1"/>
  <c r="A114" i="23"/>
  <c r="AD114" i="23" s="1"/>
  <c r="D111" i="23"/>
  <c r="G111" i="23"/>
  <c r="J111" i="23"/>
  <c r="M111" i="23"/>
  <c r="P111" i="23"/>
  <c r="D112" i="23"/>
  <c r="G112" i="23"/>
  <c r="J112" i="23"/>
  <c r="M112" i="23"/>
  <c r="P112" i="23"/>
  <c r="S112" i="23"/>
  <c r="D113" i="23"/>
  <c r="G113" i="23"/>
  <c r="J113" i="23"/>
  <c r="M113" i="23"/>
  <c r="P113" i="23"/>
  <c r="S113" i="23"/>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B139" i="23"/>
  <c r="E139" i="23"/>
  <c r="F139" i="23"/>
  <c r="H139" i="23"/>
  <c r="I139" i="23"/>
  <c r="K139" i="23"/>
  <c r="L139" i="23"/>
  <c r="N139" i="23"/>
  <c r="O139" i="23"/>
  <c r="Q139" i="23"/>
  <c r="R139" i="23"/>
  <c r="E43" i="23"/>
  <c r="E56" i="23" s="1"/>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C108" i="3"/>
  <c r="C112" i="3"/>
  <c r="E40" i="3"/>
  <c r="E55" i="3" s="1"/>
  <c r="B64" i="23"/>
  <c r="A53" i="23"/>
  <c r="A45" i="23"/>
  <c r="A43" i="23"/>
  <c r="A63" i="23"/>
  <c r="E30" i="5"/>
  <c r="E29" i="5"/>
  <c r="AE139" i="23"/>
  <c r="A76" i="23"/>
  <c r="C61" i="15"/>
  <c r="A69" i="23"/>
  <c r="C78" i="23"/>
  <c r="D78" i="23" s="1"/>
  <c r="E78" i="23" s="1"/>
  <c r="F78" i="23" s="1"/>
  <c r="A96" i="23"/>
  <c r="A95" i="23"/>
  <c r="A94" i="23"/>
  <c r="A93" i="23"/>
  <c r="A92" i="23"/>
  <c r="A91" i="23"/>
  <c r="A90" i="23"/>
  <c r="A89" i="23"/>
  <c r="A88" i="23"/>
  <c r="A87" i="23"/>
  <c r="A86" i="23"/>
  <c r="A85" i="23"/>
  <c r="A84" i="23"/>
  <c r="A83" i="23"/>
  <c r="A82" i="23"/>
  <c r="A81" i="23"/>
  <c r="A80" i="23"/>
  <c r="A79" i="23"/>
  <c r="A78" i="23"/>
  <c r="A77" i="23"/>
  <c r="A75" i="23"/>
  <c r="A74" i="23"/>
  <c r="A73" i="23"/>
  <c r="A72" i="23"/>
  <c r="A71" i="23"/>
  <c r="A70" i="23"/>
  <c r="A38" i="5"/>
  <c r="A37" i="5"/>
  <c r="A35" i="5"/>
  <c r="A34" i="5"/>
  <c r="A31" i="5"/>
  <c r="A30" i="5"/>
  <c r="A29" i="5"/>
  <c r="B3" i="8"/>
  <c r="A28" i="18"/>
  <c r="A25" i="18"/>
  <c r="A22" i="18"/>
  <c r="A19" i="18"/>
  <c r="A16" i="18"/>
  <c r="A13" i="18"/>
  <c r="A10" i="18"/>
  <c r="E77" i="22"/>
  <c r="D77" i="22"/>
  <c r="D55" i="3"/>
  <c r="AD120" i="23"/>
  <c r="D86" i="3"/>
  <c r="G81" i="7" s="1"/>
  <c r="E86" i="3" s="1"/>
  <c r="C35" i="23"/>
  <c r="E85" i="3"/>
  <c r="F85" i="3" s="1"/>
  <c r="B97" i="23"/>
  <c r="C69" i="23"/>
  <c r="D69" i="23" s="1"/>
  <c r="C70" i="23"/>
  <c r="D70" i="23" s="1"/>
  <c r="E70" i="23" s="1"/>
  <c r="F70" i="23" s="1"/>
  <c r="C71" i="23"/>
  <c r="D71" i="23" s="1"/>
  <c r="E71" i="23" s="1"/>
  <c r="F71" i="23" s="1"/>
  <c r="C72" i="23"/>
  <c r="D72" i="23" s="1"/>
  <c r="E72" i="23" s="1"/>
  <c r="F72" i="23" s="1"/>
  <c r="C73" i="23"/>
  <c r="D73" i="23" s="1"/>
  <c r="E73" i="23" s="1"/>
  <c r="F73" i="23" s="1"/>
  <c r="C75" i="23"/>
  <c r="D75" i="23" s="1"/>
  <c r="E75" i="23" s="1"/>
  <c r="F75" i="23" s="1"/>
  <c r="C76" i="23"/>
  <c r="D76" i="23" s="1"/>
  <c r="E76" i="23" s="1"/>
  <c r="F76" i="23" s="1"/>
  <c r="C77" i="23"/>
  <c r="D77" i="23" s="1"/>
  <c r="E77" i="23" s="1"/>
  <c r="F77" i="23" s="1"/>
  <c r="C79" i="23"/>
  <c r="D79" i="23" s="1"/>
  <c r="E79" i="23" s="1"/>
  <c r="F79" i="23" s="1"/>
  <c r="C80" i="23"/>
  <c r="C81" i="23"/>
  <c r="D81" i="23" s="1"/>
  <c r="E81" i="23" s="1"/>
  <c r="C82" i="23"/>
  <c r="D82" i="23" s="1"/>
  <c r="E82" i="23" s="1"/>
  <c r="F82" i="23" s="1"/>
  <c r="C83" i="23"/>
  <c r="D83" i="23" s="1"/>
  <c r="E83" i="23" s="1"/>
  <c r="C84" i="23"/>
  <c r="D84" i="23" s="1"/>
  <c r="E84" i="23" s="1"/>
  <c r="F84" i="23" s="1"/>
  <c r="C85" i="23"/>
  <c r="D85" i="23" s="1"/>
  <c r="E85" i="23" s="1"/>
  <c r="C86" i="23"/>
  <c r="D86" i="23" s="1"/>
  <c r="E86" i="23" s="1"/>
  <c r="F86" i="23" s="1"/>
  <c r="C87" i="23"/>
  <c r="D87" i="23" s="1"/>
  <c r="E87" i="23" s="1"/>
  <c r="F87" i="23" s="1"/>
  <c r="C88" i="23"/>
  <c r="D88" i="23" s="1"/>
  <c r="E88" i="23" s="1"/>
  <c r="C89" i="23"/>
  <c r="D89" i="23" s="1"/>
  <c r="E89" i="23" s="1"/>
  <c r="C90" i="23"/>
  <c r="D90" i="23" s="1"/>
  <c r="E90" i="23" s="1"/>
  <c r="F90" i="23" s="1"/>
  <c r="C91" i="23"/>
  <c r="D91" i="23" s="1"/>
  <c r="E91" i="23" s="1"/>
  <c r="F91" i="23" s="1"/>
  <c r="C92" i="23"/>
  <c r="D92" i="23" s="1"/>
  <c r="E92" i="23" s="1"/>
  <c r="F92" i="23" s="1"/>
  <c r="C93" i="23"/>
  <c r="D93" i="23" s="1"/>
  <c r="E93" i="23" s="1"/>
  <c r="C94" i="23"/>
  <c r="D94" i="23" s="1"/>
  <c r="E94" i="23" s="1"/>
  <c r="F94" i="23" s="1"/>
  <c r="C95" i="23"/>
  <c r="D95" i="23" s="1"/>
  <c r="E95" i="23" s="1"/>
  <c r="C96" i="23"/>
  <c r="D96" i="23" s="1"/>
  <c r="E96" i="23" s="1"/>
  <c r="C96" i="15"/>
  <c r="B1" i="15"/>
  <c r="B2" i="7"/>
  <c r="B7" i="12"/>
  <c r="B5" i="6"/>
  <c r="D8" i="5"/>
  <c r="E40" i="4"/>
  <c r="C101" i="3" s="1"/>
  <c r="C8" i="4"/>
  <c r="AF139" i="23"/>
  <c r="AA139" i="23"/>
  <c r="W139" i="23"/>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H35" i="5"/>
  <c r="I35" i="5"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D93" i="15"/>
  <c r="E93" i="15"/>
  <c r="F98" i="15"/>
  <c r="F99" i="15"/>
  <c r="F100" i="15"/>
  <c r="F101" i="15"/>
  <c r="F102" i="15"/>
  <c r="F105" i="15"/>
  <c r="F107" i="15"/>
  <c r="F108" i="15"/>
  <c r="F109" i="15"/>
  <c r="F110" i="15"/>
  <c r="D111" i="15"/>
  <c r="E111" i="15"/>
  <c r="F120" i="15"/>
  <c r="F121" i="15"/>
  <c r="F122" i="15"/>
  <c r="F123" i="15"/>
  <c r="F124" i="15"/>
  <c r="F125" i="15"/>
  <c r="F126" i="15"/>
  <c r="F127" i="15"/>
  <c r="F128" i="15"/>
  <c r="E129" i="15"/>
  <c r="B53" i="22"/>
  <c r="D75" i="22"/>
  <c r="E75" i="22"/>
  <c r="E65" i="22"/>
  <c r="E66" i="22"/>
  <c r="D65" i="22"/>
  <c r="D67" i="22"/>
  <c r="D59" i="22"/>
  <c r="D60" i="22"/>
  <c r="D62" i="22"/>
  <c r="B52" i="22"/>
  <c r="E33" i="22"/>
  <c r="E34" i="22"/>
  <c r="D33" i="22"/>
  <c r="D34" i="22"/>
  <c r="D26" i="22"/>
  <c r="D38" i="22"/>
  <c r="C38" i="22"/>
  <c r="E15" i="22"/>
  <c r="D15" i="22"/>
  <c r="B46" i="22"/>
  <c r="E26" i="22"/>
  <c r="E59" i="22"/>
  <c r="E61" i="22"/>
  <c r="E38" i="22"/>
  <c r="B29" i="5"/>
  <c r="H14" i="5"/>
  <c r="G246" i="7"/>
  <c r="E15" i="8"/>
  <c r="E36" i="6"/>
  <c r="D36" i="6"/>
  <c r="D43" i="6"/>
  <c r="D26" i="6"/>
  <c r="E17" i="6"/>
  <c r="G20" i="5"/>
  <c r="H20" i="5" s="1"/>
  <c r="G19" i="5"/>
  <c r="H19" i="5"/>
  <c r="G22" i="5"/>
  <c r="H22" i="5"/>
  <c r="G23" i="5"/>
  <c r="H23" i="5"/>
  <c r="E20" i="12"/>
  <c r="E29" i="12"/>
  <c r="E30" i="12"/>
  <c r="G194" i="7"/>
  <c r="D21" i="8"/>
  <c r="E59" i="3"/>
  <c r="C94" i="12"/>
  <c r="B31" i="5"/>
  <c r="H31" i="5"/>
  <c r="I31" i="5" s="1"/>
  <c r="B30" i="5"/>
  <c r="H30" i="5" s="1"/>
  <c r="I30" i="5" s="1"/>
  <c r="G16" i="5"/>
  <c r="H16" i="5" s="1"/>
  <c r="G15" i="5"/>
  <c r="H15" i="5" s="1"/>
  <c r="D96" i="8"/>
  <c r="C96" i="8"/>
  <c r="B69" i="6"/>
  <c r="C75" i="3" s="1"/>
  <c r="E60" i="3"/>
  <c r="E61" i="3"/>
  <c r="E62" i="3"/>
  <c r="E63" i="3"/>
  <c r="E64" i="3"/>
  <c r="B21" i="8"/>
  <c r="C21" i="8"/>
  <c r="E10" i="8"/>
  <c r="E12" i="8"/>
  <c r="E16" i="8"/>
  <c r="E17" i="8"/>
  <c r="E18" i="8"/>
  <c r="E19" i="8"/>
  <c r="E20" i="8"/>
  <c r="E36" i="4"/>
  <c r="C109" i="3" s="1"/>
  <c r="D33" i="4"/>
  <c r="B60" i="6"/>
  <c r="C78" i="3" s="1"/>
  <c r="C77" i="3"/>
  <c r="E16" i="4"/>
  <c r="G262" i="7"/>
  <c r="G266" i="7" s="1"/>
  <c r="C102" i="3" s="1"/>
  <c r="E67" i="22"/>
  <c r="D61" i="22"/>
  <c r="E14" i="8"/>
  <c r="G228" i="7"/>
  <c r="X139" i="23"/>
  <c r="E60" i="22"/>
  <c r="F36" i="6"/>
  <c r="E70" i="22"/>
  <c r="E69" i="22"/>
  <c r="E68" i="22"/>
  <c r="D66" i="22"/>
  <c r="D68" i="22"/>
  <c r="H35" i="6"/>
  <c r="G33" i="7" s="1"/>
  <c r="H34" i="5"/>
  <c r="I34" i="5" s="1"/>
  <c r="E62" i="22"/>
  <c r="H38" i="5"/>
  <c r="I38" i="5"/>
  <c r="B70" i="6"/>
  <c r="D69" i="22"/>
  <c r="H37" i="5"/>
  <c r="I37" i="5"/>
  <c r="D70" i="22"/>
  <c r="D17" i="6"/>
  <c r="F12" i="6"/>
  <c r="E46" i="3" s="1"/>
  <c r="F11" i="6"/>
  <c r="E45" i="3" s="1"/>
  <c r="F14" i="6"/>
  <c r="E48" i="3" s="1"/>
  <c r="H13" i="6"/>
  <c r="G15" i="7" s="1"/>
  <c r="F15" i="6"/>
  <c r="E49" i="3"/>
  <c r="F10" i="6"/>
  <c r="E44" i="3" s="1"/>
  <c r="E47" i="3"/>
  <c r="H15" i="6"/>
  <c r="G17" i="7"/>
  <c r="C74" i="3" l="1"/>
  <c r="H14" i="6"/>
  <c r="G16" i="7" s="1"/>
  <c r="H12" i="6"/>
  <c r="G14" i="7" s="1"/>
  <c r="H11" i="6"/>
  <c r="G13" i="7" s="1"/>
  <c r="H10" i="6"/>
  <c r="D118" i="15" s="1"/>
  <c r="C126" i="3" s="1"/>
  <c r="F17" i="6"/>
  <c r="E50" i="3" s="1"/>
  <c r="G38" i="7"/>
  <c r="F43" i="6"/>
  <c r="G31" i="7"/>
  <c r="G35" i="7" s="1"/>
  <c r="H36" i="6"/>
  <c r="H44" i="6" s="1"/>
  <c r="E21" i="8"/>
  <c r="C93" i="3"/>
  <c r="C95" i="3"/>
  <c r="H29" i="5"/>
  <c r="I29" i="5" s="1"/>
  <c r="E65" i="3"/>
  <c r="G75" i="7"/>
  <c r="G85" i="7" s="1"/>
  <c r="D88" i="3"/>
  <c r="F111" i="15"/>
  <c r="G248" i="7"/>
  <c r="T111" i="23"/>
  <c r="C94" i="3"/>
  <c r="C103" i="3"/>
  <c r="G28" i="7"/>
  <c r="G42" i="7"/>
  <c r="F26" i="6"/>
  <c r="D119" i="15"/>
  <c r="C110" i="3"/>
  <c r="C114" i="3" s="1"/>
  <c r="E113" i="15"/>
  <c r="E131" i="15" s="1"/>
  <c r="F93" i="15"/>
  <c r="D113" i="15"/>
  <c r="F57" i="15"/>
  <c r="T135" i="23"/>
  <c r="T120" i="23"/>
  <c r="T113" i="23"/>
  <c r="T137" i="23"/>
  <c r="J139" i="23"/>
  <c r="T131" i="23"/>
  <c r="T130" i="23"/>
  <c r="T136" i="23"/>
  <c r="T126" i="23"/>
  <c r="T124" i="23"/>
  <c r="T119" i="23"/>
  <c r="F88" i="23"/>
  <c r="T123" i="23"/>
  <c r="M139" i="23"/>
  <c r="G139" i="23"/>
  <c r="S139" i="23"/>
  <c r="D59" i="3"/>
  <c r="D44" i="3" s="1"/>
  <c r="T133" i="23"/>
  <c r="AG139" i="23"/>
  <c r="F89" i="23"/>
  <c r="V139" i="23"/>
  <c r="T122" i="23"/>
  <c r="T121" i="23"/>
  <c r="T118" i="23"/>
  <c r="T117" i="23"/>
  <c r="T116" i="23"/>
  <c r="T115" i="23"/>
  <c r="T114" i="23"/>
  <c r="T112" i="23"/>
  <c r="T134" i="23"/>
  <c r="T132" i="23"/>
  <c r="T125" i="23"/>
  <c r="F96" i="23"/>
  <c r="T138" i="23"/>
  <c r="T129" i="23"/>
  <c r="T128" i="23"/>
  <c r="T127" i="23"/>
  <c r="Z139" i="23"/>
  <c r="AB139" i="23"/>
  <c r="F95" i="23"/>
  <c r="D48" i="3"/>
  <c r="F48" i="3" s="1"/>
  <c r="G48" i="3" s="1"/>
  <c r="D64" i="3"/>
  <c r="F64" i="3" s="1"/>
  <c r="G64" i="3" s="1"/>
  <c r="D139" i="23"/>
  <c r="P139" i="23"/>
  <c r="D60" i="3"/>
  <c r="D45" i="3" s="1"/>
  <c r="F45" i="3" s="1"/>
  <c r="G45" i="3" s="1"/>
  <c r="D63" i="3"/>
  <c r="F63" i="3" s="1"/>
  <c r="G63" i="3" s="1"/>
  <c r="D61" i="3"/>
  <c r="F61" i="3" s="1"/>
  <c r="G61" i="3" s="1"/>
  <c r="D80" i="23"/>
  <c r="E80" i="23" s="1"/>
  <c r="F80" i="23" s="1"/>
  <c r="E69" i="23"/>
  <c r="AD112" i="23"/>
  <c r="C97" i="23"/>
  <c r="F83" i="23"/>
  <c r="F81" i="23"/>
  <c r="D62" i="3"/>
  <c r="F62" i="3" s="1"/>
  <c r="G62" i="3" s="1"/>
  <c r="D49" i="3"/>
  <c r="F49" i="3" s="1"/>
  <c r="G49" i="3" s="1"/>
  <c r="F85" i="23"/>
  <c r="F93" i="23"/>
  <c r="D47" i="3"/>
  <c r="F47" i="3" s="1"/>
  <c r="G47" i="3" s="1"/>
  <c r="D46" i="3"/>
  <c r="F46" i="3" s="1"/>
  <c r="G46" i="3" s="1"/>
  <c r="F86" i="3"/>
  <c r="D35" i="23"/>
  <c r="G12" i="7" l="1"/>
  <c r="G19" i="7" s="1"/>
  <c r="G44" i="7" s="1"/>
  <c r="G63" i="7" s="1"/>
  <c r="G142" i="7" s="1"/>
  <c r="C119" i="3"/>
  <c r="D129" i="15"/>
  <c r="D131" i="15" s="1"/>
  <c r="H17" i="6"/>
  <c r="H27" i="6" s="1"/>
  <c r="H46" i="6" s="1"/>
  <c r="F118" i="15"/>
  <c r="E25" i="4"/>
  <c r="E28" i="4" s="1"/>
  <c r="E84" i="3"/>
  <c r="E88" i="3" s="1"/>
  <c r="F113" i="15"/>
  <c r="C96" i="3"/>
  <c r="C121" i="3"/>
  <c r="F119" i="15"/>
  <c r="C129" i="3"/>
  <c r="D50" i="3"/>
  <c r="F50" i="3" s="1"/>
  <c r="G50" i="3" s="1"/>
  <c r="AO111" i="23"/>
  <c r="AO114" i="23" s="1"/>
  <c r="AO117" i="23" s="1"/>
  <c r="AO118" i="23" s="1"/>
  <c r="AO120" i="23" s="1"/>
  <c r="D65" i="3"/>
  <c r="F65" i="3" s="1"/>
  <c r="G65" i="3" s="1"/>
  <c r="T139" i="23"/>
  <c r="F59" i="3"/>
  <c r="G59" i="3" s="1"/>
  <c r="F44" i="3"/>
  <c r="G44" i="3" s="1"/>
  <c r="F69" i="23"/>
  <c r="E97" i="23"/>
  <c r="F97" i="23" s="1"/>
  <c r="D97" i="23"/>
  <c r="F60" i="3"/>
  <c r="G60" i="3" s="1"/>
  <c r="F129" i="15" l="1"/>
  <c r="C135" i="3" s="1"/>
  <c r="E18" i="4"/>
  <c r="E21" i="4" s="1"/>
  <c r="E23" i="4" s="1"/>
  <c r="E44" i="4" s="1"/>
  <c r="C17" i="3" s="1"/>
  <c r="F84" i="3"/>
  <c r="F88" i="3" s="1"/>
  <c r="C34" i="3"/>
  <c r="F131" i="15" l="1"/>
  <c r="D32" i="4"/>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Source: FY 23-34 FCS ALLOCATION WORKSHEET
5.11.23
</t>
        </r>
      </text>
    </comment>
    <comment ref="A40" authorId="1" shapeId="0" xr:uid="{00000000-0006-0000-0200-000003000000}">
      <text>
        <r>
          <rPr>
            <b/>
            <sz val="9"/>
            <color indexed="81"/>
            <rFont val="Tahoma"/>
            <family val="2"/>
          </rPr>
          <t>Nieto, Eve:</t>
        </r>
        <r>
          <rPr>
            <sz val="9"/>
            <color indexed="81"/>
            <rFont val="Tahoma"/>
            <family val="2"/>
          </rPr>
          <t xml:space="preserve">
GAA APPROPRIATION 125 RECURRING AND NON RECURRING FUNDS.
EN 5.3.22
</t>
        </r>
      </text>
    </comment>
    <comment ref="B42" authorId="2" shapeId="0" xr:uid="{00000000-0006-0000-0200-000004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text>
    </comment>
    <comment ref="A61" authorId="3"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text>
    </comment>
    <comment ref="A63" authorId="1" shapeId="0" xr:uid="{00000000-0006-0000-0200-000006000000}">
      <text>
        <r>
          <rPr>
            <b/>
            <sz val="9"/>
            <color indexed="81"/>
            <rFont val="Tahoma"/>
            <family val="2"/>
          </rPr>
          <t>Nieto, Eve:</t>
        </r>
        <r>
          <rPr>
            <sz val="9"/>
            <color indexed="81"/>
            <rFont val="Tahoma"/>
            <family val="2"/>
          </rPr>
          <t xml:space="preserve">
TCC Adults with Disb Program App#27
5.11.23
</t>
        </r>
      </text>
    </comment>
    <comment ref="B68" authorId="4"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8" authorId="5"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6" authorId="6"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text>
    </comment>
    <comment ref="T107" authorId="7"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10" authorId="8"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10" authorId="9"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10" authorId="10"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10" authorId="11"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10" authorId="12"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10" authorId="13"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10" authorId="14"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10" authorId="15"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10" authorId="16"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10" authorId="17"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10" authorId="18"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10" authorId="19"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10" authorId="20"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10" authorId="1" shapeId="0" xr:uid="{00000000-0006-0000-0200-000018000000}">
      <text>
        <r>
          <rPr>
            <b/>
            <sz val="9"/>
            <color indexed="81"/>
            <rFont val="Tahoma"/>
            <family val="2"/>
          </rPr>
          <t>Nieto, Eve:</t>
        </r>
        <r>
          <rPr>
            <sz val="9"/>
            <color indexed="81"/>
            <rFont val="Tahoma"/>
            <family val="2"/>
          </rPr>
          <t xml:space="preserve">
Formulas in place.
 Complete columns AE and AF first. </t>
        </r>
      </text>
    </comment>
    <comment ref="AA110" authorId="21"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10" authorId="22"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10" authorId="23"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2" authorId="24"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3" authorId="25"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6" authorId="26"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 ref="B151" authorId="27"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6"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GAA APPROPRIATION 125
EN 5.11.23</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xr:uid="{00000000-0006-0000-0300-000001000000}">
      <text>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text>
    </comment>
    <comment ref="D43" authorId="1"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2"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3"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58" authorId="4"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03" authorId="5"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7"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0" authorId="1" shapeId="0" xr:uid="{00000000-0006-0000-09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4" authorId="2" shapeId="0" xr:uid="{00000000-0006-0000-09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A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tc={81B98475-356F-4099-9989-358D50031851}</author>
  </authors>
  <commentList>
    <comment ref="C5" authorId="0" shapeId="0" xr:uid="{00000000-0006-0000-0C00-000001000000}">
      <text>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text>
    </comment>
  </commentList>
</comments>
</file>

<file path=xl/sharedStrings.xml><?xml version="1.0" encoding="utf-8"?>
<sst xmlns="http://schemas.openxmlformats.org/spreadsheetml/2006/main" count="1350" uniqueCount="784">
  <si>
    <t xml:space="preserve">THE FLORIDA COLLEGE SYSTEM </t>
  </si>
  <si>
    <t>2021-22 COLLEGE OPERATING BUDGET</t>
  </si>
  <si>
    <t xml:space="preserve">SUMMARY OF CHANGES </t>
  </si>
  <si>
    <t>UPDATE CHANGES IF NECESSARY</t>
  </si>
  <si>
    <t>CHANGES</t>
  </si>
  <si>
    <t>EXHIBIT(S)/CHECK SHEET</t>
  </si>
  <si>
    <t>GENERAL LEDGER CODES</t>
  </si>
  <si>
    <t>LINES (ADDED, MOVED, RENAMED, ADJUSTED OR DELETED)</t>
  </si>
  <si>
    <t xml:space="preserve">  </t>
  </si>
  <si>
    <t xml:space="preserve"> </t>
  </si>
  <si>
    <t>THE FLORIDA COLLEGE SYSTEM</t>
  </si>
  <si>
    <t xml:space="preserve">2023-24 INSTRUCTIONS </t>
  </si>
  <si>
    <t>ANNUAL COLLEGE OPERATING BUDGET WORKBOOK FORMS</t>
  </si>
  <si>
    <t>Double Click to download a PDF of the document.</t>
  </si>
  <si>
    <t xml:space="preserve">VLOOKUP CHARTS - DO NOT DELETE - UPDATE EACH YEAR </t>
  </si>
  <si>
    <t>UPDATE COLUMNS HIGHLIGHTED IN YELLOW</t>
  </si>
  <si>
    <t>Updated 5.11.23 EN</t>
  </si>
  <si>
    <t xml:space="preserve"> FLORIDA COLLEGE SYSTEM PROGRAM FUND (FCSPF) APPROPRIATIONS </t>
  </si>
  <si>
    <t xml:space="preserve">2023-24 BASE BUDGET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</si>
  <si>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</si>
  <si>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</si>
  <si>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</si>
  <si>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</si>
  <si>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</si>
  <si>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</si>
  <si>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</si>
  <si>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</si>
  <si>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</si>
  <si>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</si>
  <si>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</si>
  <si>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</si>
  <si>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</si>
  <si>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</si>
  <si>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</si>
  <si>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</si>
  <si>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</si>
  <si>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</si>
  <si>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</si>
  <si>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</si>
  <si>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</si>
  <si>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</si>
  <si>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</si>
  <si>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</si>
  <si>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</si>
  <si>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</si>
  <si>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</si>
  <si>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</si>
  <si>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</si>
  <si>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</si>
  <si>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</si>
  <si>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</si>
  <si>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</si>
  <si>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</si>
  <si>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</si>
  <si>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2The 2022-23 General Revenue appropriations does not include the $30,000,000 appropriated for Performance Based Incentive Funding.  </t>
  </si>
  <si>
    <t>2022-23 SPECIAL PROJECTS</t>
  </si>
  <si>
    <t>Updated: 5.11.23 EN</t>
  </si>
  <si>
    <t xml:space="preserve">Program/Project </t>
  </si>
  <si>
    <t xml:space="preserve">Recurring </t>
  </si>
  <si>
    <t>Nonrecurring</t>
  </si>
  <si>
    <t>Total</t>
  </si>
  <si>
    <t>Civil and Industrial Engineering Program</t>
  </si>
  <si>
    <t>Agribusiness Technology (HB 3015)</t>
  </si>
  <si>
    <t>Advanced Technology Center</t>
  </si>
  <si>
    <t>Database Security Protaction and Monitoring System</t>
  </si>
  <si>
    <t>Florida Southwestern State College</t>
  </si>
  <si>
    <t>Cyber Security Program- Equipment</t>
  </si>
  <si>
    <t>Regional Transportation Training Center</t>
  </si>
  <si>
    <t>FinTech Program</t>
  </si>
  <si>
    <t>Nursing Simulation Lab</t>
  </si>
  <si>
    <t>Manatee-Sarasota, State College of Florida</t>
  </si>
  <si>
    <t>CDL Consortium</t>
  </si>
  <si>
    <t>Health Sciences &amp; First Responder Support</t>
  </si>
  <si>
    <t xml:space="preserve">STEM Stackable </t>
  </si>
  <si>
    <t>Applied Mental Health Certificate</t>
  </si>
  <si>
    <t xml:space="preserve">Tallahassee Community College </t>
  </si>
  <si>
    <t>North Florida Innovation Labs</t>
  </si>
  <si>
    <t>The Special Projects Recurring and Nonrecurring amounts are included in the General Revenue appropriations, Column B above.</t>
  </si>
  <si>
    <t>2023-24</t>
  </si>
  <si>
    <t>Date Updated 5.11.23</t>
  </si>
  <si>
    <t>ADULTS WITH DISABILITIES APPROPRIATION  (PROVIDED FOR INFORMATION PURPOSES ONLY APPROPRIATION 27 NOT ADDED INTO GR ABOVE)</t>
  </si>
  <si>
    <t>UPDATE COLUMN B</t>
  </si>
  <si>
    <t>2023-24 FINANCIAL AID FEES ADDITIONAL 2% CALCULATION</t>
  </si>
  <si>
    <t>updated 4.10.23 EN</t>
  </si>
  <si>
    <t xml:space="preserve"> TOTAL 2023-24 PROJECTED TUITION AND OUT-OF-STATE FEE REVENUE</t>
  </si>
  <si>
    <t>5% PROJECTED TUITION AND OUT-OF-STATE FEES</t>
  </si>
  <si>
    <t>PROJECTED FINANCIAL AID FEE COLLECTIONS BELOW $500,000?</t>
  </si>
  <si>
    <t>ADDITIONAL 2% PROJECTED FINANCIAL FEE COLLECTIONS</t>
  </si>
  <si>
    <t>TOTAL PROJECTED FINANCIAL AID FEES</t>
  </si>
  <si>
    <t>*********************************************************************************************************************************************************************************</t>
  </si>
  <si>
    <t>UPDATE THE CELLS HIGHLIGHTED IN YELLOW USING THE SOURCE DATA AT:  J:\Finance\Fees\2022-23\Fee Calculator 2022-23 (Using 2022-23 FTE-2A) FALL 2022 FEES 4.7.23.DRS.xlsx</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</si>
  <si>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</si>
  <si>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</si>
  <si>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</si>
  <si>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DIVISION'S ESTIMATES BASED ON THE 2022-23 FTE-2A REPORT</t>
  </si>
  <si>
    <t>Date Updated:   04.10.23;    BY:  EN</t>
  </si>
  <si>
    <t>LOWER LEVEL</t>
  </si>
  <si>
    <t>FEE PAYING FTE TOTALS</t>
  </si>
  <si>
    <t>UPPER LEVEL</t>
  </si>
  <si>
    <t>CREDIT</t>
  </si>
  <si>
    <t>NON-CREDIT</t>
  </si>
  <si>
    <t>FEE PAYING</t>
  </si>
  <si>
    <t>THIS IS THE DIVISION'S ESTIMATES BASED ON THE 2022-23 ESTIMATED FTE-2A  REPORT</t>
  </si>
  <si>
    <t>BACCALAUREATE</t>
  </si>
  <si>
    <t>A &amp; P</t>
  </si>
  <si>
    <t>PSV</t>
  </si>
  <si>
    <t>DEV ED</t>
  </si>
  <si>
    <t>EPI</t>
  </si>
  <si>
    <t>CAREER CERTIFICATE AND APPLIED TECHNOLOGY DIPLOMA (PSAV)</t>
  </si>
  <si>
    <t>VOC PREP</t>
  </si>
  <si>
    <t>ADULT EDUCATION</t>
  </si>
  <si>
    <t>VLOOKUP CHARTS - DO NOT DELETE</t>
  </si>
  <si>
    <t>DO NOT DELETE (THIS CALCULATION CHECKS THE ACCURACY OF THE DATA EACH EACH YEAR)</t>
  </si>
  <si>
    <t>Resident</t>
  </si>
  <si>
    <t>Non Resident</t>
  </si>
  <si>
    <t>VOC. PREP FTE/ADULT EDUCATION FTE ARE EXCLUDED</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</si>
  <si>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</si>
  <si>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</si>
  <si>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</si>
  <si>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</si>
  <si>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</si>
  <si>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</si>
  <si>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Total 2022-23 Estimated FTE-2A Report</t>
  </si>
  <si>
    <t>This amount should agree with the FTE-2A Report Total Fee Paying (Cell U121)</t>
  </si>
  <si>
    <t>This amount should agree with 2022-23 FTE-2A Report (Cell L82)</t>
  </si>
  <si>
    <t xml:space="preserve">Save the FTE-2A Report at: </t>
  </si>
  <si>
    <t>J:\Finance\Operating Budgets - current year\2023-24 OPERATING BUDGET\Forms and Instructions\Working Documents</t>
  </si>
  <si>
    <t>DEV ED - Developmental Education (formerly College Prep).</t>
  </si>
  <si>
    <t>EPI - Educator Preparation Institute.</t>
  </si>
  <si>
    <t>CCATD - Career Certificate and Applied Technology Diploma (formerly Postsecondary Adult Vocational - PSAV)</t>
  </si>
  <si>
    <t>UPDATE COLUMN HIGHLIGHTED IN YELLOW</t>
  </si>
  <si>
    <t>Date Updated: 05.11.23</t>
  </si>
  <si>
    <t>FCSPF - PERFORMANCE BASED INCENTIVES (GL 42150)</t>
  </si>
  <si>
    <t>PIPELINE (GL Code 42130)</t>
  </si>
  <si>
    <t xml:space="preserve"> FALL 2023-24 COLLEGE OPERATING BUDGET CHECK SHEET</t>
  </si>
  <si>
    <t>THE PURPOSE OF THIS CHECK SHEET WILL ALLOW THE COLLEGE TO VERIFY THE OPERATING BUDGET DATA BEFORE SUBMITTING THE WORKBOOK TO THE BUDGET OFFICE</t>
  </si>
  <si>
    <t>1.</t>
  </si>
  <si>
    <t>COLLEGE NAME:</t>
  </si>
  <si>
    <t>2.</t>
  </si>
  <si>
    <r>
      <t xml:space="preserve">The completed board-approved operating budget forms should be submitted electronically to collegereporting@fldoe.org, </t>
    </r>
    <r>
      <rPr>
        <b/>
        <u/>
        <sz val="16"/>
        <rFont val="Calibri"/>
        <family val="2"/>
        <scheme val="minor"/>
      </rPr>
      <t>no later than Friday, June 30, 2023, to receive the scheduled disbursement of funds on or around July 14, 2023</t>
    </r>
    <r>
      <rPr>
        <b/>
        <sz val="16"/>
        <rFont val="Calibri"/>
        <family val="2"/>
        <scheme val="minor"/>
      </rPr>
      <t>. However, if the board-approved operating budget is submitted after June 30,  but before Friday, July 21st, the college will  receive the July disbursement on or around Friday, July 28, 2023.</t>
    </r>
  </si>
  <si>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</si>
  <si>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</si>
  <si>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</si>
  <si>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</si>
  <si>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</si>
  <si>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</si>
  <si>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</si>
  <si>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</si>
  <si>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</si>
  <si>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</si>
  <si>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</si>
  <si>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</si>
  <si>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</si>
  <si>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</si>
  <si>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</si>
  <si>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</si>
  <si>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</si>
  <si>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</si>
  <si>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</si>
  <si>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</si>
  <si>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</si>
  <si>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</si>
  <si>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</si>
  <si>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</si>
  <si>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</si>
  <si>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</si>
  <si>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</si>
  <si>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</si>
  <si>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</si>
  <si>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</si>
  <si>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</si>
  <si>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</si>
  <si>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CAREER CERTIFICATE AND APPLIED TECHNOLOGY DIPLOMA</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</si>
  <si>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</si>
  <si>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</si>
  <si>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</si>
  <si>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Explanation: Do not press Enter until complete.</t>
  </si>
  <si>
    <t>Developmental Education enrollment continues to decline.  Projected change exceeds 3% of State estimate.</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</si>
  <si>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</si>
  <si>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</si>
  <si>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</si>
  <si>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</si>
  <si>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</si>
  <si>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</si>
  <si>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</si>
  <si>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</si>
  <si>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</si>
  <si>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</si>
  <si>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</si>
  <si>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</si>
  <si>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</si>
  <si>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</si>
  <si>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</si>
  <si>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</si>
  <si>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</si>
  <si>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</si>
  <si>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</si>
  <si>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</si>
  <si>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</si>
  <si>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</si>
  <si>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</si>
  <si>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</si>
  <si>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</si>
  <si>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</si>
  <si>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</si>
  <si>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 xml:space="preserve">Estimated Unencumbered Fund Balance as of June 30, 2023 (populated from EXHIBIT A) is equal to Total Available Fund Balance as of June 30, 2023 minus the Encumbered Reserves (populated from EXHIBIT D). </t>
  </si>
  <si>
    <r>
      <t xml:space="preserve">Estimated Unencumbered Fund Balance - </t>
    </r>
    <r>
      <rPr>
        <b/>
        <sz val="16"/>
        <rFont val="Calibri"/>
        <family val="2"/>
        <scheme val="minor"/>
      </rPr>
      <t>As of June 30, 2023</t>
    </r>
  </si>
  <si>
    <r>
      <t xml:space="preserve">Total Available Fund Balance </t>
    </r>
    <r>
      <rPr>
        <b/>
        <sz val="16"/>
        <color indexed="8"/>
        <rFont val="Calibri"/>
        <family val="2"/>
        <scheme val="minor"/>
      </rPr>
      <t xml:space="preserve">June 30, 2023 </t>
    </r>
    <r>
      <rPr>
        <sz val="16"/>
        <color indexed="8"/>
        <rFont val="Calibri"/>
        <family val="2"/>
        <scheme val="minor"/>
      </rPr>
      <t>minus Encumbrances</t>
    </r>
  </si>
  <si>
    <t>Difference -- The Estimated Unencumbered Fund Balance and the Total Available Fund Balance minus Encumbered Reserves should equal "zero" (0). If not, please verify that the amounts automatically populated in Cells C101 and C102 are reported correctly on Exhibits A and D.</t>
  </si>
  <si>
    <t>11.</t>
  </si>
  <si>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</si>
  <si>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r>
      <t xml:space="preserve">(Beginning Compensated Absence Reserve) - </t>
    </r>
    <r>
      <rPr>
        <b/>
        <sz val="16"/>
        <rFont val="Calibri"/>
        <family val="2"/>
        <scheme val="minor"/>
      </rPr>
      <t>As of July 1, 2023</t>
    </r>
  </si>
  <si>
    <r>
      <t xml:space="preserve">(Ending Compensated Absence Reserve) - </t>
    </r>
    <r>
      <rPr>
        <b/>
        <sz val="16"/>
        <rFont val="Calibri"/>
        <family val="2"/>
        <scheme val="minor"/>
      </rPr>
      <t>Estimated at June 30, 2024</t>
    </r>
  </si>
  <si>
    <t>Difference</t>
  </si>
  <si>
    <t>Amount budgeted in GLC 59300 for the Compensated Absence Expense</t>
  </si>
  <si>
    <t>Cell C114 should be "zero (0)". If this cell is red, please verify that the amounts automatically populated in Cells C108, C109 and C112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</si>
  <si>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</si>
  <si>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</si>
  <si>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</si>
  <si>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</si>
  <si>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</si>
  <si>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</si>
  <si>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</si>
  <si>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t>14.</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</si>
  <si>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</si>
  <si>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t>Grand Total Expenditures and Total Sources of Funds</t>
  </si>
  <si>
    <t>EXPLANATION: Do not press Enter until complete.</t>
  </si>
  <si>
    <t>EXHIBIT A</t>
  </si>
  <si>
    <t>COLLEGE OPERATING BUDGET</t>
  </si>
  <si>
    <t>ANNUAL BUDGET SUMMARY</t>
  </si>
  <si>
    <t xml:space="preserve"> FISCAL YEAR 2023-24</t>
  </si>
  <si>
    <t>COLLEGE:</t>
  </si>
  <si>
    <t>CURRENT FUNDS - UNRESTRICTED</t>
  </si>
  <si>
    <t>BEGINNING FUND BALANCE - JULY 1, 2023:</t>
  </si>
  <si>
    <r>
      <t xml:space="preserve">ESTIMATED AFR FUND BALANCE - </t>
    </r>
    <r>
      <rPr>
        <b/>
        <sz val="16"/>
        <rFont val="Calibri"/>
        <family val="2"/>
        <scheme val="minor"/>
      </rPr>
      <t>JUNE 30, 2023</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</si>
  <si>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ADD AMOUNT EXPECTED TO BE FINANCED IN FUTURE YEARS (</t>
    </r>
    <r>
      <rPr>
        <i/>
        <sz val="16"/>
        <rFont val="Calibri"/>
        <family val="2"/>
        <scheme val="minor"/>
      </rPr>
      <t>USE PLUS SIGN</t>
    </r>
    <r>
      <rPr>
        <sz val="16"/>
        <rFont val="Calibri"/>
        <family val="2"/>
        <scheme val="minor"/>
      </rPr>
      <t>)</t>
    </r>
  </si>
  <si>
    <r>
      <t xml:space="preserve">TOTAL RESERVE AND UNENCUMBERED FUND BALANCE - </t>
    </r>
    <r>
      <rPr>
        <b/>
        <sz val="16"/>
        <rFont val="Calibri"/>
        <family val="2"/>
        <scheme val="minor"/>
      </rPr>
      <t>JULY 1, 2023</t>
    </r>
  </si>
  <si>
    <t>ADD:              REVENUES</t>
  </si>
  <si>
    <t xml:space="preserve">                       TRANSFERS IN</t>
  </si>
  <si>
    <t>TOTAL RECEIPTS</t>
  </si>
  <si>
    <t>TOTAL ESTIMATED AVAILABLE</t>
  </si>
  <si>
    <t>DEDUCT:      EXPENDITURES</t>
  </si>
  <si>
    <t xml:space="preserve">                       TRANSFERS OUT</t>
  </si>
  <si>
    <t>TOTAL DISBURSEMENTS</t>
  </si>
  <si>
    <t>ESTIMATED FUND BALANCE - JUNE 30, 2023:</t>
  </si>
  <si>
    <t>TOTAL AVAILABLE LESS DISBURSEMENTS</t>
  </si>
  <si>
    <t>ADD ACCRUED LEAVE EXPENSE (GLC 59300)</t>
  </si>
  <si>
    <r>
      <t xml:space="preserve">TOTAL ESTIMATED RESERVE AND UNENCUMBERED FUND BALANCE - </t>
    </r>
    <r>
      <rPr>
        <b/>
        <sz val="16"/>
        <rFont val="Calibri"/>
        <family val="2"/>
        <scheme val="minor"/>
      </rPr>
      <t>JUNE 30, 2024</t>
    </r>
  </si>
  <si>
    <r>
      <t xml:space="preserve">LESS ESTIMATED AMOUNT EXPECTED TO BE FINANCED IN FUTURE YEARS (GLC 30800) - </t>
    </r>
    <r>
      <rPr>
        <b/>
        <sz val="16"/>
        <rFont val="Calibri"/>
        <family val="2"/>
        <scheme val="minor"/>
      </rPr>
      <t>JUNE 30, 2024</t>
    </r>
  </si>
  <si>
    <t>TOTAL ESTIMATED FUND BALANCE - JUNE 30, 2024</t>
  </si>
  <si>
    <r>
      <t>ESTIMATED UNENCUMBERED FUND BALANCE -</t>
    </r>
    <r>
      <rPr>
        <b/>
        <sz val="16"/>
        <rFont val="Calibri"/>
        <family val="2"/>
        <scheme val="minor"/>
      </rPr>
      <t xml:space="preserve"> JUNE 30, 2024</t>
    </r>
  </si>
  <si>
    <t xml:space="preserve">       (Includes GL's: 30200, 30300, 30400, 30500, 30600, 30700, 30900, and 31100)</t>
  </si>
  <si>
    <t xml:space="preserve">PERCENT OF ESTIMATED UNENCUMBERED FUND BALANCE </t>
  </si>
  <si>
    <t>AS OF JUNE 30, 2024, TO ESTIMATED FUNDS AVAILABLE</t>
  </si>
  <si>
    <t>CERTIFY BOARD OF TRUSTEES APPROVAL:</t>
  </si>
  <si>
    <t>COLLEGE PRESIDENT</t>
  </si>
  <si>
    <t>DATE</t>
  </si>
  <si>
    <t>EXHIBIT B</t>
  </si>
  <si>
    <t xml:space="preserve">FALL 2023-24 STUDENT TUITION AND FEE RATES AND BLOCK TUITION </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</si>
  <si>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</si>
  <si>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</si>
  <si>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</si>
  <si>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</si>
  <si>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</si>
  <si>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</si>
  <si>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</si>
  <si>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</si>
  <si>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</si>
  <si>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</si>
  <si>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</si>
  <si>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</si>
  <si>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</si>
  <si>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</si>
  <si>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</si>
  <si>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</si>
  <si>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</si>
  <si>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</si>
  <si>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</si>
  <si>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</si>
  <si>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</si>
  <si>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Note:   The 2023-24 Fee Audit and Discretionary Fee calculations are provided at the end of the Workbook, to assist the college in verifying that the tuition and fee rates are in compliance with sections 1009.22 and 1009.23, Florida Statutes.</t>
  </si>
  <si>
    <t>EXHIBIT C</t>
  </si>
  <si>
    <t>FALL 2023-24 BUDGET WORKSHEET FOR ESTIMATED STUDENT TUITION AND TRANSFERS</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</si>
  <si>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</si>
  <si>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</si>
  <si>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</si>
  <si>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</si>
  <si>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</si>
  <si>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</si>
  <si>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</si>
  <si>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TOTAL FEE PAYING</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</si>
  <si>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</si>
  <si>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</si>
  <si>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</si>
  <si>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</si>
  <si>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</si>
  <si>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</si>
  <si>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</si>
  <si>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</si>
  <si>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</si>
  <si>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</si>
  <si>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</si>
  <si>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</si>
  <si>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</si>
  <si>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</si>
  <si>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</si>
  <si>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</si>
  <si>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</si>
  <si>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</si>
  <si>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</si>
  <si>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</si>
  <si>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</si>
  <si>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</si>
  <si>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</si>
  <si>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</si>
  <si>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</si>
  <si>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</si>
  <si>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</si>
  <si>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</si>
  <si>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</si>
  <si>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</si>
  <si>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</si>
  <si>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</si>
  <si>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</si>
  <si>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IF YOU ENTER AN AMOUNT BELOW, YOU MUST ENTER THE APPROPRIATE FUND NUMBER IN THE "FUND TRANSFERRED FROM" COLUMN AND THE "FUND TRANSFERRED TO" COLUMN. PLEASE DO NOT LEAVE BLANK. </t>
  </si>
  <si>
    <t>PURPOSE OF TRANSFER</t>
  </si>
  <si>
    <t>AMOUNT</t>
  </si>
  <si>
    <t>FUND TRANSFERRED FROM</t>
  </si>
  <si>
    <t>FUND TRANSFERRED TO</t>
  </si>
  <si>
    <t>Current</t>
  </si>
  <si>
    <t>TOTAL TRANSFERS OUT</t>
  </si>
  <si>
    <t>Auxiliary</t>
  </si>
  <si>
    <t>Fund 3</t>
  </si>
  <si>
    <t>Fund 1</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</si>
  <si>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</si>
  <si>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</si>
  <si>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</si>
  <si>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</si>
  <si>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</si>
  <si>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</si>
  <si>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</si>
  <si>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</si>
  <si>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</si>
  <si>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</si>
  <si>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</si>
  <si>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</si>
  <si>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 xml:space="preserve">EXHIBIT F </t>
  </si>
  <si>
    <t>(SAMPLE LETTER)</t>
  </si>
  <si>
    <t>Double Click to Download the PDF Document.</t>
  </si>
  <si>
    <t>SCHEDULE OF BUDGETED REVENUES, EXPENDITURES, AND FUND BALANCE</t>
  </si>
  <si>
    <t>BY GENERAL LEDGER CODE</t>
  </si>
  <si>
    <t>FOR THE FISCAL YEAR 2023-24</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</si>
  <si>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</si>
  <si>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</si>
  <si>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</si>
  <si>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</si>
  <si>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</si>
  <si>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</si>
  <si>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</si>
  <si>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</si>
  <si>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</si>
  <si>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</si>
  <si>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</si>
  <si>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</si>
  <si>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</si>
  <si>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</si>
  <si>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</si>
  <si>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</si>
  <si>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</si>
  <si>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</si>
  <si>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</si>
  <si>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</si>
  <si>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</si>
  <si>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</si>
  <si>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</si>
  <si>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</si>
  <si>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</si>
  <si>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</si>
  <si>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</si>
  <si>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</si>
  <si>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</si>
  <si>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</si>
  <si>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</si>
  <si>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</si>
  <si>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</si>
  <si>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</si>
  <si>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</si>
  <si>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</si>
  <si>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</si>
  <si>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</si>
  <si>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</si>
  <si>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</si>
  <si>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</si>
  <si>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</si>
  <si>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</si>
  <si>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</si>
  <si>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</si>
  <si>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</si>
  <si>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</si>
  <si>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</si>
  <si>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</si>
  <si>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</si>
  <si>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</si>
  <si>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</si>
  <si>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</si>
  <si>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</si>
  <si>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</si>
  <si>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</si>
  <si>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</si>
  <si>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</si>
  <si>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SPECIAL APPROPRIATION - OTHER (TO INCLUDE PIPELINE)</t>
  </si>
  <si>
    <t xml:space="preserve">PERFORMANCE-BASED INCENTIVE FUNDING - FCSPF </t>
  </si>
  <si>
    <t>42150</t>
  </si>
  <si>
    <t>INCENTIVE GRANTS FOR EXPANDED PROGRAMS</t>
  </si>
  <si>
    <t>42160</t>
  </si>
  <si>
    <t>LICENSE TAG FEES APPROPRIATION</t>
  </si>
  <si>
    <t>42210</t>
  </si>
  <si>
    <t>PERFORMANCE-BASED INCENTIVE PROGRAM (CATEGORICAL APPROPRIATIONS, INDUSTRY CERTIFICATIONS)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</si>
  <si>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</si>
  <si>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</si>
  <si>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</si>
  <si>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</si>
  <si>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</si>
  <si>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</si>
  <si>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</si>
  <si>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</si>
  <si>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</si>
  <si>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</si>
  <si>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</si>
  <si>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</si>
  <si>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</si>
  <si>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GRANTS AND CONTRACTS FEDERAL GOVERNMENT - STIMULUS (HEERF) - INSTITUTIONAL</t>
  </si>
  <si>
    <t>GRANTS AND CONTRACTS FEDERAL GOVERNMENT - STIMULUS (HEERF) - STUDENT</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</si>
  <si>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</si>
  <si>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</si>
  <si>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</si>
  <si>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</si>
  <si>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</si>
  <si>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</si>
  <si>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</si>
  <si>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</si>
  <si>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</si>
  <si>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</si>
  <si>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</si>
  <si>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</si>
  <si>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</si>
  <si>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</si>
  <si>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</si>
  <si>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</si>
  <si>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</si>
  <si>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</si>
  <si>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</si>
  <si>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</si>
  <si>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</si>
  <si>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</si>
  <si>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</si>
  <si>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</si>
  <si>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</si>
  <si>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</si>
  <si>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</si>
  <si>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</si>
  <si>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</si>
  <si>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</si>
  <si>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</si>
  <si>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</si>
  <si>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</si>
  <si>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</si>
  <si>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</si>
  <si>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</si>
  <si>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</si>
  <si>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</si>
  <si>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</si>
  <si>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</si>
  <si>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t>
  </si>
  <si>
    <t>PROCEEDS FROM SALE OF PROPERTY</t>
  </si>
  <si>
    <t>49500</t>
  </si>
  <si>
    <t>INSURANCE RECOVERY</t>
  </si>
  <si>
    <t>UNINSURED LOSS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</si>
  <si>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</si>
  <si>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</si>
  <si>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</si>
  <si>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</si>
  <si>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</si>
  <si>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</si>
  <si>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</si>
  <si>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</si>
  <si>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</si>
  <si>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</si>
  <si>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</si>
  <si>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</si>
  <si>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</si>
  <si>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</si>
  <si>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</si>
  <si>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</si>
  <si>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</si>
  <si>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</si>
  <si>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</si>
  <si>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</si>
  <si>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</si>
  <si>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</si>
  <si>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</si>
  <si>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</si>
  <si>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</si>
  <si>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</si>
  <si>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</si>
  <si>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</si>
  <si>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</si>
  <si>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</si>
  <si>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</si>
  <si>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</si>
  <si>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</si>
  <si>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</si>
  <si>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</si>
  <si>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</si>
  <si>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</si>
  <si>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</si>
  <si>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</si>
  <si>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</si>
  <si>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</si>
  <si>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</si>
  <si>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</si>
  <si>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</si>
  <si>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</si>
  <si>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</si>
  <si>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</si>
  <si>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</si>
  <si>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</si>
  <si>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</si>
  <si>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</si>
  <si>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</si>
  <si>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</si>
  <si>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</si>
  <si>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</si>
  <si>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</si>
  <si>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</si>
  <si>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</si>
  <si>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</si>
  <si>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</si>
  <si>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</si>
  <si>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</si>
  <si>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</si>
  <si>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</si>
  <si>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</si>
  <si>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</si>
  <si>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</si>
  <si>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</si>
  <si>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</si>
  <si>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</si>
  <si>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</si>
  <si>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</si>
  <si>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</si>
  <si>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</si>
  <si>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</si>
  <si>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</si>
  <si>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</si>
  <si>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</si>
  <si>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</si>
  <si>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</si>
  <si>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</si>
  <si>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</si>
  <si>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</si>
  <si>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</si>
  <si>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</si>
  <si>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</si>
  <si>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</si>
  <si>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</si>
  <si>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</si>
  <si>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</si>
  <si>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</si>
  <si>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</si>
  <si>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</si>
  <si>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</si>
  <si>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</si>
  <si>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</si>
  <si>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</si>
  <si>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</si>
  <si>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</si>
  <si>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</si>
  <si>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</si>
  <si>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</si>
  <si>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</si>
  <si>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</si>
  <si>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</si>
  <si>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</si>
  <si>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</si>
  <si>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</si>
  <si>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</si>
  <si>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</si>
  <si>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LEASE PAYMENTS (LONG-TERM/ASSET&lt;$5,000)</t>
  </si>
  <si>
    <t>INSURANCE</t>
  </si>
  <si>
    <t>63500</t>
  </si>
  <si>
    <t>UTILITIES (NOT DESIGNATED BELOW)</t>
  </si>
  <si>
    <t>64000</t>
  </si>
  <si>
    <t>OTHER SERVICES</t>
  </si>
  <si>
    <t>64500</t>
  </si>
  <si>
    <t>WORKFORCE/WAGES/GRANT PARTICIPANT SUPPORT COSTS</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</si>
  <si>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</si>
  <si>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</si>
  <si>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</si>
  <si>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</si>
  <si>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</si>
  <si>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</si>
  <si>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</si>
  <si>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</si>
  <si>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</si>
  <si>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</si>
  <si>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</si>
  <si>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</si>
  <si>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</si>
  <si>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</si>
  <si>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</si>
  <si>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</si>
  <si>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</si>
  <si>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</si>
  <si>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</si>
  <si>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</si>
  <si>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</si>
  <si>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</si>
  <si>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</si>
  <si>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</si>
  <si>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</si>
  <si>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</si>
  <si>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</si>
  <si>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t>
  </si>
  <si>
    <t>NON-MANDATORY TRANSFERS-OUT</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</si>
  <si>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</si>
  <si>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</si>
  <si>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</si>
  <si>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</si>
  <si>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</si>
  <si>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</si>
  <si>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</si>
  <si>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</si>
  <si>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</si>
  <si>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</si>
  <si>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</si>
  <si>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</si>
  <si>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</si>
  <si>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</si>
  <si>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</si>
  <si>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OTHER LICENCES</t>
  </si>
  <si>
    <t>DATA LICENSES - PERPETUAL</t>
  </si>
  <si>
    <t>ARTWORK/ARTIFACT</t>
  </si>
  <si>
    <t>LEASE PAYMENTS (LONG-TERM/ASSET=&gt;$5,000)</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</si>
  <si>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</si>
  <si>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</si>
  <si>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</si>
  <si>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</si>
  <si>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</si>
  <si>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</si>
  <si>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</si>
  <si>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</si>
  <si>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</si>
  <si>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</si>
  <si>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</si>
  <si>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</si>
  <si>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</si>
  <si>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</si>
  <si>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</si>
  <si>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</si>
  <si>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</si>
  <si>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</si>
  <si>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</si>
  <si>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</si>
  <si>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</si>
  <si>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</si>
  <si>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AMOUNT EXPECTED TO BE FINANCED IN FUTURE YEARS - ESTIMATED AS OF JUNE 30, 2023</t>
  </si>
  <si>
    <t>TOTAL ESTIMATED FUND BALANCE</t>
  </si>
  <si>
    <t>EXHIBIT  E</t>
  </si>
  <si>
    <t>SUMMARY OF BUDGETED EXPENDITURES BY FUNCTION</t>
  </si>
  <si>
    <t>CURRENT FUND-UNRESTRICTED</t>
  </si>
  <si>
    <t>FISCAL YEAR 2023-24</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</si>
  <si>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</si>
  <si>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</si>
  <si>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</si>
  <si>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</si>
  <si>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</si>
  <si>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</si>
  <si>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</si>
  <si>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</si>
  <si>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</si>
  <si>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</si>
  <si>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</si>
  <si>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</si>
  <si>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</si>
  <si>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</si>
  <si>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</si>
  <si>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</si>
  <si>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</si>
  <si>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</si>
  <si>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</si>
  <si>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</si>
  <si>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</si>
  <si>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</si>
  <si>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INSTRUCTIONAL - SABBATICAL</t>
  </si>
  <si>
    <t>OTHER BENEFITS</t>
  </si>
  <si>
    <t>59600</t>
  </si>
  <si>
    <t>REPAIRS &amp; MAINTENANCE</t>
  </si>
  <si>
    <t xml:space="preserve">UTILITIES </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</si>
  <si>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</si>
  <si>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</si>
  <si>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</si>
  <si>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</si>
  <si>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</si>
  <si>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</si>
  <si>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</si>
  <si>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</si>
  <si>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</si>
  <si>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</si>
  <si>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</si>
  <si>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r>
      <t xml:space="preserve">   4.   OTHER GRANTS OR REVENUES </t>
    </r>
    <r>
      <rPr>
        <b/>
        <sz val="18"/>
        <color theme="1"/>
        <rFont val="Calibri"/>
        <family val="2"/>
        <scheme val="minor"/>
      </rPr>
      <t>(PLEASE PROVIDE A BRIEF EXPLANATION IN THE SPACE BELOW FOR ITEM #4)**</t>
    </r>
  </si>
  <si>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</si>
  <si>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</si>
  <si>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</si>
  <si>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</si>
  <si>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</si>
  <si>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</si>
  <si>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</si>
  <si>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</si>
  <si>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</si>
  <si>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**PROVIDE A BRIEF EXPLANATION FOR ITEM NUMBER 4. ABOVE - OTHER GRANTS OR REVENUES:</t>
  </si>
  <si>
    <t>FALL 2023-24 TUITION INCREASED BY 0%</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</si>
  <si>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</si>
  <si>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</si>
  <si>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</si>
  <si>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</si>
  <si>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</si>
  <si>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</si>
  <si>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</si>
  <si>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</si>
  <si>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</si>
  <si>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</si>
  <si>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</si>
  <si>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</si>
  <si>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</si>
  <si>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</si>
  <si>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</si>
  <si>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</si>
  <si>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</si>
  <si>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</si>
  <si>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</si>
  <si>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</si>
  <si>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</si>
  <si>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</si>
  <si>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</si>
  <si>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</si>
  <si>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</si>
  <si>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</si>
  <si>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</si>
  <si>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</si>
  <si>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</si>
  <si>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</si>
  <si>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</si>
  <si>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</si>
  <si>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</si>
  <si>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</si>
  <si>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</si>
  <si>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2023-24 MAXIMUM DISCRETIONARY FEE PERCENTAGES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</si>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</sst>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sz val="16"/>
      <color rgb="FFC00000"/>
      <name val="Calibri"/>
      <family val="2"/>
      <scheme val="minor"/>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s>
  <borders count="28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theme="1"/>
      </right>
      <top style="thin">
        <color auto="1"/>
      </top>
      <bottom style="thin">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indexed="8"/>
      </left>
      <right style="medium">
        <color indexed="8"/>
      </right>
      <top style="thin">
        <color auto="1"/>
      </top>
      <bottom style="thin">
        <color auto="1"/>
      </bottom>
      <diagonal/>
    </border>
    <border>
      <left style="medium">
        <color indexed="8"/>
      </left>
      <right style="medium">
        <color indexed="8"/>
      </right>
      <top style="thin">
        <color auto="1"/>
      </top>
      <bottom style="medium">
        <color auto="1"/>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style="thin">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right style="thin">
        <color auto="1"/>
      </right>
      <top style="thin">
        <color indexed="8"/>
      </top>
      <bottom style="thin">
        <color indexed="8"/>
      </bottom>
      <diagonal/>
    </border>
    <border>
      <left/>
      <right style="thin">
        <color auto="1"/>
      </right>
      <top style="thin">
        <color indexed="8"/>
      </top>
      <bottom/>
      <diagonal/>
    </border>
    <border>
      <left style="thin">
        <color theme="1"/>
      </left>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medium">
        <color theme="1"/>
      </left>
      <right style="thin">
        <color indexed="8"/>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indexed="64"/>
      </left>
      <right style="thin">
        <color indexed="64"/>
      </right>
      <top/>
      <bottom style="thin">
        <color indexed="64"/>
      </bottom>
      <diagonal/>
    </border>
    <border>
      <left style="medium">
        <color auto="1"/>
      </left>
      <right style="medium">
        <color auto="1"/>
      </right>
      <top/>
      <bottom style="thin">
        <color auto="1"/>
      </bottom>
      <diagonal/>
    </border>
    <border>
      <left style="medium">
        <color theme="1"/>
      </left>
      <right style="medium">
        <color auto="1"/>
      </right>
      <top/>
      <bottom style="thin">
        <color auto="1"/>
      </bottom>
      <diagonal/>
    </border>
    <border>
      <left style="medium">
        <color auto="1"/>
      </left>
      <right style="medium">
        <color theme="1"/>
      </right>
      <top/>
      <bottom style="thin">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thin">
        <color indexed="8"/>
      </right>
      <top/>
      <bottom style="thin">
        <color indexed="8"/>
      </bottom>
      <diagonal/>
    </border>
    <border>
      <left style="medium">
        <color theme="1"/>
      </left>
      <right style="medium">
        <color theme="1"/>
      </right>
      <top/>
      <bottom style="thin">
        <color indexed="8"/>
      </bottom>
      <diagonal/>
    </border>
    <border>
      <left style="medium">
        <color indexed="8"/>
      </left>
      <right style="medium">
        <color indexed="8"/>
      </right>
      <top/>
      <bottom style="thin">
        <color auto="1"/>
      </bottom>
      <diagonal/>
    </border>
    <border>
      <left/>
      <right style="thin">
        <color auto="1"/>
      </right>
      <top/>
      <bottom style="thin">
        <color indexed="8"/>
      </bottom>
      <diagonal/>
    </border>
    <border>
      <left style="thin">
        <color theme="1"/>
      </left>
      <right/>
      <top/>
      <bottom style="thin">
        <color auto="1"/>
      </bottom>
      <diagonal/>
    </border>
    <border>
      <left style="thin">
        <color indexed="8"/>
      </left>
      <right style="thin">
        <color indexed="64"/>
      </right>
      <top/>
      <bottom style="thin">
        <color indexed="8"/>
      </bottom>
      <diagonal/>
    </border>
    <border>
      <left style="thin">
        <color theme="1"/>
      </left>
      <right/>
      <top/>
      <bottom style="thin">
        <color indexed="8"/>
      </bottom>
      <diagonal/>
    </border>
    <border>
      <left style="thin">
        <color indexed="8"/>
      </left>
      <right style="thin">
        <color indexed="8"/>
      </right>
      <top/>
      <bottom style="thin">
        <color indexed="64"/>
      </bottom>
      <diagonal/>
    </border>
    <border>
      <left style="medium">
        <color theme="1"/>
      </left>
      <right/>
      <top/>
      <bottom style="thin">
        <color auto="1"/>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2" applyNumberFormat="0" applyAlignment="0" applyProtection="0"/>
    <xf numFmtId="0" fontId="87" fillId="44"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2" applyNumberFormat="0" applyAlignment="0" applyProtection="0"/>
    <xf numFmtId="0" fontId="94" fillId="0" borderId="134"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96" fillId="43"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37"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0" fillId="0" borderId="0" applyNumberFormat="0" applyFill="0" applyBorder="0" applyAlignment="0" applyProtection="0"/>
    <xf numFmtId="0" fontId="171" fillId="0" borderId="0" applyNumberFormat="0" applyFill="0" applyBorder="0" applyAlignment="0" applyProtection="0"/>
  </cellStyleXfs>
  <cellXfs count="1144">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Alignment="1">
      <alignment horizontal="center"/>
    </xf>
    <xf numFmtId="37" fontId="66" fillId="31" borderId="0" xfId="0" applyNumberFormat="1" applyFont="1" applyFill="1"/>
    <xf numFmtId="0" fontId="69" fillId="31" borderId="0" xfId="0" applyFont="1" applyFill="1" applyAlignment="1">
      <alignment horizontal="center"/>
    </xf>
    <xf numFmtId="4" fontId="66" fillId="31" borderId="0" xfId="0" applyNumberFormat="1" applyFont="1" applyFill="1"/>
    <xf numFmtId="0" fontId="66" fillId="31" borderId="0" xfId="0" applyFont="1" applyFill="1" applyAlignment="1">
      <alignment horizontal="center"/>
    </xf>
    <xf numFmtId="4" fontId="70" fillId="31" borderId="0" xfId="0" applyNumberFormat="1" applyFont="1" applyFill="1"/>
    <xf numFmtId="0" fontId="70" fillId="31" borderId="0" xfId="0" applyFont="1" applyFill="1" applyAlignment="1">
      <alignment horizontal="center"/>
    </xf>
    <xf numFmtId="0" fontId="71" fillId="0" borderId="0" xfId="0" applyFont="1"/>
    <xf numFmtId="0" fontId="72" fillId="0" borderId="0" xfId="0" applyFont="1"/>
    <xf numFmtId="0" fontId="71" fillId="0" borderId="19" xfId="0" applyFont="1" applyBorder="1"/>
    <xf numFmtId="0" fontId="74" fillId="0" borderId="0" xfId="0" applyFont="1" applyAlignment="1">
      <alignment horizontal="center"/>
    </xf>
    <xf numFmtId="3" fontId="72" fillId="0" borderId="43" xfId="0" applyNumberFormat="1" applyFont="1" applyBorder="1"/>
    <xf numFmtId="0" fontId="74" fillId="0" borderId="0" xfId="0" applyFont="1" applyAlignment="1">
      <alignment horizontal="center" wrapText="1"/>
    </xf>
    <xf numFmtId="0" fontId="71" fillId="0" borderId="0" xfId="0" applyFont="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2" xfId="0" applyNumberFormat="1" applyFont="1" applyBorder="1"/>
    <xf numFmtId="0" fontId="74" fillId="0" borderId="0" xfId="0" applyFont="1"/>
    <xf numFmtId="0" fontId="75" fillId="0" borderId="0" xfId="0" applyFont="1"/>
    <xf numFmtId="0" fontId="74" fillId="0" borderId="83" xfId="0" applyFont="1" applyBorder="1"/>
    <xf numFmtId="0" fontId="72" fillId="0" borderId="0" xfId="0" applyFont="1" applyAlignment="1">
      <alignment horizontal="center"/>
    </xf>
    <xf numFmtId="0" fontId="74" fillId="0" borderId="0" xfId="0" applyFont="1" applyAlignment="1">
      <alignment wrapText="1"/>
    </xf>
    <xf numFmtId="0" fontId="74" fillId="0" borderId="81" xfId="0" applyFont="1" applyBorder="1" applyAlignment="1">
      <alignment wrapText="1"/>
    </xf>
    <xf numFmtId="0" fontId="74" fillId="0" borderId="83" xfId="0" applyFont="1" applyBorder="1" applyAlignment="1">
      <alignment wrapText="1"/>
    </xf>
    <xf numFmtId="0" fontId="74" fillId="0" borderId="82" xfId="0" applyFont="1" applyBorder="1" applyAlignment="1">
      <alignment wrapText="1"/>
    </xf>
    <xf numFmtId="0" fontId="72" fillId="0" borderId="47" xfId="0" applyFont="1" applyBorder="1" applyAlignment="1">
      <alignment horizontal="center"/>
    </xf>
    <xf numFmtId="0" fontId="74" fillId="0" borderId="102" xfId="0" applyFont="1" applyBorder="1" applyAlignment="1">
      <alignment horizontal="center"/>
    </xf>
    <xf numFmtId="0" fontId="74" fillId="0" borderId="81" xfId="0" applyFont="1" applyBorder="1" applyAlignment="1">
      <alignment horizontal="center" wrapText="1"/>
    </xf>
    <xf numFmtId="0" fontId="74" fillId="0" borderId="82" xfId="0" applyFont="1" applyBorder="1" applyAlignment="1">
      <alignment horizontal="center" wrapText="1"/>
    </xf>
    <xf numFmtId="0" fontId="74" fillId="0" borderId="41" xfId="0" applyFont="1" applyBorder="1"/>
    <xf numFmtId="170" fontId="74" fillId="0" borderId="0" xfId="181" applyNumberFormat="1" applyFont="1" applyFill="1" applyBorder="1"/>
    <xf numFmtId="170" fontId="74" fillId="0" borderId="0" xfId="181" applyNumberFormat="1" applyFont="1" applyFill="1"/>
    <xf numFmtId="0" fontId="80" fillId="31" borderId="0" xfId="0" applyFont="1" applyFill="1"/>
    <xf numFmtId="0" fontId="74" fillId="0" borderId="81" xfId="0" applyFont="1" applyBorder="1" applyAlignment="1">
      <alignment horizontal="center"/>
    </xf>
    <xf numFmtId="0" fontId="73" fillId="0" borderId="19" xfId="0" applyFont="1" applyBorder="1" applyAlignment="1">
      <alignment horizontal="center"/>
    </xf>
    <xf numFmtId="0" fontId="74" fillId="0" borderId="19" xfId="0" applyFont="1" applyBorder="1" applyAlignment="1">
      <alignment horizontal="center"/>
    </xf>
    <xf numFmtId="0" fontId="99" fillId="0" borderId="19" xfId="0" applyFont="1" applyBorder="1" applyAlignment="1">
      <alignment horizontal="left" wrapText="1"/>
    </xf>
    <xf numFmtId="3" fontId="72" fillId="0" borderId="0" xfId="0" applyNumberFormat="1" applyFont="1"/>
    <xf numFmtId="0" fontId="74" fillId="0" borderId="19" xfId="495" applyFont="1" applyBorder="1" applyAlignment="1">
      <alignment horizontal="center" wrapText="1"/>
    </xf>
    <xf numFmtId="3" fontId="75" fillId="0" borderId="19" xfId="495" applyNumberFormat="1" applyFont="1" applyBorder="1" applyAlignment="1">
      <alignment horizontal="center"/>
    </xf>
    <xf numFmtId="10" fontId="75" fillId="0" borderId="82" xfId="495" applyNumberFormat="1" applyFont="1" applyBorder="1" applyAlignment="1">
      <alignment horizontal="center"/>
    </xf>
    <xf numFmtId="0" fontId="73" fillId="0" borderId="29" xfId="0" applyFont="1" applyBorder="1" applyAlignment="1">
      <alignment horizontal="center"/>
    </xf>
    <xf numFmtId="0" fontId="77" fillId="0" borderId="0" xfId="0" applyFont="1" applyAlignment="1">
      <alignment wrapText="1"/>
    </xf>
    <xf numFmtId="166" fontId="72" fillId="36" borderId="34" xfId="0" applyNumberFormat="1" applyFont="1" applyFill="1" applyBorder="1"/>
    <xf numFmtId="0" fontId="103" fillId="0" borderId="19" xfId="0" applyFont="1" applyBorder="1" applyAlignment="1">
      <alignment horizontal="center"/>
    </xf>
    <xf numFmtId="3" fontId="74" fillId="71" borderId="17" xfId="0" applyNumberFormat="1" applyFont="1" applyFill="1" applyBorder="1"/>
    <xf numFmtId="0" fontId="74" fillId="0" borderId="16" xfId="0" applyFont="1" applyBorder="1" applyAlignment="1">
      <alignment horizontal="center"/>
    </xf>
    <xf numFmtId="0" fontId="74" fillId="71" borderId="83" xfId="0" applyFont="1" applyFill="1" applyBorder="1" applyAlignment="1">
      <alignment horizontal="center"/>
    </xf>
    <xf numFmtId="0" fontId="74" fillId="71" borderId="83" xfId="0" applyFont="1" applyFill="1" applyBorder="1" applyAlignment="1">
      <alignment wrapText="1"/>
    </xf>
    <xf numFmtId="3" fontId="77" fillId="0" borderId="0" xfId="0" applyNumberFormat="1" applyFont="1" applyAlignment="1">
      <alignment wrapText="1"/>
    </xf>
    <xf numFmtId="0" fontId="74" fillId="0" borderId="21" xfId="0" applyFont="1" applyBorder="1" applyAlignment="1">
      <alignment horizontal="center" wrapText="1"/>
    </xf>
    <xf numFmtId="0" fontId="73" fillId="0" borderId="81" xfId="0" applyFont="1" applyBorder="1" applyAlignment="1">
      <alignment horizontal="center"/>
    </xf>
    <xf numFmtId="0" fontId="71" fillId="0" borderId="81" xfId="0" applyFont="1" applyBorder="1"/>
    <xf numFmtId="0" fontId="71" fillId="0" borderId="83" xfId="0" applyFont="1" applyBorder="1"/>
    <xf numFmtId="0" fontId="105" fillId="0" borderId="19" xfId="0" applyFont="1" applyBorder="1"/>
    <xf numFmtId="3" fontId="105" fillId="0" borderId="37"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1" xfId="0" applyNumberFormat="1" applyFont="1" applyFill="1" applyBorder="1"/>
    <xf numFmtId="3" fontId="105" fillId="0" borderId="0" xfId="0" applyNumberFormat="1" applyFont="1"/>
    <xf numFmtId="0" fontId="73" fillId="0" borderId="0" xfId="0" applyFont="1" applyAlignment="1">
      <alignment horizontal="center"/>
    </xf>
    <xf numFmtId="0" fontId="71" fillId="0" borderId="82" xfId="0" applyFont="1" applyBorder="1"/>
    <xf numFmtId="3" fontId="72" fillId="36" borderId="150" xfId="0" applyNumberFormat="1" applyFont="1" applyFill="1" applyBorder="1"/>
    <xf numFmtId="3" fontId="72" fillId="36" borderId="151" xfId="0" applyNumberFormat="1" applyFont="1" applyFill="1" applyBorder="1"/>
    <xf numFmtId="0" fontId="74" fillId="0" borderId="22" xfId="0" applyFont="1" applyBorder="1" applyAlignment="1">
      <alignment horizontal="center" wrapText="1"/>
    </xf>
    <xf numFmtId="0" fontId="100" fillId="0" borderId="0" xfId="17654" applyFont="1"/>
    <xf numFmtId="0" fontId="107" fillId="0" borderId="0" xfId="17654" applyFont="1"/>
    <xf numFmtId="169" fontId="109" fillId="71" borderId="0" xfId="17654" applyNumberFormat="1" applyFont="1" applyFill="1"/>
    <xf numFmtId="3" fontId="74" fillId="0" borderId="23" xfId="0" applyNumberFormat="1" applyFont="1" applyBorder="1" applyAlignment="1">
      <alignment horizontal="center"/>
    </xf>
    <xf numFmtId="168" fontId="72" fillId="36" borderId="149" xfId="0" applyNumberFormat="1" applyFont="1" applyFill="1" applyBorder="1"/>
    <xf numFmtId="0" fontId="113" fillId="0" borderId="0" xfId="663" applyFont="1"/>
    <xf numFmtId="0" fontId="112" fillId="0" borderId="15" xfId="0" applyFont="1" applyBorder="1"/>
    <xf numFmtId="0" fontId="112" fillId="0" borderId="0" xfId="0" applyFont="1"/>
    <xf numFmtId="0" fontId="72" fillId="0" borderId="0" xfId="663" applyFont="1"/>
    <xf numFmtId="0" fontId="71" fillId="0" borderId="0" xfId="0" applyFont="1" applyAlignment="1">
      <alignment vertical="center" wrapText="1"/>
    </xf>
    <xf numFmtId="0" fontId="75" fillId="0" borderId="0" xfId="530" applyFont="1" applyAlignment="1">
      <alignment horizontal="right"/>
    </xf>
    <xf numFmtId="0" fontId="78" fillId="0" borderId="0" xfId="0" applyFont="1"/>
    <xf numFmtId="0" fontId="74" fillId="0" borderId="0" xfId="0" applyFont="1" applyAlignment="1">
      <alignment horizontal="left" wrapText="1"/>
    </xf>
    <xf numFmtId="0" fontId="72" fillId="0" borderId="0" xfId="0" applyFont="1" applyAlignment="1">
      <alignment wrapText="1"/>
    </xf>
    <xf numFmtId="49" fontId="75" fillId="0" borderId="0" xfId="0" applyNumberFormat="1" applyFont="1" applyAlignment="1">
      <alignment horizontal="left"/>
    </xf>
    <xf numFmtId="0" fontId="76" fillId="0" borderId="0" xfId="0" applyFont="1"/>
    <xf numFmtId="3" fontId="78" fillId="0" borderId="0" xfId="0" applyNumberFormat="1" applyFont="1"/>
    <xf numFmtId="0" fontId="75" fillId="0" borderId="0" xfId="0" applyFont="1" applyAlignment="1">
      <alignment horizontal="left" vertical="center"/>
    </xf>
    <xf numFmtId="49" fontId="74" fillId="0" borderId="0" xfId="0" applyNumberFormat="1" applyFont="1"/>
    <xf numFmtId="0" fontId="116" fillId="0" borderId="0" xfId="0" applyFont="1"/>
    <xf numFmtId="49" fontId="75" fillId="0" borderId="0" xfId="0" applyNumberFormat="1" applyFont="1"/>
    <xf numFmtId="49" fontId="78" fillId="0" borderId="0" xfId="0" applyNumberFormat="1" applyFont="1"/>
    <xf numFmtId="0" fontId="76" fillId="0" borderId="0" xfId="0" quotePrefix="1" applyFont="1"/>
    <xf numFmtId="165" fontId="78" fillId="0" borderId="0" xfId="0" applyNumberFormat="1" applyFont="1"/>
    <xf numFmtId="43" fontId="78" fillId="0" borderId="0" xfId="0" applyNumberFormat="1" applyFont="1"/>
    <xf numFmtId="0" fontId="72" fillId="0" borderId="116" xfId="0" applyFont="1" applyBorder="1"/>
    <xf numFmtId="0" fontId="74" fillId="0" borderId="117" xfId="0" applyFont="1" applyBorder="1" applyAlignment="1">
      <alignment horizontal="center"/>
    </xf>
    <xf numFmtId="0" fontId="72" fillId="0" borderId="118" xfId="0" applyFont="1" applyBorder="1"/>
    <xf numFmtId="0" fontId="72" fillId="0" borderId="119" xfId="0" applyFont="1" applyBorder="1"/>
    <xf numFmtId="49" fontId="75" fillId="0" borderId="120" xfId="0" applyNumberFormat="1" applyFont="1" applyBorder="1" applyAlignment="1">
      <alignment horizontal="center"/>
    </xf>
    <xf numFmtId="0" fontId="75" fillId="0" borderId="10" xfId="0" applyFont="1" applyBorder="1" applyAlignment="1">
      <alignment horizontal="center"/>
    </xf>
    <xf numFmtId="0" fontId="75" fillId="0" borderId="115" xfId="0" applyFont="1" applyBorder="1" applyAlignment="1">
      <alignment horizontal="center"/>
    </xf>
    <xf numFmtId="0" fontId="75" fillId="0" borderId="44" xfId="0" applyFont="1" applyBorder="1" applyAlignment="1">
      <alignment horizontal="center"/>
    </xf>
    <xf numFmtId="0" fontId="74" fillId="0" borderId="120" xfId="0" applyFont="1" applyBorder="1" applyAlignment="1">
      <alignment horizontal="center"/>
    </xf>
    <xf numFmtId="0" fontId="75" fillId="0" borderId="121" xfId="0" applyFont="1" applyBorder="1" applyAlignment="1">
      <alignment horizontal="center"/>
    </xf>
    <xf numFmtId="37" fontId="72" fillId="0" borderId="122" xfId="0" applyNumberFormat="1" applyFont="1" applyBorder="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3" xfId="3292" applyNumberFormat="1" applyFont="1" applyBorder="1" applyAlignment="1" applyProtection="1">
      <alignment horizontal="right"/>
    </xf>
    <xf numFmtId="0" fontId="72" fillId="0" borderId="120" xfId="0" applyFont="1" applyBorder="1"/>
    <xf numFmtId="3" fontId="78" fillId="0" borderId="115" xfId="181" applyNumberFormat="1" applyFont="1" applyBorder="1" applyProtection="1"/>
    <xf numFmtId="0" fontId="74" fillId="0" borderId="124" xfId="0" applyFont="1" applyBorder="1"/>
    <xf numFmtId="3" fontId="75" fillId="0" borderId="90" xfId="181" applyNumberFormat="1" applyFont="1" applyFill="1" applyBorder="1" applyAlignment="1" applyProtection="1"/>
    <xf numFmtId="3" fontId="75" fillId="0" borderId="91" xfId="181" applyNumberFormat="1" applyFont="1" applyBorder="1" applyProtection="1"/>
    <xf numFmtId="10" fontId="75" fillId="0" borderId="89" xfId="3292" quotePrefix="1" applyNumberFormat="1" applyFont="1" applyFill="1" applyBorder="1" applyAlignment="1" applyProtection="1">
      <alignment horizontal="right"/>
    </xf>
    <xf numFmtId="167" fontId="75" fillId="0" borderId="125" xfId="3292" applyNumberFormat="1" applyFont="1" applyBorder="1" applyAlignment="1" applyProtection="1">
      <alignment horizontal="right"/>
    </xf>
    <xf numFmtId="9" fontId="78" fillId="0" borderId="0" xfId="3292" applyFont="1" applyProtection="1"/>
    <xf numFmtId="4" fontId="78" fillId="0" borderId="0" xfId="3292" quotePrefix="1" applyNumberFormat="1" applyFont="1" applyFill="1" applyBorder="1" applyAlignment="1" applyProtection="1">
      <alignment horizontal="right"/>
    </xf>
    <xf numFmtId="49" fontId="75" fillId="0" borderId="126" xfId="0" applyNumberFormat="1" applyFont="1" applyBorder="1" applyAlignment="1">
      <alignment horizontal="center"/>
    </xf>
    <xf numFmtId="0" fontId="75" fillId="0" borderId="24" xfId="0" applyFont="1" applyBorder="1" applyAlignment="1">
      <alignment horizontal="center"/>
    </xf>
    <xf numFmtId="0" fontId="75" fillId="0" borderId="25" xfId="0" applyFont="1" applyBorder="1" applyAlignment="1">
      <alignment horizontal="center"/>
    </xf>
    <xf numFmtId="0" fontId="75" fillId="0" borderId="127" xfId="0" applyFont="1" applyBorder="1" applyAlignment="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28" xfId="3292" applyNumberFormat="1" applyFont="1" applyBorder="1" applyAlignment="1" applyProtection="1">
      <alignment horizontal="right"/>
    </xf>
    <xf numFmtId="0" fontId="118" fillId="0" borderId="0" xfId="0" applyFont="1"/>
    <xf numFmtId="0" fontId="119" fillId="0" borderId="0" xfId="0" applyFont="1"/>
    <xf numFmtId="0" fontId="120" fillId="0" borderId="0" xfId="0" applyFont="1"/>
    <xf numFmtId="49" fontId="75" fillId="0" borderId="0" xfId="0" applyNumberFormat="1" applyFont="1" applyAlignment="1">
      <alignment vertical="top"/>
    </xf>
    <xf numFmtId="37" fontId="78" fillId="24" borderId="0" xfId="0" quotePrefix="1" applyNumberFormat="1" applyFont="1" applyFill="1" applyAlignment="1">
      <alignment horizontal="right"/>
    </xf>
    <xf numFmtId="0" fontId="75" fillId="0" borderId="103" xfId="0" applyFont="1" applyBorder="1" applyAlignment="1">
      <alignment horizontal="center"/>
    </xf>
    <xf numFmtId="0" fontId="75" fillId="0" borderId="36" xfId="0" applyFont="1" applyBorder="1" applyAlignment="1">
      <alignment horizontal="center" wrapText="1"/>
    </xf>
    <xf numFmtId="37" fontId="78" fillId="0" borderId="104" xfId="0" applyNumberFormat="1" applyFont="1" applyBorder="1"/>
    <xf numFmtId="0" fontId="75" fillId="0" borderId="105" xfId="0" applyFont="1" applyBorder="1"/>
    <xf numFmtId="37" fontId="78" fillId="24" borderId="37" xfId="0" applyNumberFormat="1" applyFont="1" applyFill="1" applyBorder="1" applyAlignment="1">
      <alignment horizontal="right"/>
    </xf>
    <xf numFmtId="164" fontId="72" fillId="0" borderId="0" xfId="0" applyNumberFormat="1" applyFont="1"/>
    <xf numFmtId="0" fontId="121" fillId="0" borderId="0" xfId="0" applyFont="1"/>
    <xf numFmtId="0" fontId="73" fillId="0" borderId="0" xfId="0" applyFont="1"/>
    <xf numFmtId="49" fontId="74" fillId="0" borderId="0" xfId="0" applyNumberFormat="1" applyFont="1" applyAlignment="1">
      <alignment horizontal="left" vertical="top"/>
    </xf>
    <xf numFmtId="49" fontId="74" fillId="0" borderId="0" xfId="0" applyNumberFormat="1" applyFont="1" applyAlignment="1">
      <alignment horizontal="left"/>
    </xf>
    <xf numFmtId="49" fontId="72" fillId="0" borderId="0" xfId="0" applyNumberFormat="1" applyFont="1"/>
    <xf numFmtId="0" fontId="78" fillId="24" borderId="0" xfId="0" applyFont="1" applyFill="1"/>
    <xf numFmtId="49" fontId="74" fillId="0" borderId="0" xfId="0" applyNumberFormat="1" applyFont="1" applyAlignment="1">
      <alignment vertical="top"/>
    </xf>
    <xf numFmtId="37" fontId="72" fillId="0" borderId="0" xfId="0" applyNumberFormat="1" applyFont="1"/>
    <xf numFmtId="37" fontId="71" fillId="0" borderId="62" xfId="0" applyNumberFormat="1" applyFont="1" applyBorder="1"/>
    <xf numFmtId="0" fontId="74" fillId="0" borderId="0" xfId="0" applyFont="1" applyAlignment="1">
      <alignment vertical="top"/>
    </xf>
    <xf numFmtId="4" fontId="71" fillId="0" borderId="62" xfId="0" quotePrefix="1" applyNumberFormat="1" applyFont="1" applyBorder="1" applyAlignment="1">
      <alignment horizontal="center"/>
    </xf>
    <xf numFmtId="0" fontId="122" fillId="0" borderId="0" xfId="0" applyFont="1"/>
    <xf numFmtId="4" fontId="71" fillId="0" borderId="62" xfId="0" applyNumberFormat="1" applyFont="1" applyBorder="1" applyAlignment="1">
      <alignment horizontal="center"/>
    </xf>
    <xf numFmtId="4" fontId="71" fillId="0" borderId="0" xfId="0" applyNumberFormat="1" applyFont="1" applyAlignment="1">
      <alignment horizontal="center"/>
    </xf>
    <xf numFmtId="0" fontId="71" fillId="0" borderId="62" xfId="0" quotePrefix="1" applyFont="1" applyBorder="1" applyAlignment="1">
      <alignment horizontal="center"/>
    </xf>
    <xf numFmtId="0" fontId="72" fillId="0" borderId="0" xfId="0" applyFont="1" applyAlignment="1" applyProtection="1">
      <alignment vertical="top"/>
      <protection locked="0"/>
    </xf>
    <xf numFmtId="168" fontId="72" fillId="0" borderId="0" xfId="0" applyNumberFormat="1" applyFont="1"/>
    <xf numFmtId="37" fontId="72" fillId="0" borderId="0" xfId="181" applyNumberFormat="1" applyFont="1" applyBorder="1" applyProtection="1"/>
    <xf numFmtId="37" fontId="72" fillId="0" borderId="0" xfId="181" applyNumberFormat="1" applyFont="1" applyProtection="1"/>
    <xf numFmtId="3" fontId="72" fillId="0" borderId="0" xfId="181" applyNumberFormat="1" applyFont="1" applyProtection="1"/>
    <xf numFmtId="5" fontId="72" fillId="0" borderId="0" xfId="0" applyNumberFormat="1" applyFont="1" applyAlignment="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xf numFmtId="0" fontId="74" fillId="0" borderId="0" xfId="0" applyFont="1" applyAlignment="1">
      <alignment horizontal="right"/>
    </xf>
    <xf numFmtId="0" fontId="124" fillId="0" borderId="0" xfId="0" applyFont="1"/>
    <xf numFmtId="0" fontId="125" fillId="0" borderId="0" xfId="0" applyFont="1"/>
    <xf numFmtId="0" fontId="108" fillId="0" borderId="0" xfId="0" applyFont="1"/>
    <xf numFmtId="0" fontId="128" fillId="0" borderId="0" xfId="0" applyFont="1" applyAlignment="1">
      <alignment horizontal="left" wrapText="1"/>
    </xf>
    <xf numFmtId="0" fontId="131" fillId="0" borderId="0" xfId="0" applyFont="1"/>
    <xf numFmtId="37" fontId="100" fillId="0" borderId="0" xfId="0" applyNumberFormat="1" applyFont="1"/>
    <xf numFmtId="37" fontId="100" fillId="0" borderId="10" xfId="0" applyNumberFormat="1" applyFont="1" applyBorder="1"/>
    <xf numFmtId="37" fontId="100" fillId="0" borderId="11" xfId="0" applyNumberFormat="1" applyFont="1" applyBorder="1"/>
    <xf numFmtId="49" fontId="100" fillId="0" borderId="10" xfId="0" applyNumberFormat="1" applyFont="1" applyBorder="1" applyAlignment="1">
      <alignment horizontal="right"/>
    </xf>
    <xf numFmtId="168" fontId="100" fillId="24" borderId="11" xfId="0" applyNumberFormat="1" applyFont="1" applyFill="1" applyBorder="1"/>
    <xf numFmtId="37" fontId="100" fillId="0" borderId="10" xfId="0" applyNumberFormat="1" applyFont="1" applyBorder="1" applyAlignment="1">
      <alignment horizontal="right"/>
    </xf>
    <xf numFmtId="0" fontId="100" fillId="0" borderId="0" xfId="0" applyFont="1" applyAlignment="1">
      <alignment vertical="center"/>
    </xf>
    <xf numFmtId="3" fontId="100" fillId="24" borderId="11" xfId="181" applyNumberFormat="1" applyFont="1" applyFill="1" applyBorder="1" applyAlignment="1" applyProtection="1">
      <alignment horizontal="right"/>
    </xf>
    <xf numFmtId="5" fontId="130" fillId="24" borderId="11" xfId="0" applyNumberFormat="1" applyFont="1" applyFill="1" applyBorder="1" applyAlignment="1">
      <alignment horizontal="right"/>
    </xf>
    <xf numFmtId="5" fontId="100" fillId="0" borderId="11" xfId="0" applyNumberFormat="1" applyFont="1" applyBorder="1" applyAlignment="1">
      <alignment horizontal="right"/>
    </xf>
    <xf numFmtId="37" fontId="100" fillId="24" borderId="11" xfId="0" applyNumberFormat="1" applyFont="1" applyFill="1" applyBorder="1" applyAlignment="1">
      <alignment horizontal="right"/>
    </xf>
    <xf numFmtId="37" fontId="129" fillId="24" borderId="11" xfId="0" applyNumberFormat="1" applyFont="1" applyFill="1" applyBorder="1" applyAlignment="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lignment horizontal="right"/>
    </xf>
    <xf numFmtId="37" fontId="132" fillId="0" borderId="0" xfId="0" applyNumberFormat="1" applyFont="1"/>
    <xf numFmtId="37" fontId="100" fillId="0" borderId="10" xfId="0" quotePrefix="1" applyNumberFormat="1" applyFont="1" applyBorder="1" applyAlignment="1">
      <alignment horizontal="right"/>
    </xf>
    <xf numFmtId="164" fontId="100" fillId="0" borderId="10" xfId="0" applyNumberFormat="1" applyFont="1" applyBorder="1" applyAlignment="1">
      <alignment horizontal="right"/>
    </xf>
    <xf numFmtId="37" fontId="100" fillId="24" borderId="10" xfId="0" applyNumberFormat="1" applyFont="1" applyFill="1" applyBorder="1" applyAlignment="1">
      <alignment horizontal="right"/>
    </xf>
    <xf numFmtId="37" fontId="129" fillId="0" borderId="10" xfId="0" applyNumberFormat="1" applyFont="1" applyBorder="1" applyAlignment="1">
      <alignment horizontal="right"/>
    </xf>
    <xf numFmtId="5" fontId="100" fillId="0" borderId="0" xfId="0" applyNumberFormat="1" applyFont="1"/>
    <xf numFmtId="37" fontId="100" fillId="0" borderId="11" xfId="0" applyNumberFormat="1" applyFont="1" applyBorder="1" applyAlignment="1">
      <alignment horizontal="right"/>
    </xf>
    <xf numFmtId="37" fontId="129" fillId="24" borderId="10" xfId="0" applyNumberFormat="1" applyFont="1" applyFill="1" applyBorder="1" applyAlignment="1">
      <alignment horizontal="right"/>
    </xf>
    <xf numFmtId="0" fontId="100" fillId="0" borderId="10" xfId="0" applyFont="1" applyBorder="1" applyAlignment="1">
      <alignment horizontal="right"/>
    </xf>
    <xf numFmtId="37" fontId="133" fillId="24" borderId="10" xfId="0" applyNumberFormat="1" applyFont="1" applyFill="1" applyBorder="1" applyAlignment="1">
      <alignment horizontal="right"/>
    </xf>
    <xf numFmtId="37" fontId="129" fillId="24" borderId="10" xfId="0" applyNumberFormat="1" applyFont="1" applyFill="1" applyBorder="1"/>
    <xf numFmtId="49" fontId="100" fillId="0" borderId="10" xfId="0" quotePrefix="1" applyNumberFormat="1" applyFont="1" applyBorder="1" applyAlignment="1">
      <alignment horizontal="right"/>
    </xf>
    <xf numFmtId="37" fontId="108" fillId="0" borderId="0" xfId="0" applyNumberFormat="1" applyFont="1" applyAlignment="1">
      <alignment horizontal="fill"/>
    </xf>
    <xf numFmtId="37" fontId="130" fillId="24" borderId="10" xfId="0" applyNumberFormat="1" applyFont="1" applyFill="1" applyBorder="1" applyAlignment="1">
      <alignment horizontal="fill"/>
    </xf>
    <xf numFmtId="37" fontId="135" fillId="0" borderId="0" xfId="0" applyNumberFormat="1" applyFont="1"/>
    <xf numFmtId="37" fontId="100" fillId="25" borderId="0" xfId="0" applyNumberFormat="1" applyFont="1" applyFill="1"/>
    <xf numFmtId="37" fontId="135" fillId="25" borderId="0" xfId="0" applyNumberFormat="1" applyFont="1" applyFill="1"/>
    <xf numFmtId="0" fontId="133" fillId="0" borderId="0" xfId="0" applyFont="1"/>
    <xf numFmtId="37" fontId="100" fillId="24" borderId="10" xfId="0" applyNumberFormat="1" applyFont="1" applyFill="1" applyBorder="1"/>
    <xf numFmtId="37" fontId="136" fillId="0" borderId="0" xfId="0" applyNumberFormat="1" applyFont="1"/>
    <xf numFmtId="37" fontId="136" fillId="0" borderId="0" xfId="0" applyNumberFormat="1" applyFont="1" applyAlignment="1">
      <alignment horizontal="right"/>
    </xf>
    <xf numFmtId="37" fontId="136" fillId="24" borderId="0" xfId="0" applyNumberFormat="1" applyFont="1" applyFill="1"/>
    <xf numFmtId="0" fontId="136" fillId="0" borderId="0" xfId="0" applyFont="1"/>
    <xf numFmtId="5" fontId="130" fillId="75" borderId="11" xfId="0" applyNumberFormat="1" applyFont="1" applyFill="1" applyBorder="1" applyAlignment="1">
      <alignment horizontal="right"/>
    </xf>
    <xf numFmtId="5" fontId="130" fillId="75" borderId="10" xfId="0" applyNumberFormat="1" applyFont="1" applyFill="1" applyBorder="1" applyAlignment="1">
      <alignment horizontal="right"/>
    </xf>
    <xf numFmtId="37" fontId="108" fillId="0" borderId="11" xfId="0" applyNumberFormat="1" applyFont="1" applyBorder="1" applyAlignment="1">
      <alignment horizontal="fill"/>
    </xf>
    <xf numFmtId="0" fontId="126" fillId="0" borderId="0" xfId="0" applyFont="1"/>
    <xf numFmtId="0" fontId="109" fillId="0" borderId="0" xfId="0" applyFont="1"/>
    <xf numFmtId="0" fontId="141" fillId="0" borderId="0" xfId="0" applyFont="1"/>
    <xf numFmtId="0" fontId="105" fillId="0" borderId="0" xfId="0" applyFont="1" applyAlignment="1">
      <alignment vertical="center" wrapText="1"/>
    </xf>
    <xf numFmtId="3" fontId="129" fillId="0" borderId="0" xfId="0" applyNumberFormat="1" applyFont="1"/>
    <xf numFmtId="0" fontId="130" fillId="0" borderId="0" xfId="0" applyFont="1" applyAlignment="1">
      <alignment horizontal="left"/>
    </xf>
    <xf numFmtId="0" fontId="129" fillId="0" borderId="0" xfId="0" applyFont="1"/>
    <xf numFmtId="0" fontId="75" fillId="0" borderId="0" xfId="0" applyFont="1" applyAlignment="1">
      <alignment horizontal="center"/>
    </xf>
    <xf numFmtId="0" fontId="140" fillId="30" borderId="19" xfId="0" applyFont="1" applyFill="1" applyBorder="1" applyAlignment="1">
      <alignment horizontal="center" wrapText="1"/>
    </xf>
    <xf numFmtId="0" fontId="140" fillId="30" borderId="20" xfId="0" applyFont="1" applyFill="1" applyBorder="1" applyAlignment="1">
      <alignment horizontal="center" wrapText="1"/>
    </xf>
    <xf numFmtId="0" fontId="106" fillId="0" borderId="35" xfId="0" applyFont="1" applyBorder="1"/>
    <xf numFmtId="168" fontId="106" fillId="0" borderId="34" xfId="0" applyNumberFormat="1" applyFont="1" applyBorder="1"/>
    <xf numFmtId="37" fontId="105" fillId="26" borderId="147" xfId="0" applyNumberFormat="1" applyFont="1" applyFill="1" applyBorder="1" applyAlignment="1">
      <alignment horizontal="fill"/>
    </xf>
    <xf numFmtId="37" fontId="105" fillId="26" borderId="67" xfId="0" applyNumberFormat="1" applyFont="1" applyFill="1" applyBorder="1" applyAlignment="1">
      <alignment horizontal="fill"/>
    </xf>
    <xf numFmtId="37" fontId="105" fillId="0" borderId="0" xfId="0" applyNumberFormat="1" applyFont="1" applyAlignment="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lignment horizontal="right"/>
    </xf>
    <xf numFmtId="165" fontId="106" fillId="35" borderId="19" xfId="181" applyNumberFormat="1" applyFont="1" applyFill="1" applyBorder="1" applyProtection="1"/>
    <xf numFmtId="0" fontId="106" fillId="0" borderId="56" xfId="0" applyFont="1" applyBorder="1"/>
    <xf numFmtId="0" fontId="106" fillId="0" borderId="34" xfId="0" applyFont="1" applyBorder="1" applyAlignment="1">
      <alignment horizontal="center"/>
    </xf>
    <xf numFmtId="37" fontId="75" fillId="25" borderId="0" xfId="0" applyNumberFormat="1" applyFont="1" applyFill="1" applyAlignment="1">
      <alignment horizontal="fill"/>
    </xf>
    <xf numFmtId="165" fontId="75" fillId="25" borderId="0" xfId="181" applyNumberFormat="1" applyFont="1" applyFill="1" applyBorder="1" applyAlignment="1" applyProtection="1">
      <alignment horizontal="fill"/>
    </xf>
    <xf numFmtId="37" fontId="140" fillId="0" borderId="0" xfId="0" applyNumberFormat="1" applyFont="1" applyAlignment="1">
      <alignment horizontal="fill"/>
    </xf>
    <xf numFmtId="0" fontId="72" fillId="0" borderId="0" xfId="0" applyFont="1" applyAlignment="1">
      <alignment horizontal="right"/>
    </xf>
    <xf numFmtId="37" fontId="105" fillId="0" borderId="0" xfId="0" applyNumberFormat="1" applyFont="1" applyAlignment="1">
      <alignment horizontal="left"/>
    </xf>
    <xf numFmtId="37" fontId="106" fillId="0" borderId="0" xfId="0" applyNumberFormat="1" applyFont="1"/>
    <xf numFmtId="168" fontId="105" fillId="0" borderId="0" xfId="378" applyNumberFormat="1" applyFont="1" applyFill="1" applyBorder="1" applyProtection="1"/>
    <xf numFmtId="5" fontId="142" fillId="32" borderId="0" xfId="0" applyNumberFormat="1" applyFont="1" applyFill="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Font="1"/>
    <xf numFmtId="37" fontId="143" fillId="30" borderId="19" xfId="0" applyNumberFormat="1" applyFont="1" applyFill="1" applyBorder="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4" xfId="0" applyFont="1" applyBorder="1"/>
    <xf numFmtId="0" fontId="106" fillId="76" borderId="34" xfId="0" applyFont="1" applyFill="1" applyBorder="1"/>
    <xf numFmtId="37" fontId="104" fillId="30" borderId="29" xfId="0" applyNumberFormat="1" applyFont="1" applyFill="1" applyBorder="1"/>
    <xf numFmtId="37" fontId="143" fillId="30" borderId="29" xfId="0" applyNumberFormat="1" applyFont="1" applyFill="1" applyBorder="1"/>
    <xf numFmtId="168" fontId="104" fillId="30" borderId="19" xfId="378" applyNumberFormat="1" applyFont="1" applyFill="1" applyBorder="1" applyProtection="1"/>
    <xf numFmtId="37" fontId="143" fillId="77" borderId="19" xfId="0" applyNumberFormat="1" applyFont="1" applyFill="1" applyBorder="1" applyAlignment="1">
      <alignment horizontal="right"/>
    </xf>
    <xf numFmtId="37" fontId="104" fillId="30" borderId="47" xfId="0" applyNumberFormat="1" applyFont="1" applyFill="1" applyBorder="1"/>
    <xf numFmtId="37" fontId="143" fillId="30" borderId="47" xfId="0" applyNumberFormat="1" applyFont="1" applyFill="1" applyBorder="1"/>
    <xf numFmtId="168" fontId="104" fillId="30" borderId="47" xfId="378" applyNumberFormat="1" applyFont="1" applyFill="1" applyBorder="1" applyProtection="1"/>
    <xf numFmtId="37" fontId="104" fillId="74" borderId="19" xfId="0" applyNumberFormat="1" applyFont="1" applyFill="1" applyBorder="1" applyAlignment="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1" xfId="0" applyNumberFormat="1" applyFont="1" applyFill="1" applyBorder="1" applyAlignment="1">
      <alignment horizontal="fill"/>
    </xf>
    <xf numFmtId="37" fontId="104" fillId="74" borderId="82" xfId="0" applyNumberFormat="1" applyFont="1" applyFill="1" applyBorder="1" applyAlignment="1">
      <alignment horizontal="fill"/>
    </xf>
    <xf numFmtId="0" fontId="74" fillId="0" borderId="0" xfId="663" applyFont="1" applyAlignment="1">
      <alignment horizontal="center"/>
    </xf>
    <xf numFmtId="0" fontId="124" fillId="0" borderId="0" xfId="663" applyFont="1"/>
    <xf numFmtId="0" fontId="109" fillId="0" borderId="0" xfId="663" applyFont="1"/>
    <xf numFmtId="44" fontId="109" fillId="0" borderId="0" xfId="378" applyFont="1" applyFill="1" applyBorder="1" applyAlignment="1" applyProtection="1">
      <alignment horizontal="right"/>
    </xf>
    <xf numFmtId="0" fontId="109" fillId="0" borderId="0" xfId="663" applyFont="1" applyAlignment="1">
      <alignment horizontal="left"/>
    </xf>
    <xf numFmtId="39" fontId="124" fillId="0" borderId="0" xfId="663" applyNumberFormat="1" applyFont="1" applyAlignment="1">
      <alignment wrapText="1"/>
    </xf>
    <xf numFmtId="0" fontId="124" fillId="0" borderId="0" xfId="663" applyFont="1" applyAlignment="1">
      <alignment wrapText="1"/>
    </xf>
    <xf numFmtId="0" fontId="124" fillId="0" borderId="0" xfId="663" applyFont="1" applyAlignment="1">
      <alignment horizontal="left"/>
    </xf>
    <xf numFmtId="44" fontId="109" fillId="0" borderId="0" xfId="378" applyFont="1" applyFill="1" applyBorder="1" applyProtection="1"/>
    <xf numFmtId="0" fontId="104" fillId="0" borderId="0" xfId="0" applyFont="1"/>
    <xf numFmtId="0" fontId="143" fillId="0" borderId="0" xfId="0" applyFont="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0" xfId="0" applyFont="1" applyFill="1" applyBorder="1" applyAlignment="1">
      <alignment horizontal="center" wrapText="1"/>
    </xf>
    <xf numFmtId="0" fontId="74" fillId="30" borderId="20" xfId="0" applyFont="1" applyFill="1" applyBorder="1" applyAlignment="1">
      <alignment horizontal="center" wrapText="1"/>
    </xf>
    <xf numFmtId="0" fontId="72" fillId="74" borderId="100" xfId="530" applyFont="1" applyFill="1" applyBorder="1"/>
    <xf numFmtId="0" fontId="72" fillId="74" borderId="33" xfId="530" applyFont="1" applyFill="1" applyBorder="1"/>
    <xf numFmtId="4" fontId="72" fillId="74" borderId="100" xfId="530" applyNumberFormat="1" applyFont="1" applyFill="1" applyBorder="1"/>
    <xf numFmtId="3" fontId="72" fillId="74" borderId="100" xfId="530" applyNumberFormat="1" applyFont="1" applyFill="1" applyBorder="1"/>
    <xf numFmtId="0" fontId="72" fillId="0" borderId="100" xfId="0" applyFont="1" applyBorder="1"/>
    <xf numFmtId="0" fontId="74" fillId="0" borderId="100" xfId="0" applyFont="1" applyBorder="1"/>
    <xf numFmtId="3" fontId="74" fillId="0" borderId="100" xfId="0" applyNumberFormat="1" applyFont="1" applyBorder="1"/>
    <xf numFmtId="4" fontId="74" fillId="0" borderId="100" xfId="0" applyNumberFormat="1" applyFont="1" applyBorder="1"/>
    <xf numFmtId="168" fontId="74" fillId="0" borderId="100" xfId="0" applyNumberFormat="1" applyFont="1" applyBorder="1"/>
    <xf numFmtId="0" fontId="74" fillId="30" borderId="19" xfId="0" applyFont="1" applyFill="1" applyBorder="1" applyAlignment="1">
      <alignment horizontal="center" wrapText="1"/>
    </xf>
    <xf numFmtId="3" fontId="72" fillId="0" borderId="0" xfId="181" applyNumberFormat="1" applyFont="1" applyBorder="1" applyProtection="1"/>
    <xf numFmtId="0" fontId="72" fillId="74" borderId="19" xfId="530" applyFont="1" applyFill="1" applyBorder="1"/>
    <xf numFmtId="4" fontId="72" fillId="74" borderId="19" xfId="530" applyNumberFormat="1" applyFont="1" applyFill="1" applyBorder="1"/>
    <xf numFmtId="3" fontId="72" fillId="74" borderId="19" xfId="530" applyNumberFormat="1" applyFont="1" applyFill="1" applyBorder="1"/>
    <xf numFmtId="3" fontId="74" fillId="0" borderId="0" xfId="0" applyNumberFormat="1" applyFont="1"/>
    <xf numFmtId="0" fontId="74" fillId="0" borderId="23" xfId="0" applyFont="1" applyBorder="1"/>
    <xf numFmtId="3" fontId="74" fillId="0" borderId="23" xfId="0" applyNumberFormat="1" applyFont="1" applyBorder="1"/>
    <xf numFmtId="168" fontId="74" fillId="0" borderId="19" xfId="0" applyNumberFormat="1" applyFont="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xf numFmtId="0" fontId="74" fillId="72" borderId="23" xfId="0" applyFont="1" applyFill="1" applyBorder="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7" xfId="0" applyFont="1" applyFill="1" applyBorder="1" applyAlignment="1">
      <alignment horizontal="center" wrapText="1"/>
    </xf>
    <xf numFmtId="0" fontId="72" fillId="0" borderId="23" xfId="0"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2" xfId="0" applyFont="1" applyBorder="1"/>
    <xf numFmtId="0" fontId="72" fillId="0" borderId="0" xfId="0" applyFont="1" applyAlignment="1">
      <alignment vertical="top"/>
    </xf>
    <xf numFmtId="0" fontId="106" fillId="0" borderId="0" xfId="0" applyFont="1" applyAlignment="1">
      <alignment horizontal="centerContinuous"/>
    </xf>
    <xf numFmtId="0" fontId="105" fillId="0" borderId="0" xfId="181" applyNumberFormat="1" applyFont="1" applyBorder="1" applyAlignment="1" applyProtection="1"/>
    <xf numFmtId="10" fontId="106" fillId="0" borderId="0" xfId="0" applyNumberFormat="1" applyFont="1"/>
    <xf numFmtId="5" fontId="106" fillId="0" borderId="0" xfId="0" applyNumberFormat="1" applyFont="1"/>
    <xf numFmtId="0" fontId="104" fillId="0" borderId="0" xfId="0" applyFont="1" applyAlignment="1">
      <alignment horizontal="right"/>
    </xf>
    <xf numFmtId="0" fontId="140" fillId="0" borderId="0" xfId="0" applyFont="1" applyAlignment="1">
      <alignment horizontal="right"/>
    </xf>
    <xf numFmtId="0" fontId="104" fillId="0" borderId="0" xfId="0" applyFont="1" applyAlignment="1">
      <alignment horizontal="left"/>
    </xf>
    <xf numFmtId="0" fontId="74" fillId="0" borderId="22" xfId="0" applyFont="1" applyBorder="1" applyAlignment="1">
      <alignment horizontal="center"/>
    </xf>
    <xf numFmtId="4" fontId="72" fillId="0" borderId="16" xfId="181" applyNumberFormat="1" applyFont="1" applyBorder="1" applyProtection="1"/>
    <xf numFmtId="4" fontId="72" fillId="0" borderId="23" xfId="181" applyNumberFormat="1" applyFont="1" applyBorder="1" applyProtection="1"/>
    <xf numFmtId="4" fontId="72" fillId="30" borderId="82" xfId="181" applyNumberFormat="1" applyFont="1" applyFill="1" applyBorder="1" applyProtection="1"/>
    <xf numFmtId="4" fontId="72" fillId="0" borderId="29" xfId="181" applyNumberFormat="1" applyFont="1" applyBorder="1" applyProtection="1"/>
    <xf numFmtId="0" fontId="74" fillId="30" borderId="81" xfId="0" applyFont="1" applyFill="1" applyBorder="1"/>
    <xf numFmtId="4" fontId="72" fillId="0" borderId="34" xfId="181" applyNumberFormat="1" applyFont="1" applyBorder="1" applyProtection="1"/>
    <xf numFmtId="4" fontId="72" fillId="0" borderId="0" xfId="0" applyNumberFormat="1" applyFont="1"/>
    <xf numFmtId="4" fontId="78" fillId="0" borderId="34" xfId="0" applyNumberFormat="1" applyFont="1" applyBorder="1"/>
    <xf numFmtId="4" fontId="72" fillId="0" borderId="34" xfId="181" applyNumberFormat="1" applyFont="1" applyFill="1" applyBorder="1" applyProtection="1"/>
    <xf numFmtId="0" fontId="74" fillId="30" borderId="82" xfId="0" applyFont="1" applyFill="1" applyBorder="1"/>
    <xf numFmtId="0" fontId="74" fillId="0" borderId="17" xfId="0" applyFont="1" applyBorder="1" applyAlignment="1">
      <alignment horizontal="center"/>
    </xf>
    <xf numFmtId="4" fontId="149" fillId="0" borderId="34" xfId="0" applyNumberFormat="1" applyFont="1" applyBorder="1"/>
    <xf numFmtId="4" fontId="72" fillId="0" borderId="23" xfId="181" applyNumberFormat="1" applyFont="1" applyFill="1" applyBorder="1" applyProtection="1"/>
    <xf numFmtId="4" fontId="74" fillId="0" borderId="0" xfId="0" applyNumberFormat="1" applyFont="1"/>
    <xf numFmtId="10" fontId="72" fillId="0" borderId="0" xfId="0" applyNumberFormat="1" applyFont="1"/>
    <xf numFmtId="168" fontId="74" fillId="30" borderId="83" xfId="0" applyNumberFormat="1" applyFont="1" applyFill="1" applyBorder="1"/>
    <xf numFmtId="0" fontId="74" fillId="30" borderId="82" xfId="0" applyFont="1" applyFill="1" applyBorder="1" applyAlignment="1">
      <alignment horizontal="center"/>
    </xf>
    <xf numFmtId="168" fontId="74" fillId="30" borderId="82" xfId="0" applyNumberFormat="1" applyFont="1" applyFill="1" applyBorder="1"/>
    <xf numFmtId="168" fontId="74" fillId="30" borderId="19" xfId="0" applyNumberFormat="1" applyFont="1" applyFill="1" applyBorder="1"/>
    <xf numFmtId="0" fontId="74" fillId="0" borderId="159" xfId="0" applyFont="1" applyBorder="1"/>
    <xf numFmtId="4" fontId="74" fillId="30" borderId="19" xfId="0" applyNumberFormat="1" applyFont="1" applyFill="1" applyBorder="1"/>
    <xf numFmtId="4" fontId="72" fillId="0" borderId="56"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6"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0" xfId="181" applyNumberFormat="1" applyFont="1" applyBorder="1" applyProtection="1"/>
    <xf numFmtId="0" fontId="74" fillId="72" borderId="29" xfId="0" applyFont="1" applyFill="1" applyBorder="1"/>
    <xf numFmtId="0" fontId="74" fillId="72" borderId="19" xfId="0" applyFont="1" applyFill="1" applyBorder="1"/>
    <xf numFmtId="0" fontId="100" fillId="0" borderId="29" xfId="0" applyFont="1" applyBorder="1"/>
    <xf numFmtId="168" fontId="150" fillId="0" borderId="16" xfId="0" applyNumberFormat="1" applyFont="1" applyBorder="1"/>
    <xf numFmtId="3" fontId="150" fillId="0" borderId="16" xfId="0" applyNumberFormat="1" applyFont="1" applyBorder="1"/>
    <xf numFmtId="0" fontId="100" fillId="30" borderId="81" xfId="0" applyFont="1" applyFill="1" applyBorder="1"/>
    <xf numFmtId="0" fontId="100" fillId="30" borderId="19" xfId="0" applyFont="1" applyFill="1" applyBorder="1"/>
    <xf numFmtId="0" fontId="100" fillId="30" borderId="82" xfId="0" applyFont="1" applyFill="1" applyBorder="1"/>
    <xf numFmtId="0" fontId="105" fillId="0" borderId="0" xfId="0" applyFont="1"/>
    <xf numFmtId="166" fontId="105" fillId="0" borderId="0" xfId="0" applyNumberFormat="1" applyFont="1"/>
    <xf numFmtId="166" fontId="105" fillId="0" borderId="101" xfId="0" applyNumberFormat="1" applyFont="1" applyBorder="1"/>
    <xf numFmtId="3" fontId="72" fillId="78" borderId="43" xfId="0" applyNumberFormat="1" applyFont="1" applyFill="1" applyBorder="1"/>
    <xf numFmtId="0" fontId="72" fillId="0" borderId="155" xfId="0" applyFont="1" applyBorder="1"/>
    <xf numFmtId="0" fontId="105" fillId="0" borderId="23" xfId="0" applyFont="1" applyBorder="1"/>
    <xf numFmtId="166" fontId="105" fillId="32" borderId="81"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Border="1" applyAlignment="1">
      <alignment horizontal="left" wrapText="1"/>
    </xf>
    <xf numFmtId="0" fontId="151" fillId="0" borderId="162" xfId="0" applyFont="1" applyBorder="1" applyAlignment="1">
      <alignment vertical="center"/>
    </xf>
    <xf numFmtId="0" fontId="151" fillId="0" borderId="161" xfId="0" applyFont="1" applyBorder="1" applyAlignment="1">
      <alignment vertical="center"/>
    </xf>
    <xf numFmtId="0" fontId="105" fillId="0" borderId="38" xfId="0" applyFont="1" applyBorder="1"/>
    <xf numFmtId="10" fontId="75" fillId="36" borderId="67" xfId="495" applyNumberFormat="1" applyFont="1" applyFill="1" applyBorder="1" applyAlignment="1">
      <alignment horizontal="center"/>
    </xf>
    <xf numFmtId="0" fontId="71" fillId="0" borderId="19" xfId="0" applyFont="1" applyBorder="1" applyAlignment="1">
      <alignment wrapText="1"/>
    </xf>
    <xf numFmtId="168" fontId="105" fillId="0" borderId="0" xfId="0" applyNumberFormat="1" applyFont="1"/>
    <xf numFmtId="166" fontId="72" fillId="36" borderId="56" xfId="0" applyNumberFormat="1" applyFont="1" applyFill="1" applyBorder="1"/>
    <xf numFmtId="166" fontId="105" fillId="36" borderId="82"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47"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168" fontId="105" fillId="36" borderId="154" xfId="0" applyNumberFormat="1" applyFont="1" applyFill="1" applyBorder="1"/>
    <xf numFmtId="166" fontId="105" fillId="32" borderId="19" xfId="0" applyNumberFormat="1" applyFont="1" applyFill="1" applyBorder="1"/>
    <xf numFmtId="166" fontId="105" fillId="32" borderId="63" xfId="0" applyNumberFormat="1" applyFont="1" applyFill="1" applyBorder="1"/>
    <xf numFmtId="166" fontId="105" fillId="32" borderId="83" xfId="0" applyNumberFormat="1" applyFont="1" applyFill="1" applyBorder="1"/>
    <xf numFmtId="166" fontId="105" fillId="32" borderId="13" xfId="0" applyNumberFormat="1" applyFont="1" applyFill="1" applyBorder="1"/>
    <xf numFmtId="166" fontId="105" fillId="32" borderId="146" xfId="0" applyNumberFormat="1" applyFont="1" applyFill="1" applyBorder="1"/>
    <xf numFmtId="0" fontId="151" fillId="0" borderId="163" xfId="0" applyFont="1" applyBorder="1" applyAlignment="1">
      <alignment vertical="center"/>
    </xf>
    <xf numFmtId="4" fontId="78" fillId="0" borderId="23" xfId="181" applyNumberFormat="1" applyFont="1" applyBorder="1" applyProtection="1"/>
    <xf numFmtId="0" fontId="72" fillId="0" borderId="17" xfId="0" applyFont="1" applyBorder="1"/>
    <xf numFmtId="165" fontId="72" fillId="0" borderId="0" xfId="181" applyNumberFormat="1" applyFont="1"/>
    <xf numFmtId="165" fontId="72" fillId="0" borderId="0" xfId="0" applyNumberFormat="1" applyFont="1"/>
    <xf numFmtId="168" fontId="72" fillId="0" borderId="68" xfId="0" applyNumberFormat="1" applyFont="1" applyBorder="1"/>
    <xf numFmtId="168" fontId="72" fillId="0" borderId="36" xfId="0" applyNumberFormat="1" applyFont="1" applyBorder="1"/>
    <xf numFmtId="168" fontId="105" fillId="0" borderId="37" xfId="0" applyNumberFormat="1" applyFont="1" applyBorder="1"/>
    <xf numFmtId="168" fontId="105" fillId="0" borderId="46" xfId="0" applyNumberFormat="1" applyFont="1" applyBorder="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xf numFmtId="0" fontId="100" fillId="0" borderId="15" xfId="0" applyFont="1" applyBorder="1" applyAlignment="1">
      <alignment horizontal="center"/>
    </xf>
    <xf numFmtId="0" fontId="108" fillId="29" borderId="19" xfId="0" applyFont="1" applyFill="1" applyBorder="1"/>
    <xf numFmtId="0" fontId="108" fillId="0" borderId="19" xfId="0" applyFont="1" applyBorder="1"/>
    <xf numFmtId="0" fontId="108" fillId="0" borderId="21" xfId="0" applyFont="1" applyBorder="1"/>
    <xf numFmtId="0" fontId="108" fillId="0" borderId="23" xfId="0" applyFont="1" applyBorder="1"/>
    <xf numFmtId="168" fontId="108" fillId="0" borderId="22" xfId="0" applyNumberFormat="1" applyFont="1" applyBorder="1"/>
    <xf numFmtId="3" fontId="125" fillId="0" borderId="0" xfId="0" applyNumberFormat="1" applyFont="1"/>
    <xf numFmtId="3" fontId="105" fillId="0" borderId="23" xfId="0" applyNumberFormat="1" applyFont="1" applyBorder="1" applyAlignment="1">
      <alignment horizontal="right" wrapText="1"/>
    </xf>
    <xf numFmtId="3" fontId="105" fillId="36" borderId="23" xfId="0" applyNumberFormat="1" applyFont="1" applyFill="1" applyBorder="1" applyAlignment="1">
      <alignment horizontal="right" wrapText="1"/>
    </xf>
    <xf numFmtId="168" fontId="105" fillId="32" borderId="152" xfId="0" applyNumberFormat="1" applyFont="1" applyFill="1" applyBorder="1"/>
    <xf numFmtId="168" fontId="105" fillId="32" borderId="153" xfId="0" applyNumberFormat="1" applyFont="1" applyFill="1" applyBorder="1"/>
    <xf numFmtId="165" fontId="105" fillId="0" borderId="0" xfId="181" applyNumberFormat="1" applyFont="1" applyFill="1" applyBorder="1"/>
    <xf numFmtId="0" fontId="76" fillId="0" borderId="0" xfId="0" applyFont="1" applyAlignment="1">
      <alignment horizontal="left"/>
    </xf>
    <xf numFmtId="165" fontId="71" fillId="0" borderId="0" xfId="181" applyNumberFormat="1" applyFont="1" applyFill="1"/>
    <xf numFmtId="3" fontId="77" fillId="0" borderId="0" xfId="0" applyNumberFormat="1" applyFont="1"/>
    <xf numFmtId="49" fontId="75" fillId="0" borderId="0" xfId="0" applyNumberFormat="1" applyFont="1" applyAlignment="1">
      <alignment horizontal="left" vertical="top"/>
    </xf>
    <xf numFmtId="0" fontId="155" fillId="0" borderId="0" xfId="0" applyFont="1"/>
    <xf numFmtId="4" fontId="156" fillId="32" borderId="34" xfId="0" applyNumberFormat="1" applyFont="1" applyFill="1" applyBorder="1" applyProtection="1">
      <protection locked="0"/>
    </xf>
    <xf numFmtId="0" fontId="72" fillId="30" borderId="19" xfId="0" applyFont="1" applyFill="1" applyBorder="1"/>
    <xf numFmtId="0" fontId="72" fillId="30" borderId="82" xfId="0" applyFont="1" applyFill="1" applyBorder="1"/>
    <xf numFmtId="3" fontId="157" fillId="32" borderId="66" xfId="0" applyNumberFormat="1" applyFont="1" applyFill="1" applyBorder="1" applyProtection="1">
      <protection locked="0"/>
    </xf>
    <xf numFmtId="3" fontId="157" fillId="32" borderId="65"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48" xfId="0" applyNumberFormat="1" applyFont="1" applyFill="1" applyBorder="1" applyProtection="1">
      <protection locked="0"/>
    </xf>
    <xf numFmtId="168" fontId="157" fillId="32" borderId="0" xfId="0" applyNumberFormat="1" applyFont="1" applyFill="1" applyProtection="1">
      <protection locked="0"/>
    </xf>
    <xf numFmtId="168" fontId="157" fillId="32" borderId="29" xfId="0" applyNumberFormat="1" applyFont="1" applyFill="1" applyBorder="1" applyProtection="1">
      <protection locked="0"/>
    </xf>
    <xf numFmtId="3" fontId="157" fillId="32" borderId="0" xfId="0" applyNumberFormat="1" applyFont="1" applyFill="1" applyProtection="1">
      <protection locked="0"/>
    </xf>
    <xf numFmtId="3" fontId="157" fillId="32" borderId="47" xfId="0" applyNumberFormat="1" applyFont="1" applyFill="1" applyBorder="1" applyProtection="1">
      <protection locked="0"/>
    </xf>
    <xf numFmtId="168" fontId="158" fillId="32"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Alignment="1" applyProtection="1">
      <alignment horizontal="left" vertical="top" wrapText="1"/>
      <protection locked="0"/>
    </xf>
    <xf numFmtId="0" fontId="161" fillId="0" borderId="0" xfId="0" applyFont="1"/>
    <xf numFmtId="0" fontId="74" fillId="0" borderId="159" xfId="0" applyFont="1" applyBorder="1" applyAlignment="1">
      <alignment horizontal="center"/>
    </xf>
    <xf numFmtId="0" fontId="154" fillId="0" borderId="0" xfId="0" applyFont="1"/>
    <xf numFmtId="0" fontId="74" fillId="0" borderId="0" xfId="0" applyFont="1" applyAlignment="1">
      <alignment horizontal="left" vertical="top"/>
    </xf>
    <xf numFmtId="166" fontId="72" fillId="32" borderId="51" xfId="0" applyNumberFormat="1" applyFont="1" applyFill="1" applyBorder="1"/>
    <xf numFmtId="166" fontId="72" fillId="32" borderId="50" xfId="0" applyNumberFormat="1" applyFont="1" applyFill="1" applyBorder="1"/>
    <xf numFmtId="171" fontId="72" fillId="32" borderId="144" xfId="182" applyNumberFormat="1" applyFont="1" applyFill="1" applyBorder="1"/>
    <xf numFmtId="171" fontId="72" fillId="32" borderId="51" xfId="182" applyNumberFormat="1" applyFont="1" applyFill="1" applyBorder="1"/>
    <xf numFmtId="171" fontId="72" fillId="32" borderId="50" xfId="182" applyNumberFormat="1" applyFont="1" applyFill="1" applyBorder="1"/>
    <xf numFmtId="171" fontId="72" fillId="32" borderId="0" xfId="182" applyNumberFormat="1" applyFont="1" applyFill="1"/>
    <xf numFmtId="169" fontId="78" fillId="32" borderId="29" xfId="17654" applyNumberFormat="1" applyFont="1" applyFill="1" applyBorder="1"/>
    <xf numFmtId="166" fontId="72" fillId="32" borderId="34" xfId="182" applyNumberFormat="1" applyFont="1" applyFill="1" applyBorder="1"/>
    <xf numFmtId="166" fontId="78" fillId="32" borderId="34" xfId="17654" applyNumberFormat="1" applyFont="1" applyFill="1" applyBorder="1"/>
    <xf numFmtId="170" fontId="74" fillId="32" borderId="0" xfId="181" applyNumberFormat="1" applyFont="1" applyFill="1" applyBorder="1"/>
    <xf numFmtId="0" fontId="164" fillId="0" borderId="0" xfId="0" applyFont="1"/>
    <xf numFmtId="0" fontId="164" fillId="32" borderId="0" xfId="0" applyFont="1" applyFill="1"/>
    <xf numFmtId="0" fontId="72" fillId="32" borderId="0" xfId="0" applyFont="1" applyFill="1"/>
    <xf numFmtId="3" fontId="72" fillId="32" borderId="23" xfId="0" applyNumberFormat="1" applyFont="1" applyFill="1" applyBorder="1"/>
    <xf numFmtId="168" fontId="105" fillId="32" borderId="23" xfId="0" applyNumberFormat="1" applyFont="1" applyFill="1" applyBorder="1"/>
    <xf numFmtId="0" fontId="74" fillId="0" borderId="0" xfId="17654" applyFont="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0" fontId="154" fillId="38" borderId="0" xfId="49346" applyFont="1" applyFill="1" applyAlignment="1">
      <alignment horizontal="center" wrapText="1"/>
    </xf>
    <xf numFmtId="0" fontId="104" fillId="0" borderId="0" xfId="0" applyFont="1" applyAlignment="1">
      <alignment horizontal="center" wrapText="1"/>
    </xf>
    <xf numFmtId="0" fontId="126" fillId="74" borderId="83" xfId="0" applyFont="1" applyFill="1" applyBorder="1"/>
    <xf numFmtId="0" fontId="126" fillId="74" borderId="81" xfId="0" applyFont="1" applyFill="1" applyBorder="1"/>
    <xf numFmtId="0" fontId="100" fillId="0" borderId="147" xfId="0" applyFont="1" applyBorder="1" applyAlignment="1">
      <alignment horizontal="center"/>
    </xf>
    <xf numFmtId="0" fontId="108" fillId="29" borderId="81" xfId="0" applyFont="1" applyFill="1" applyBorder="1"/>
    <xf numFmtId="0" fontId="108" fillId="29" borderId="83" xfId="0" applyFont="1" applyFill="1" applyBorder="1"/>
    <xf numFmtId="0" fontId="108" fillId="29" borderId="82" xfId="0" applyFont="1" applyFill="1" applyBorder="1"/>
    <xf numFmtId="0" fontId="108" fillId="0" borderId="81" xfId="0" applyFont="1" applyBorder="1"/>
    <xf numFmtId="168" fontId="108" fillId="0" borderId="82" xfId="0" applyNumberFormat="1" applyFont="1" applyBorder="1"/>
    <xf numFmtId="0" fontId="104" fillId="0" borderId="0" xfId="0" applyFont="1" applyAlignment="1">
      <alignment wrapText="1"/>
    </xf>
    <xf numFmtId="0" fontId="104" fillId="0" borderId="0" xfId="0" applyFont="1" applyAlignment="1">
      <alignment horizontal="center"/>
    </xf>
    <xf numFmtId="0" fontId="154" fillId="0" borderId="0" xfId="49346" applyFont="1" applyAlignment="1">
      <alignment wrapText="1"/>
    </xf>
    <xf numFmtId="37" fontId="100" fillId="0" borderId="165" xfId="0" applyNumberFormat="1" applyFont="1" applyBorder="1"/>
    <xf numFmtId="37" fontId="108" fillId="0" borderId="165" xfId="0" applyNumberFormat="1" applyFont="1" applyBorder="1"/>
    <xf numFmtId="37" fontId="129" fillId="0" borderId="165" xfId="0" applyNumberFormat="1" applyFont="1" applyBorder="1"/>
    <xf numFmtId="37" fontId="129" fillId="0" borderId="0" xfId="0" applyNumberFormat="1" applyFont="1"/>
    <xf numFmtId="37" fontId="100" fillId="24" borderId="165" xfId="0" applyNumberFormat="1" applyFont="1" applyFill="1" applyBorder="1"/>
    <xf numFmtId="37" fontId="100" fillId="24" borderId="0" xfId="0" applyNumberFormat="1" applyFont="1" applyFill="1"/>
    <xf numFmtId="37" fontId="100" fillId="0" borderId="0" xfId="0" applyNumberFormat="1" applyFont="1" applyAlignment="1">
      <alignment horizontal="right"/>
    </xf>
    <xf numFmtId="37" fontId="133" fillId="24" borderId="115" xfId="0" applyNumberFormat="1" applyFont="1" applyFill="1" applyBorder="1" applyAlignment="1">
      <alignment horizontal="right"/>
    </xf>
    <xf numFmtId="0" fontId="100" fillId="0" borderId="165" xfId="0" applyFont="1" applyBorder="1"/>
    <xf numFmtId="37" fontId="134" fillId="0" borderId="0" xfId="0" applyNumberFormat="1" applyFont="1"/>
    <xf numFmtId="37" fontId="108" fillId="0" borderId="165" xfId="0" applyNumberFormat="1" applyFont="1" applyBorder="1" applyAlignment="1">
      <alignment horizontal="fill"/>
    </xf>
    <xf numFmtId="37" fontId="100" fillId="25" borderId="165" xfId="0" applyNumberFormat="1" applyFont="1" applyFill="1" applyBorder="1"/>
    <xf numFmtId="0" fontId="108" fillId="0" borderId="165" xfId="0" applyFont="1" applyBorder="1"/>
    <xf numFmtId="37" fontId="108" fillId="0" borderId="166" xfId="0" applyNumberFormat="1" applyFont="1" applyBorder="1"/>
    <xf numFmtId="37" fontId="100" fillId="0" borderId="62" xfId="0" applyNumberFormat="1" applyFont="1" applyBorder="1"/>
    <xf numFmtId="37" fontId="100" fillId="0" borderId="62" xfId="0" applyNumberFormat="1" applyFont="1" applyBorder="1" applyAlignment="1">
      <alignment horizontal="right"/>
    </xf>
    <xf numFmtId="5" fontId="108" fillId="75" borderId="167" xfId="0" applyNumberFormat="1" applyFont="1" applyFill="1" applyBorder="1"/>
    <xf numFmtId="37" fontId="108" fillId="0" borderId="169" xfId="0" applyNumberFormat="1" applyFont="1" applyBorder="1"/>
    <xf numFmtId="37" fontId="108" fillId="0" borderId="168" xfId="0" applyNumberFormat="1" applyFont="1" applyBorder="1"/>
    <xf numFmtId="37" fontId="108" fillId="0" borderId="168" xfId="0" applyNumberFormat="1" applyFont="1" applyBorder="1" applyAlignment="1">
      <alignment horizontal="center" wrapText="1"/>
    </xf>
    <xf numFmtId="37" fontId="108" fillId="0" borderId="164" xfId="0" applyNumberFormat="1" applyFont="1" applyBorder="1" applyAlignment="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Border="1" applyAlignment="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1" xfId="0" applyNumberFormat="1" applyFont="1" applyBorder="1" applyAlignment="1">
      <alignment horizontal="right"/>
    </xf>
    <xf numFmtId="5" fontId="130" fillId="75" borderId="167" xfId="0" applyNumberFormat="1" applyFont="1" applyFill="1" applyBorder="1"/>
    <xf numFmtId="37" fontId="108" fillId="0" borderId="172" xfId="0" applyNumberFormat="1" applyFont="1" applyBorder="1"/>
    <xf numFmtId="37" fontId="100" fillId="0" borderId="173" xfId="0" applyNumberFormat="1" applyFont="1" applyBorder="1"/>
    <xf numFmtId="37" fontId="100" fillId="0" borderId="174" xfId="0" applyNumberFormat="1" applyFont="1" applyBorder="1" applyAlignment="1">
      <alignment horizontal="right"/>
    </xf>
    <xf numFmtId="5" fontId="108" fillId="75" borderId="174" xfId="0" applyNumberFormat="1" applyFont="1" applyFill="1" applyBorder="1"/>
    <xf numFmtId="5" fontId="130" fillId="75" borderId="175" xfId="0" applyNumberFormat="1" applyFont="1" applyFill="1" applyBorder="1" applyAlignment="1">
      <alignment horizontal="right"/>
    </xf>
    <xf numFmtId="0" fontId="135" fillId="0" borderId="0" xfId="0" applyFont="1"/>
    <xf numFmtId="0" fontId="100" fillId="0" borderId="62" xfId="0" applyFont="1" applyBorder="1"/>
    <xf numFmtId="37" fontId="108" fillId="30" borderId="169" xfId="0" applyNumberFormat="1" applyFont="1" applyFill="1" applyBorder="1"/>
    <xf numFmtId="37" fontId="100" fillId="30" borderId="168" xfId="0" applyNumberFormat="1" applyFont="1" applyFill="1" applyBorder="1"/>
    <xf numFmtId="37" fontId="100" fillId="30" borderId="170" xfId="0" applyNumberFormat="1" applyFont="1" applyFill="1" applyBorder="1"/>
    <xf numFmtId="37" fontId="100" fillId="30" borderId="164" xfId="0" applyNumberFormat="1" applyFont="1" applyFill="1" applyBorder="1"/>
    <xf numFmtId="0" fontId="167" fillId="0" borderId="0" xfId="0" applyFont="1" applyAlignment="1">
      <alignment vertical="top" wrapText="1"/>
    </xf>
    <xf numFmtId="0" fontId="74" fillId="0" borderId="47" xfId="0" applyFont="1" applyBorder="1" applyAlignment="1">
      <alignment horizontal="center"/>
    </xf>
    <xf numFmtId="0" fontId="74" fillId="30" borderId="47" xfId="0" applyFont="1" applyFill="1" applyBorder="1"/>
    <xf numFmtId="0" fontId="74" fillId="72" borderId="47" xfId="0" applyFont="1" applyFill="1" applyBorder="1"/>
    <xf numFmtId="4" fontId="149" fillId="0" borderId="47" xfId="0" applyNumberFormat="1" applyFont="1" applyBorder="1"/>
    <xf numFmtId="0" fontId="72" fillId="0" borderId="176" xfId="0" applyFont="1" applyBorder="1"/>
    <xf numFmtId="0" fontId="72" fillId="0" borderId="176" xfId="0" applyFont="1" applyBorder="1" applyAlignment="1">
      <alignment horizontal="center"/>
    </xf>
    <xf numFmtId="3" fontId="156" fillId="32" borderId="176" xfId="17654" applyNumberFormat="1" applyFont="1" applyFill="1" applyBorder="1" applyAlignment="1" applyProtection="1">
      <alignment horizontal="right"/>
      <protection locked="0"/>
    </xf>
    <xf numFmtId="4" fontId="72" fillId="0" borderId="176" xfId="0" applyNumberFormat="1" applyFont="1" applyBorder="1"/>
    <xf numFmtId="168" fontId="72" fillId="0" borderId="176" xfId="0" applyNumberFormat="1" applyFont="1" applyBorder="1"/>
    <xf numFmtId="3" fontId="74" fillId="0" borderId="83" xfId="0" applyNumberFormat="1" applyFont="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67" xfId="0" applyNumberFormat="1" applyFont="1" applyBorder="1"/>
    <xf numFmtId="0" fontId="72" fillId="73" borderId="81" xfId="0" applyFont="1" applyFill="1" applyBorder="1"/>
    <xf numFmtId="0" fontId="72" fillId="73" borderId="82" xfId="0" applyFont="1" applyFill="1" applyBorder="1"/>
    <xf numFmtId="0" fontId="72" fillId="30" borderId="81" xfId="530" applyFont="1" applyFill="1" applyBorder="1"/>
    <xf numFmtId="0" fontId="72" fillId="30" borderId="82" xfId="530" applyFont="1" applyFill="1" applyBorder="1"/>
    <xf numFmtId="0" fontId="74" fillId="29" borderId="81" xfId="0" applyFont="1" applyFill="1" applyBorder="1"/>
    <xf numFmtId="0" fontId="74" fillId="29" borderId="82" xfId="0" applyFont="1" applyFill="1" applyBorder="1"/>
    <xf numFmtId="168" fontId="157" fillId="32" borderId="47" xfId="0" applyNumberFormat="1" applyFont="1" applyFill="1" applyBorder="1" applyProtection="1">
      <protection locked="0"/>
    </xf>
    <xf numFmtId="0" fontId="100" fillId="0" borderId="47" xfId="0" applyFont="1" applyBorder="1"/>
    <xf numFmtId="0" fontId="108" fillId="0" borderId="47" xfId="0" applyFont="1" applyBorder="1"/>
    <xf numFmtId="0" fontId="140" fillId="30" borderId="82" xfId="0" applyFont="1" applyFill="1" applyBorder="1" applyAlignment="1">
      <alignment horizontal="center" wrapText="1"/>
    </xf>
    <xf numFmtId="0" fontId="106" fillId="0" borderId="56" xfId="0" applyFont="1" applyBorder="1" applyAlignment="1">
      <alignment horizontal="center"/>
    </xf>
    <xf numFmtId="37" fontId="143" fillId="77" borderId="47" xfId="0" applyNumberFormat="1" applyFont="1" applyFill="1" applyBorder="1" applyAlignment="1">
      <alignment horizontal="right"/>
    </xf>
    <xf numFmtId="37" fontId="105" fillId="26" borderId="47" xfId="0" applyNumberFormat="1" applyFont="1" applyFill="1" applyBorder="1" applyAlignment="1">
      <alignment horizontal="fill"/>
    </xf>
    <xf numFmtId="165" fontId="105" fillId="26" borderId="47" xfId="181" applyNumberFormat="1" applyFont="1" applyFill="1" applyBorder="1" applyAlignment="1" applyProtection="1">
      <alignment horizontal="fill"/>
    </xf>
    <xf numFmtId="0" fontId="74" fillId="0" borderId="178" xfId="0" applyFont="1" applyBorder="1" applyAlignment="1">
      <alignment horizontal="center"/>
    </xf>
    <xf numFmtId="166" fontId="72" fillId="32" borderId="179" xfId="0" applyNumberFormat="1" applyFont="1" applyFill="1" applyBorder="1"/>
    <xf numFmtId="166" fontId="72" fillId="36" borderId="178" xfId="0" applyNumberFormat="1" applyFont="1" applyFill="1" applyBorder="1"/>
    <xf numFmtId="4" fontId="72" fillId="0" borderId="178" xfId="181" applyNumberFormat="1" applyFont="1" applyBorder="1" applyProtection="1"/>
    <xf numFmtId="37" fontId="100" fillId="0" borderId="180" xfId="0" applyNumberFormat="1" applyFont="1" applyBorder="1"/>
    <xf numFmtId="37" fontId="100" fillId="0" borderId="181" xfId="0" applyNumberFormat="1" applyFont="1" applyBorder="1" applyAlignment="1">
      <alignment horizontal="right"/>
    </xf>
    <xf numFmtId="37" fontId="100" fillId="0" borderId="182" xfId="0" applyNumberFormat="1" applyFont="1" applyBorder="1"/>
    <xf numFmtId="0" fontId="100" fillId="0" borderId="180" xfId="0" applyFont="1" applyBorder="1"/>
    <xf numFmtId="0" fontId="100" fillId="0" borderId="181" xfId="0" applyFont="1" applyBorder="1" applyAlignment="1">
      <alignment horizontal="right"/>
    </xf>
    <xf numFmtId="37" fontId="108" fillId="0" borderId="183" xfId="0" applyNumberFormat="1" applyFont="1" applyBorder="1" applyAlignment="1">
      <alignment horizontal="fill"/>
    </xf>
    <xf numFmtId="37" fontId="108" fillId="24" borderId="183" xfId="0" applyNumberFormat="1" applyFont="1" applyFill="1" applyBorder="1" applyAlignment="1">
      <alignment horizontal="fill"/>
    </xf>
    <xf numFmtId="37" fontId="108" fillId="24" borderId="184" xfId="0" applyNumberFormat="1" applyFont="1" applyFill="1" applyBorder="1" applyAlignment="1">
      <alignment horizontal="fill"/>
    </xf>
    <xf numFmtId="170" fontId="74" fillId="32" borderId="180" xfId="181" applyNumberFormat="1" applyFont="1" applyFill="1" applyBorder="1"/>
    <xf numFmtId="170" fontId="74" fillId="0" borderId="180" xfId="181" applyNumberFormat="1" applyFont="1" applyFill="1" applyBorder="1"/>
    <xf numFmtId="0" fontId="74" fillId="0" borderId="180" xfId="0" applyFont="1" applyBorder="1" applyAlignment="1">
      <alignment horizontal="center" wrapText="1"/>
    </xf>
    <xf numFmtId="3" fontId="160" fillId="32" borderId="180" xfId="182" applyNumberFormat="1" applyFont="1" applyFill="1" applyBorder="1" applyProtection="1">
      <protection locked="0"/>
    </xf>
    <xf numFmtId="5" fontId="72" fillId="0" borderId="180" xfId="181" applyNumberFormat="1" applyFont="1" applyFill="1" applyBorder="1" applyProtection="1"/>
    <xf numFmtId="5" fontId="72" fillId="0" borderId="180" xfId="181" applyNumberFormat="1" applyFont="1" applyBorder="1" applyProtection="1"/>
    <xf numFmtId="5" fontId="72" fillId="0" borderId="180" xfId="181" quotePrefix="1" applyNumberFormat="1" applyFont="1" applyFill="1" applyBorder="1" applyProtection="1"/>
    <xf numFmtId="5" fontId="72" fillId="0" borderId="180" xfId="0" applyNumberFormat="1" applyFont="1" applyBorder="1"/>
    <xf numFmtId="10" fontId="74" fillId="0" borderId="180" xfId="3292" applyNumberFormat="1" applyFont="1" applyBorder="1" applyProtection="1"/>
    <xf numFmtId="0" fontId="74" fillId="0" borderId="180" xfId="0" applyFont="1" applyBorder="1"/>
    <xf numFmtId="165" fontId="72" fillId="0" borderId="180" xfId="192" applyNumberFormat="1" applyFont="1" applyBorder="1" applyProtection="1"/>
    <xf numFmtId="37" fontId="100" fillId="0" borderId="183" xfId="0" applyNumberFormat="1" applyFont="1" applyBorder="1" applyAlignment="1">
      <alignment horizontal="right"/>
    </xf>
    <xf numFmtId="0" fontId="77" fillId="0" borderId="0" xfId="0" applyFont="1"/>
    <xf numFmtId="0" fontId="168" fillId="0" borderId="0" xfId="0" applyFont="1"/>
    <xf numFmtId="0" fontId="19" fillId="31" borderId="0" xfId="0" applyFont="1" applyFill="1"/>
    <xf numFmtId="37" fontId="19" fillId="31" borderId="0" xfId="0" applyNumberFormat="1" applyFont="1" applyFill="1"/>
    <xf numFmtId="37" fontId="19" fillId="31" borderId="0" xfId="0" applyNumberFormat="1" applyFont="1" applyFill="1" applyAlignment="1">
      <alignment horizontal="center"/>
    </xf>
    <xf numFmtId="0" fontId="169" fillId="31" borderId="0" xfId="0" applyFont="1" applyFill="1" applyAlignment="1">
      <alignment horizontal="center"/>
    </xf>
    <xf numFmtId="4" fontId="19" fillId="31" borderId="0" xfId="0" applyNumberFormat="1" applyFont="1" applyFill="1"/>
    <xf numFmtId="166" fontId="72" fillId="70" borderId="185" xfId="0" applyNumberFormat="1" applyFont="1" applyFill="1" applyBorder="1"/>
    <xf numFmtId="166" fontId="72" fillId="32" borderId="185" xfId="0" applyNumberFormat="1" applyFont="1" applyFill="1" applyBorder="1"/>
    <xf numFmtId="0" fontId="100" fillId="0" borderId="186" xfId="0" applyFont="1" applyBorder="1"/>
    <xf numFmtId="37" fontId="100" fillId="0" borderId="189" xfId="0" applyNumberFormat="1" applyFont="1" applyBorder="1"/>
    <xf numFmtId="37" fontId="100" fillId="30" borderId="186" xfId="0" applyNumberFormat="1" applyFont="1" applyFill="1" applyBorder="1"/>
    <xf numFmtId="0" fontId="106" fillId="0" borderId="186"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2" xfId="181" applyNumberFormat="1" applyFont="1" applyBorder="1" applyProtection="1"/>
    <xf numFmtId="0" fontId="105" fillId="0" borderId="0" xfId="49346" applyFont="1" applyAlignment="1">
      <alignment wrapText="1"/>
    </xf>
    <xf numFmtId="166" fontId="72" fillId="32" borderId="193" xfId="0" applyNumberFormat="1" applyFont="1" applyFill="1" applyBorder="1"/>
    <xf numFmtId="171" fontId="72" fillId="32" borderId="193" xfId="182" applyNumberFormat="1" applyFont="1" applyFill="1" applyBorder="1"/>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xf numFmtId="37" fontId="100" fillId="0" borderId="191" xfId="0" applyNumberFormat="1" applyFont="1" applyBorder="1" applyAlignment="1">
      <alignment horizontal="right"/>
    </xf>
    <xf numFmtId="37" fontId="129" fillId="24" borderId="191" xfId="0" applyNumberFormat="1" applyFont="1" applyFill="1" applyBorder="1"/>
    <xf numFmtId="0" fontId="72" fillId="0" borderId="198" xfId="0" applyFont="1" applyBorder="1"/>
    <xf numFmtId="0" fontId="72" fillId="78" borderId="198" xfId="0" applyFont="1" applyFill="1" applyBorder="1"/>
    <xf numFmtId="171" fontId="72" fillId="32" borderId="196" xfId="182" applyNumberFormat="1" applyFont="1" applyFill="1" applyBorder="1"/>
    <xf numFmtId="171" fontId="72" fillId="32" borderId="199" xfId="182" applyNumberFormat="1" applyFont="1" applyFill="1" applyBorder="1"/>
    <xf numFmtId="171" fontId="72" fillId="32" borderId="200" xfId="182" applyNumberFormat="1" applyFont="1" applyFill="1" applyBorder="1"/>
    <xf numFmtId="3" fontId="156" fillId="32" borderId="201" xfId="0" applyNumberFormat="1" applyFont="1" applyFill="1" applyBorder="1" applyAlignment="1" applyProtection="1">
      <alignment horizontal="right"/>
      <protection locked="0"/>
    </xf>
    <xf numFmtId="0" fontId="72" fillId="0" borderId="201" xfId="0" applyFont="1" applyBorder="1"/>
    <xf numFmtId="0" fontId="72" fillId="0" borderId="201" xfId="0" applyFont="1" applyBorder="1" applyAlignment="1">
      <alignment horizontal="center"/>
    </xf>
    <xf numFmtId="4" fontId="72" fillId="0" borderId="201" xfId="0" applyNumberFormat="1" applyFont="1" applyBorder="1"/>
    <xf numFmtId="3" fontId="72" fillId="0" borderId="201" xfId="0" applyNumberFormat="1" applyFont="1" applyBorder="1"/>
    <xf numFmtId="0" fontId="72" fillId="0" borderId="202" xfId="0" applyFont="1" applyBorder="1"/>
    <xf numFmtId="0" fontId="72" fillId="0" borderId="202" xfId="0" applyFont="1" applyBorder="1" applyAlignment="1">
      <alignment horizontal="center"/>
    </xf>
    <xf numFmtId="3" fontId="156" fillId="32" borderId="202" xfId="0" applyNumberFormat="1" applyFont="1" applyFill="1" applyBorder="1" applyAlignment="1" applyProtection="1">
      <alignment horizontal="right"/>
      <protection locked="0"/>
    </xf>
    <xf numFmtId="4" fontId="72" fillId="0" borderId="202" xfId="0" applyNumberFormat="1" applyFont="1" applyBorder="1"/>
    <xf numFmtId="3" fontId="72" fillId="0" borderId="202" xfId="0" applyNumberFormat="1" applyFont="1" applyBorder="1"/>
    <xf numFmtId="37" fontId="100" fillId="30" borderId="196" xfId="0" applyNumberFormat="1" applyFont="1" applyFill="1" applyBorder="1" applyAlignment="1">
      <alignment horizontal="right"/>
    </xf>
    <xf numFmtId="37" fontId="100" fillId="24" borderId="196" xfId="0" applyNumberFormat="1" applyFont="1" applyFill="1" applyBorder="1" applyAlignment="1">
      <alignment horizontal="right"/>
    </xf>
    <xf numFmtId="37" fontId="129" fillId="75" borderId="196" xfId="0" applyNumberFormat="1" applyFont="1" applyFill="1" applyBorder="1" applyAlignment="1">
      <alignment horizontal="right"/>
    </xf>
    <xf numFmtId="37" fontId="129" fillId="75" borderId="206" xfId="0" applyNumberFormat="1" applyFont="1" applyFill="1" applyBorder="1" applyAlignment="1">
      <alignment horizontal="right"/>
    </xf>
    <xf numFmtId="37" fontId="108" fillId="30" borderId="207" xfId="0" applyNumberFormat="1" applyFont="1" applyFill="1" applyBorder="1"/>
    <xf numFmtId="37" fontId="129" fillId="75" borderId="206" xfId="0" applyNumberFormat="1" applyFont="1" applyFill="1" applyBorder="1"/>
    <xf numFmtId="37" fontId="100" fillId="75" borderId="206" xfId="0" applyNumberFormat="1" applyFont="1" applyFill="1" applyBorder="1"/>
    <xf numFmtId="0" fontId="106" fillId="0" borderId="208" xfId="0" applyFont="1" applyBorder="1"/>
    <xf numFmtId="0" fontId="106" fillId="0" borderId="209" xfId="0" applyFont="1" applyBorder="1"/>
    <xf numFmtId="0" fontId="106" fillId="0" borderId="209" xfId="0" applyFont="1" applyBorder="1" applyAlignment="1">
      <alignment horizontal="center"/>
    </xf>
    <xf numFmtId="0" fontId="106" fillId="0" borderId="210" xfId="0" applyFont="1" applyBorder="1"/>
    <xf numFmtId="0" fontId="106" fillId="0" borderId="211" xfId="0" applyFont="1" applyBorder="1"/>
    <xf numFmtId="0" fontId="106" fillId="0" borderId="211" xfId="0" applyFont="1" applyBorder="1" applyAlignment="1">
      <alignment horizontal="center"/>
    </xf>
    <xf numFmtId="3" fontId="158" fillId="32" borderId="212" xfId="0" applyNumberFormat="1" applyFont="1" applyFill="1" applyBorder="1" applyProtection="1">
      <protection locked="0"/>
    </xf>
    <xf numFmtId="3" fontId="106" fillId="0" borderId="212" xfId="0" applyNumberFormat="1" applyFont="1" applyBorder="1"/>
    <xf numFmtId="0" fontId="106" fillId="0" borderId="212" xfId="0" applyFont="1" applyBorder="1" applyAlignment="1">
      <alignment horizontal="center"/>
    </xf>
    <xf numFmtId="0" fontId="106" fillId="0" borderId="213" xfId="0" applyFont="1" applyBorder="1"/>
    <xf numFmtId="0" fontId="106" fillId="76" borderId="212" xfId="0" applyFont="1" applyFill="1" applyBorder="1"/>
    <xf numFmtId="0" fontId="145" fillId="0" borderId="206" xfId="663" applyFont="1" applyBorder="1" applyAlignment="1">
      <alignment horizontal="center" wrapText="1"/>
    </xf>
    <xf numFmtId="0" fontId="145" fillId="0" borderId="214" xfId="663" applyFont="1" applyBorder="1" applyAlignment="1">
      <alignment horizontal="center" wrapText="1"/>
    </xf>
    <xf numFmtId="9" fontId="126" fillId="0" borderId="206" xfId="663" applyNumberFormat="1" applyFont="1" applyBorder="1" applyAlignment="1">
      <alignment horizontal="center" wrapText="1"/>
    </xf>
    <xf numFmtId="9" fontId="145" fillId="0" borderId="214" xfId="663" applyNumberFormat="1" applyFont="1" applyBorder="1" applyAlignment="1">
      <alignment horizontal="center" wrapText="1"/>
    </xf>
    <xf numFmtId="0" fontId="124" fillId="0" borderId="216" xfId="663" applyFont="1" applyBorder="1"/>
    <xf numFmtId="44" fontId="109" fillId="0" borderId="215" xfId="378" applyFont="1" applyFill="1" applyBorder="1" applyProtection="1"/>
    <xf numFmtId="44" fontId="109" fillId="0" borderId="217" xfId="378" applyFont="1" applyFill="1" applyBorder="1" applyProtection="1"/>
    <xf numFmtId="0" fontId="109" fillId="0" borderId="216" xfId="663" applyFont="1" applyBorder="1"/>
    <xf numFmtId="44" fontId="109" fillId="0" borderId="206" xfId="378" applyFont="1" applyFill="1" applyBorder="1" applyProtection="1"/>
    <xf numFmtId="44" fontId="109" fillId="0" borderId="214" xfId="378" applyFont="1" applyFill="1" applyBorder="1" applyProtection="1"/>
    <xf numFmtId="0" fontId="109" fillId="0" borderId="216" xfId="663" applyFont="1" applyBorder="1" applyAlignment="1">
      <alignment horizontal="left"/>
    </xf>
    <xf numFmtId="0" fontId="109" fillId="0" borderId="218" xfId="663" applyFont="1" applyBorder="1"/>
    <xf numFmtId="0" fontId="124" fillId="0" borderId="206" xfId="663" applyFont="1" applyBorder="1"/>
    <xf numFmtId="0" fontId="124" fillId="0" borderId="214" xfId="663" applyFont="1" applyBorder="1"/>
    <xf numFmtId="0" fontId="145" fillId="0" borderId="215" xfId="663" applyFont="1" applyBorder="1" applyAlignment="1">
      <alignment horizontal="center" wrapText="1"/>
    </xf>
    <xf numFmtId="0" fontId="145" fillId="0" borderId="217" xfId="663" applyFont="1" applyBorder="1" applyAlignment="1">
      <alignment horizontal="center" wrapText="1"/>
    </xf>
    <xf numFmtId="0" fontId="124" fillId="0" borderId="218" xfId="663" applyFont="1" applyBorder="1"/>
    <xf numFmtId="0" fontId="109" fillId="0" borderId="218" xfId="663" applyFont="1" applyBorder="1" applyAlignment="1">
      <alignment horizontal="left"/>
    </xf>
    <xf numFmtId="0" fontId="145" fillId="0" borderId="219" xfId="663" applyFont="1" applyBorder="1" applyAlignment="1">
      <alignment horizontal="center" wrapText="1"/>
    </xf>
    <xf numFmtId="9" fontId="145" fillId="0" borderId="219" xfId="663" applyNumberFormat="1" applyFont="1" applyBorder="1" applyAlignment="1">
      <alignment horizontal="center" wrapText="1"/>
    </xf>
    <xf numFmtId="0" fontId="124" fillId="0" borderId="220" xfId="663" applyFont="1" applyBorder="1"/>
    <xf numFmtId="44" fontId="109" fillId="0" borderId="219" xfId="378" applyFont="1" applyFill="1" applyBorder="1" applyProtection="1"/>
    <xf numFmtId="0" fontId="109" fillId="0" borderId="220" xfId="663" applyFont="1" applyBorder="1"/>
    <xf numFmtId="0" fontId="109" fillId="0" borderId="220" xfId="663" applyFont="1" applyBorder="1" applyAlignment="1">
      <alignment horizontal="left"/>
    </xf>
    <xf numFmtId="0" fontId="124" fillId="0" borderId="219" xfId="663" applyFont="1" applyBorder="1"/>
    <xf numFmtId="44" fontId="109" fillId="0" borderId="206" xfId="378" applyFont="1" applyFill="1" applyBorder="1" applyAlignment="1" applyProtection="1">
      <alignment horizontal="right"/>
    </xf>
    <xf numFmtId="44" fontId="109" fillId="0" borderId="219" xfId="378" applyFont="1" applyFill="1" applyBorder="1" applyAlignment="1" applyProtection="1">
      <alignment horizontal="right"/>
    </xf>
    <xf numFmtId="0" fontId="109" fillId="0" borderId="221" xfId="663" applyFont="1" applyBorder="1"/>
    <xf numFmtId="44" fontId="109" fillId="0" borderId="222" xfId="378" applyFont="1" applyFill="1" applyBorder="1" applyAlignment="1" applyProtection="1">
      <alignment horizontal="right"/>
    </xf>
    <xf numFmtId="44" fontId="109" fillId="0" borderId="223" xfId="378" applyFont="1" applyFill="1" applyBorder="1" applyAlignment="1" applyProtection="1">
      <alignment horizontal="right"/>
    </xf>
    <xf numFmtId="44" fontId="109" fillId="0" borderId="206" xfId="378" quotePrefix="1" applyFont="1" applyFill="1" applyBorder="1" applyProtection="1"/>
    <xf numFmtId="44" fontId="109" fillId="0" borderId="222" xfId="378" applyFont="1" applyFill="1" applyBorder="1" applyProtection="1"/>
    <xf numFmtId="44" fontId="109" fillId="0" borderId="222" xfId="378" quotePrefix="1" applyFont="1" applyFill="1" applyBorder="1" applyProtection="1"/>
    <xf numFmtId="44" fontId="109" fillId="0" borderId="223" xfId="378" applyFont="1" applyFill="1" applyBorder="1" applyProtection="1"/>
    <xf numFmtId="44" fontId="109" fillId="0" borderId="219" xfId="378" quotePrefix="1" applyFont="1" applyFill="1" applyBorder="1" applyProtection="1"/>
    <xf numFmtId="0" fontId="19" fillId="31" borderId="0" xfId="0" applyFont="1" applyFill="1" applyAlignment="1">
      <alignment horizontal="left"/>
    </xf>
    <xf numFmtId="0" fontId="72" fillId="0" borderId="0" xfId="0" applyFont="1" applyAlignment="1">
      <alignment horizontal="left"/>
    </xf>
    <xf numFmtId="0" fontId="74" fillId="0" borderId="0" xfId="0" applyFont="1" applyAlignment="1">
      <alignment horizontal="left" vertical="top" wrapText="1"/>
    </xf>
    <xf numFmtId="0" fontId="78" fillId="0" borderId="0" xfId="0" applyFont="1" applyAlignment="1">
      <alignment horizontal="left"/>
    </xf>
    <xf numFmtId="0" fontId="71" fillId="32" borderId="45" xfId="530" applyFont="1" applyFill="1" applyBorder="1" applyAlignment="1" applyProtection="1">
      <alignment horizontal="center"/>
      <protection locked="0"/>
    </xf>
    <xf numFmtId="49" fontId="75" fillId="0" borderId="0" xfId="0" applyNumberFormat="1" applyFont="1" applyAlignment="1">
      <alignment horizontal="left" vertical="top" wrapText="1"/>
    </xf>
    <xf numFmtId="0" fontId="75" fillId="0" borderId="0" xfId="0" applyFont="1" applyAlignment="1">
      <alignment horizontal="left"/>
    </xf>
    <xf numFmtId="0" fontId="74" fillId="30" borderId="156" xfId="0" applyFont="1" applyFill="1" applyBorder="1" applyAlignment="1">
      <alignment horizontal="left"/>
    </xf>
    <xf numFmtId="0" fontId="74" fillId="30" borderId="157" xfId="0" applyFont="1" applyFill="1" applyBorder="1" applyAlignment="1">
      <alignment horizontal="left"/>
    </xf>
    <xf numFmtId="0" fontId="74" fillId="30" borderId="158" xfId="0" applyFont="1" applyFill="1" applyBorder="1" applyAlignment="1">
      <alignment horizontal="left"/>
    </xf>
    <xf numFmtId="0" fontId="74" fillId="30" borderId="38" xfId="0" applyFont="1" applyFill="1" applyBorder="1" applyAlignment="1">
      <alignment horizontal="left"/>
    </xf>
    <xf numFmtId="0" fontId="74" fillId="30" borderId="52" xfId="0" applyFont="1" applyFill="1" applyBorder="1" applyAlignment="1">
      <alignment horizontal="left"/>
    </xf>
    <xf numFmtId="0" fontId="74" fillId="30" borderId="61" xfId="0" applyFont="1" applyFill="1" applyBorder="1" applyAlignment="1">
      <alignment horizontal="left"/>
    </xf>
    <xf numFmtId="10" fontId="73" fillId="32" borderId="0" xfId="0" quotePrefix="1" applyNumberFormat="1" applyFont="1" applyFill="1" applyAlignment="1">
      <alignment horizontal="center"/>
    </xf>
    <xf numFmtId="0" fontId="75"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Alignment="1">
      <alignment horizontal="center"/>
    </xf>
    <xf numFmtId="10" fontId="74" fillId="0" borderId="0" xfId="0" applyNumberFormat="1" applyFont="1" applyAlignment="1">
      <alignment horizontal="center"/>
    </xf>
    <xf numFmtId="0" fontId="104" fillId="0" borderId="180" xfId="0" applyFont="1" applyBorder="1" applyAlignment="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Border="1" applyAlignment="1">
      <alignment horizontal="center"/>
    </xf>
    <xf numFmtId="0" fontId="105" fillId="0" borderId="0" xfId="0" applyFont="1" applyAlignment="1">
      <alignment horizontal="center"/>
    </xf>
    <xf numFmtId="0" fontId="74" fillId="30" borderId="81" xfId="0" applyFont="1" applyFill="1" applyBorder="1" applyAlignment="1">
      <alignment horizontal="center" wrapText="1"/>
    </xf>
    <xf numFmtId="0" fontId="74" fillId="30" borderId="82" xfId="0" applyFont="1" applyFill="1" applyBorder="1" applyAlignment="1">
      <alignment horizontal="center" wrapText="1"/>
    </xf>
    <xf numFmtId="0" fontId="149" fillId="0" borderId="0" xfId="0" applyFont="1" applyAlignment="1">
      <alignment horizontal="left" vertical="top" wrapText="1"/>
    </xf>
    <xf numFmtId="0" fontId="124" fillId="0" borderId="147" xfId="0" applyFont="1" applyBorder="1" applyAlignment="1" applyProtection="1">
      <alignment horizontal="left" vertical="top" wrapText="1"/>
      <protection locked="0"/>
    </xf>
    <xf numFmtId="0" fontId="124" fillId="0" borderId="101" xfId="0" applyFont="1" applyBorder="1" applyAlignment="1" applyProtection="1">
      <alignment horizontal="left" vertical="top" wrapText="1"/>
      <protection locked="0"/>
    </xf>
    <xf numFmtId="0" fontId="124" fillId="0" borderId="67"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0" fillId="0" borderId="0" xfId="0" applyNumberFormat="1" applyFont="1" applyAlignment="1">
      <alignment horizontal="left"/>
    </xf>
    <xf numFmtId="0" fontId="100" fillId="0" borderId="0" xfId="0" applyFont="1" applyAlignment="1">
      <alignment horizontal="left" vertical="top"/>
    </xf>
    <xf numFmtId="37" fontId="108" fillId="30" borderId="186" xfId="0" applyNumberFormat="1" applyFont="1" applyFill="1" applyBorder="1" applyAlignment="1">
      <alignment horizontal="left"/>
    </xf>
    <xf numFmtId="37" fontId="108" fillId="30" borderId="196" xfId="0" applyNumberFormat="1" applyFont="1" applyFill="1" applyBorder="1" applyAlignment="1">
      <alignment horizontal="left"/>
    </xf>
    <xf numFmtId="37" fontId="108" fillId="30" borderId="203" xfId="0" applyNumberFormat="1" applyFont="1" applyFill="1" applyBorder="1" applyAlignment="1">
      <alignment horizontal="left"/>
    </xf>
    <xf numFmtId="37" fontId="108" fillId="30" borderId="204" xfId="0" applyNumberFormat="1" applyFont="1" applyFill="1" applyBorder="1" applyAlignment="1">
      <alignment horizontal="left"/>
    </xf>
    <xf numFmtId="37" fontId="108" fillId="30" borderId="205" xfId="0" applyNumberFormat="1" applyFont="1" applyFill="1" applyBorder="1" applyAlignment="1">
      <alignment horizontal="left"/>
    </xf>
    <xf numFmtId="37" fontId="108" fillId="30" borderId="169" xfId="0" applyNumberFormat="1" applyFont="1" applyFill="1" applyBorder="1" applyAlignment="1">
      <alignment horizontal="left"/>
    </xf>
    <xf numFmtId="37" fontId="108" fillId="30" borderId="168" xfId="0" applyNumberFormat="1" applyFont="1" applyFill="1" applyBorder="1" applyAlignment="1">
      <alignment horizontal="left"/>
    </xf>
    <xf numFmtId="37" fontId="108" fillId="30" borderId="170" xfId="0" applyNumberFormat="1" applyFont="1" applyFill="1" applyBorder="1" applyAlignment="1">
      <alignment horizontal="left"/>
    </xf>
    <xf numFmtId="0" fontId="137" fillId="32" borderId="17" xfId="0" applyFont="1" applyFill="1" applyBorder="1" applyAlignment="1">
      <alignment horizontal="left"/>
    </xf>
    <xf numFmtId="37" fontId="104" fillId="30" borderId="81" xfId="0" applyNumberFormat="1" applyFont="1" applyFill="1" applyBorder="1" applyAlignment="1">
      <alignment horizontal="left"/>
    </xf>
    <xf numFmtId="37" fontId="104" fillId="30" borderId="83" xfId="0" applyNumberFormat="1" applyFont="1" applyFill="1" applyBorder="1" applyAlignment="1">
      <alignment horizontal="left"/>
    </xf>
    <xf numFmtId="0" fontId="104" fillId="0" borderId="81" xfId="0" applyFont="1" applyBorder="1" applyAlignment="1">
      <alignment horizontal="center"/>
    </xf>
    <xf numFmtId="0" fontId="104" fillId="0" borderId="83" xfId="0" applyFont="1" applyBorder="1" applyAlignment="1">
      <alignment horizontal="center"/>
    </xf>
    <xf numFmtId="0" fontId="104" fillId="0" borderId="82" xfId="0" applyFont="1" applyBorder="1" applyAlignment="1">
      <alignment horizontal="center"/>
    </xf>
    <xf numFmtId="37" fontId="104" fillId="30" borderId="82" xfId="0" applyNumberFormat="1" applyFont="1" applyFill="1" applyBorder="1" applyAlignment="1">
      <alignment horizontal="left"/>
    </xf>
    <xf numFmtId="37" fontId="141" fillId="30" borderId="81" xfId="0" applyNumberFormat="1" applyFont="1" applyFill="1" applyBorder="1" applyAlignment="1">
      <alignment horizontal="left"/>
    </xf>
    <xf numFmtId="37" fontId="141" fillId="30" borderId="82" xfId="0" applyNumberFormat="1" applyFont="1" applyFill="1" applyBorder="1" applyAlignment="1">
      <alignment horizontal="left"/>
    </xf>
    <xf numFmtId="0" fontId="148" fillId="32" borderId="81" xfId="0" applyFont="1" applyFill="1" applyBorder="1" applyAlignment="1">
      <alignment horizontal="left" vertical="top"/>
    </xf>
    <xf numFmtId="0" fontId="148" fillId="32" borderId="82" xfId="0" applyFont="1" applyFill="1" applyBorder="1" applyAlignment="1">
      <alignment horizontal="left" vertical="top"/>
    </xf>
    <xf numFmtId="0" fontId="140" fillId="0" borderId="0" xfId="0" applyFont="1" applyAlignment="1">
      <alignment horizontal="center"/>
    </xf>
    <xf numFmtId="0" fontId="126" fillId="0" borderId="58" xfId="0" applyFont="1" applyBorder="1" applyAlignment="1">
      <alignment wrapText="1"/>
    </xf>
    <xf numFmtId="0" fontId="126" fillId="0" borderId="57" xfId="0" applyFont="1" applyBorder="1" applyAlignment="1">
      <alignment wrapText="1"/>
    </xf>
    <xf numFmtId="0" fontId="126" fillId="0" borderId="177" xfId="0" applyFont="1" applyBorder="1" applyAlignment="1">
      <alignment horizontal="center"/>
    </xf>
    <xf numFmtId="0" fontId="126" fillId="0" borderId="215" xfId="0" applyFont="1" applyBorder="1" applyAlignment="1">
      <alignment horizontal="center"/>
    </xf>
    <xf numFmtId="0" fontId="126" fillId="0" borderId="147" xfId="0" applyFont="1" applyBorder="1" applyAlignment="1">
      <alignment wrapText="1"/>
    </xf>
    <xf numFmtId="0" fontId="126" fillId="0" borderId="15" xfId="0" applyFont="1" applyBorder="1" applyAlignment="1">
      <alignment wrapText="1"/>
    </xf>
    <xf numFmtId="0" fontId="126" fillId="0" borderId="187" xfId="0" applyFont="1" applyBorder="1" applyAlignment="1">
      <alignment wrapText="1"/>
    </xf>
    <xf numFmtId="0" fontId="124" fillId="0" borderId="0" xfId="663" applyFont="1" applyAlignment="1">
      <alignment horizontal="left" wrapText="1"/>
    </xf>
    <xf numFmtId="0" fontId="125" fillId="0" borderId="188" xfId="0" applyFont="1" applyBorder="1" applyAlignment="1">
      <alignment wrapText="1"/>
    </xf>
    <xf numFmtId="0" fontId="125" fillId="0" borderId="57" xfId="0" applyFont="1" applyBorder="1" applyAlignment="1">
      <alignment wrapText="1"/>
    </xf>
    <xf numFmtId="0" fontId="124" fillId="0" borderId="0" xfId="0" applyFont="1" applyAlignment="1">
      <alignment wrapText="1"/>
    </xf>
    <xf numFmtId="0" fontId="147" fillId="0" borderId="0" xfId="0" applyFont="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190" xfId="0" applyFont="1" applyBorder="1" applyAlignment="1">
      <alignment wrapText="1"/>
    </xf>
    <xf numFmtId="0" fontId="124" fillId="0" borderId="58" xfId="0" applyFont="1" applyBorder="1" applyAlignment="1">
      <alignment wrapText="1"/>
    </xf>
    <xf numFmtId="0" fontId="124" fillId="0" borderId="57"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Alignment="1">
      <alignment horizontal="centerContinuous" vertical="top" wrapText="1"/>
    </xf>
    <xf numFmtId="0" fontId="71" fillId="0" borderId="0" xfId="0" applyFont="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lignment horizontal="centerContinuous" vertical="top" wrapText="1"/>
    </xf>
    <xf numFmtId="0" fontId="75" fillId="0" borderId="0" xfId="0" applyFont="1" applyAlignment="1">
      <alignment horizontal="centerContinuous" vertical="top" wrapText="1"/>
    </xf>
    <xf numFmtId="0" fontId="71" fillId="0" borderId="0" xfId="0" applyFont="1" applyAlignment="1">
      <alignment horizontal="centerContinuous" wrapText="1"/>
    </xf>
    <xf numFmtId="0" fontId="72" fillId="0" borderId="0" xfId="0" applyFont="1" applyAlignment="1">
      <alignment horizontal="centerContinuous" wrapText="1"/>
    </xf>
    <xf numFmtId="0" fontId="104" fillId="0" borderId="0" xfId="0" applyFont="1" applyAlignment="1">
      <alignment horizontal="centerContinuous"/>
    </xf>
    <xf numFmtId="37" fontId="74" fillId="0" borderId="0" xfId="0" applyNumberFormat="1" applyFont="1" applyAlignment="1">
      <alignment horizontal="center"/>
    </xf>
    <xf numFmtId="0" fontId="143" fillId="0" borderId="0" xfId="0" applyFont="1" applyAlignment="1">
      <alignment horizontal="centerContinuous"/>
    </xf>
    <xf numFmtId="0" fontId="104" fillId="0" borderId="17" xfId="0" applyFont="1" applyBorder="1" applyAlignment="1">
      <alignment horizontal="centerContinuous"/>
    </xf>
    <xf numFmtId="4" fontId="100" fillId="0" borderId="0" xfId="0" applyNumberFormat="1" applyFont="1" applyAlignment="1">
      <alignment horizontal="centerContinuous" wrapText="1"/>
    </xf>
    <xf numFmtId="0" fontId="106" fillId="0" borderId="0" xfId="0" applyFont="1" applyAlignment="1">
      <alignment horizontal="center"/>
    </xf>
    <xf numFmtId="0" fontId="105" fillId="0" borderId="0" xfId="0" applyFont="1" applyAlignment="1">
      <alignment horizontal="centerContinuous"/>
    </xf>
    <xf numFmtId="0" fontId="105" fillId="0" borderId="17" xfId="0" applyFont="1" applyBorder="1" applyAlignment="1">
      <alignment horizontal="centerContinuous"/>
    </xf>
    <xf numFmtId="0" fontId="74" fillId="30" borderId="81" xfId="0" applyFont="1" applyFill="1" applyBorder="1" applyAlignment="1">
      <alignment horizontal="centerContinuous" wrapText="1"/>
    </xf>
    <xf numFmtId="0" fontId="74" fillId="30" borderId="82"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lignment horizontal="centerContinuous"/>
    </xf>
    <xf numFmtId="37" fontId="104" fillId="0" borderId="0" xfId="0" applyNumberFormat="1" applyFont="1" applyAlignment="1">
      <alignment horizontal="centerContinuous"/>
    </xf>
    <xf numFmtId="49" fontId="104" fillId="0" borderId="0" xfId="0" applyNumberFormat="1" applyFont="1" applyAlignment="1">
      <alignment horizontal="centerContinuous"/>
    </xf>
    <xf numFmtId="37" fontId="130" fillId="0" borderId="0" xfId="0" applyNumberFormat="1" applyFont="1" applyAlignment="1">
      <alignment horizontal="centerContinuous"/>
    </xf>
    <xf numFmtId="0" fontId="137" fillId="32" borderId="0" xfId="0" applyFont="1" applyFill="1" applyAlignment="1">
      <alignment horizontal="centerContinuous" wrapText="1"/>
    </xf>
    <xf numFmtId="0" fontId="104" fillId="0" borderId="17" xfId="0" applyFont="1" applyBorder="1" applyAlignment="1">
      <alignment horizontal="centerContinuous" vertical="center"/>
    </xf>
    <xf numFmtId="0" fontId="140" fillId="0" borderId="0" xfId="0" applyFont="1" applyAlignment="1">
      <alignment horizontal="centerContinuous"/>
    </xf>
    <xf numFmtId="37" fontId="105" fillId="32" borderId="0" xfId="0" applyNumberFormat="1" applyFont="1" applyFill="1" applyAlignment="1">
      <alignment horizontal="centerContinuous" wrapText="1"/>
    </xf>
    <xf numFmtId="37" fontId="127" fillId="32" borderId="0" xfId="0" applyNumberFormat="1" applyFont="1" applyFill="1" applyAlignment="1">
      <alignment horizontal="centerContinuous"/>
    </xf>
    <xf numFmtId="0" fontId="124" fillId="0" borderId="0" xfId="663" applyFont="1" applyAlignment="1">
      <alignment horizontal="center"/>
    </xf>
    <xf numFmtId="44" fontId="124" fillId="0" borderId="0" xfId="663" applyNumberFormat="1" applyFont="1" applyAlignment="1">
      <alignment horizontal="center"/>
    </xf>
    <xf numFmtId="39" fontId="124" fillId="0" borderId="0" xfId="663" applyNumberFormat="1" applyFont="1" applyAlignment="1">
      <alignment horizontal="center" wrapText="1"/>
    </xf>
    <xf numFmtId="0" fontId="71" fillId="0" borderId="81" xfId="0" applyFont="1" applyBorder="1" applyAlignment="1">
      <alignment horizontal="left" vertical="top" wrapText="1"/>
    </xf>
    <xf numFmtId="0" fontId="71" fillId="0" borderId="83" xfId="0" applyFont="1" applyBorder="1" applyAlignment="1">
      <alignment horizontal="left" vertical="top" wrapText="1"/>
    </xf>
    <xf numFmtId="0" fontId="71" fillId="0" borderId="82" xfId="0" applyFont="1" applyBorder="1" applyAlignment="1">
      <alignment horizontal="left" vertical="top" wrapText="1"/>
    </xf>
    <xf numFmtId="0" fontId="71" fillId="0" borderId="0" xfId="530" applyFont="1" applyAlignment="1" applyProtection="1">
      <alignment horizontal="center"/>
      <protection locked="0"/>
    </xf>
    <xf numFmtId="165" fontId="72" fillId="32" borderId="220" xfId="181" applyNumberFormat="1" applyFont="1" applyFill="1" applyBorder="1" applyAlignment="1">
      <alignment horizontal="right"/>
    </xf>
    <xf numFmtId="0" fontId="72" fillId="79" borderId="43" xfId="0" applyFont="1" applyFill="1" applyBorder="1"/>
    <xf numFmtId="0" fontId="72" fillId="79" borderId="197" xfId="0" applyFont="1" applyFill="1" applyBorder="1"/>
    <xf numFmtId="0" fontId="72" fillId="79" borderId="186" xfId="0" applyFont="1" applyFill="1" applyBorder="1"/>
    <xf numFmtId="166" fontId="72" fillId="36" borderId="84" xfId="0" applyNumberFormat="1" applyFont="1" applyFill="1" applyBorder="1"/>
    <xf numFmtId="166" fontId="72" fillId="36" borderId="186" xfId="0" applyNumberFormat="1" applyFont="1" applyFill="1" applyBorder="1"/>
    <xf numFmtId="166" fontId="72" fillId="36" borderId="182"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87" xfId="0" applyFont="1" applyFill="1" applyBorder="1" applyAlignment="1">
      <alignment horizontal="center"/>
    </xf>
    <xf numFmtId="0" fontId="74" fillId="35" borderId="57" xfId="0" applyFont="1" applyFill="1" applyBorder="1" applyAlignment="1">
      <alignment horizontal="center"/>
    </xf>
    <xf numFmtId="0" fontId="74" fillId="35" borderId="145" xfId="0" applyFont="1" applyFill="1" applyBorder="1" applyAlignment="1">
      <alignment horizontal="center" wrapText="1"/>
    </xf>
    <xf numFmtId="0" fontId="74" fillId="35" borderId="188" xfId="0" applyFont="1" applyFill="1" applyBorder="1" applyAlignment="1">
      <alignment horizontal="center"/>
    </xf>
    <xf numFmtId="0" fontId="74" fillId="35" borderId="142" xfId="0" applyFont="1" applyFill="1" applyBorder="1" applyAlignment="1">
      <alignment horizontal="center" wrapText="1"/>
    </xf>
    <xf numFmtId="0" fontId="74" fillId="35" borderId="11" xfId="0" applyFont="1" applyFill="1" applyBorder="1" applyAlignment="1">
      <alignment horizontal="center"/>
    </xf>
    <xf numFmtId="0" fontId="74" fillId="35" borderId="102" xfId="0" applyFont="1" applyFill="1" applyBorder="1" applyAlignment="1">
      <alignment horizontal="center"/>
    </xf>
    <xf numFmtId="0" fontId="74" fillId="35" borderId="143" xfId="0" applyFont="1" applyFill="1" applyBorder="1" applyAlignment="1">
      <alignment horizontal="center" wrapText="1"/>
    </xf>
    <xf numFmtId="0" fontId="74" fillId="35" borderId="64" xfId="0" applyFont="1" applyFill="1" applyBorder="1" applyAlignment="1">
      <alignment horizontal="center" wrapText="1"/>
    </xf>
    <xf numFmtId="0" fontId="74" fillId="35" borderId="81" xfId="0" applyFont="1" applyFill="1" applyBorder="1" applyAlignment="1">
      <alignment horizontal="center" wrapText="1"/>
    </xf>
    <xf numFmtId="0" fontId="74" fillId="35" borderId="19" xfId="0" applyFont="1" applyFill="1" applyBorder="1" applyAlignment="1">
      <alignment horizontal="center" wrapText="1"/>
    </xf>
    <xf numFmtId="4" fontId="161" fillId="32" borderId="224" xfId="0" applyNumberFormat="1" applyFont="1" applyFill="1" applyBorder="1" applyProtection="1">
      <protection locked="0"/>
    </xf>
    <xf numFmtId="4" fontId="161" fillId="32" borderId="225" xfId="0" applyNumberFormat="1" applyFont="1" applyFill="1" applyBorder="1" applyProtection="1">
      <protection locked="0"/>
    </xf>
    <xf numFmtId="0" fontId="174" fillId="72" borderId="23" xfId="0" applyFont="1" applyFill="1" applyBorder="1"/>
    <xf numFmtId="4" fontId="161" fillId="32" borderId="187"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56" xfId="0" applyFont="1" applyFill="1" applyBorder="1" applyAlignment="1" applyProtection="1">
      <alignment horizontal="center"/>
      <protection locked="0"/>
    </xf>
    <xf numFmtId="0" fontId="162" fillId="32" borderId="208" xfId="0" applyFont="1" applyFill="1" applyBorder="1" applyAlignment="1" applyProtection="1">
      <alignment horizontal="center"/>
      <protection locked="0"/>
    </xf>
    <xf numFmtId="0" fontId="162" fillId="32" borderId="209" xfId="0" applyFont="1" applyFill="1" applyBorder="1" applyAlignment="1" applyProtection="1">
      <alignment horizontal="center"/>
      <protection locked="0"/>
    </xf>
    <xf numFmtId="0" fontId="162" fillId="32" borderId="210" xfId="0" applyFont="1" applyFill="1" applyBorder="1" applyAlignment="1" applyProtection="1">
      <alignment horizontal="center"/>
      <protection locked="0"/>
    </xf>
    <xf numFmtId="0" fontId="162" fillId="32" borderId="211" xfId="0" applyFont="1" applyFill="1" applyBorder="1" applyAlignment="1" applyProtection="1">
      <alignment horizontal="center"/>
      <protection locked="0"/>
    </xf>
    <xf numFmtId="0" fontId="162" fillId="32" borderId="187" xfId="0" applyFont="1" applyFill="1" applyBorder="1" applyAlignment="1" applyProtection="1">
      <alignment horizontal="center"/>
      <protection locked="0"/>
    </xf>
    <xf numFmtId="0" fontId="162" fillId="32" borderId="178" xfId="0" applyFont="1" applyFill="1" applyBorder="1" applyAlignment="1" applyProtection="1">
      <alignment horizontal="center"/>
      <protection locked="0"/>
    </xf>
    <xf numFmtId="0" fontId="72" fillId="29" borderId="81" xfId="0" applyFont="1" applyFill="1" applyBorder="1"/>
    <xf numFmtId="0" fontId="72" fillId="29" borderId="82" xfId="0" applyFont="1" applyFill="1" applyBorder="1"/>
    <xf numFmtId="0" fontId="72" fillId="34" borderId="81" xfId="0" applyFont="1" applyFill="1" applyBorder="1"/>
    <xf numFmtId="0" fontId="72" fillId="34" borderId="82" xfId="0" applyFont="1" applyFill="1" applyBorder="1"/>
    <xf numFmtId="0" fontId="72" fillId="34" borderId="81" xfId="0" applyFont="1" applyFill="1" applyBorder="1" applyAlignment="1">
      <alignment horizontal="center"/>
    </xf>
    <xf numFmtId="0" fontId="72" fillId="34" borderId="82" xfId="0" applyFont="1" applyFill="1" applyBorder="1" applyAlignment="1">
      <alignment horizontal="center"/>
    </xf>
    <xf numFmtId="0" fontId="108" fillId="74" borderId="19" xfId="0" applyFont="1" applyFill="1" applyBorder="1"/>
    <xf numFmtId="0" fontId="108" fillId="74" borderId="82" xfId="0" applyFont="1" applyFill="1" applyBorder="1"/>
    <xf numFmtId="0" fontId="104" fillId="30" borderId="81" xfId="0" applyFont="1" applyFill="1" applyBorder="1" applyAlignment="1">
      <alignment horizontal="centerContinuous"/>
    </xf>
    <xf numFmtId="0" fontId="104" fillId="30" borderId="82" xfId="0" applyFont="1" applyFill="1" applyBorder="1" applyAlignment="1">
      <alignment horizontal="centerContinuous"/>
    </xf>
    <xf numFmtId="37" fontId="104" fillId="30" borderId="81" xfId="0" applyNumberFormat="1" applyFont="1" applyFill="1" applyBorder="1" applyAlignment="1">
      <alignment horizontal="centerContinuous"/>
    </xf>
    <xf numFmtId="37" fontId="104" fillId="30" borderId="82" xfId="0" applyNumberFormat="1" applyFont="1" applyFill="1" applyBorder="1" applyAlignment="1">
      <alignment horizontal="centerContinuous"/>
    </xf>
    <xf numFmtId="0" fontId="163" fillId="0" borderId="208" xfId="0" applyFont="1" applyBorder="1"/>
    <xf numFmtId="0" fontId="126" fillId="0" borderId="194" xfId="0" applyFont="1" applyBorder="1" applyAlignment="1">
      <alignment horizontal="centerContinuous" wrapText="1"/>
    </xf>
    <xf numFmtId="0" fontId="126" fillId="0" borderId="180" xfId="0" applyFont="1" applyBorder="1" applyAlignment="1">
      <alignment horizontal="centerContinuous" wrapText="1"/>
    </xf>
    <xf numFmtId="0" fontId="126" fillId="0" borderId="195" xfId="0" applyFont="1" applyBorder="1" applyAlignment="1">
      <alignment horizontal="centerContinuous" wrapText="1"/>
    </xf>
    <xf numFmtId="0" fontId="126" fillId="0" borderId="53" xfId="0" applyFont="1" applyBorder="1" applyAlignment="1">
      <alignment horizontal="centerContinuous" wrapText="1"/>
    </xf>
    <xf numFmtId="0" fontId="126" fillId="0" borderId="54" xfId="0" applyFont="1" applyBorder="1" applyAlignment="1">
      <alignment horizontal="centerContinuous" wrapText="1"/>
    </xf>
    <xf numFmtId="0" fontId="126" fillId="0" borderId="55" xfId="0" applyFont="1" applyBorder="1" applyAlignment="1">
      <alignment horizontal="centerContinuous" wrapText="1"/>
    </xf>
    <xf numFmtId="0" fontId="126" fillId="0" borderId="51" xfId="0" applyFont="1" applyBorder="1" applyAlignment="1">
      <alignment horizontal="centerContinuous" wrapText="1"/>
    </xf>
    <xf numFmtId="0" fontId="126" fillId="0" borderId="84" xfId="0" applyFont="1" applyBorder="1" applyAlignment="1">
      <alignment horizontal="centerContinuous" wrapText="1"/>
    </xf>
    <xf numFmtId="0" fontId="126" fillId="0" borderId="56" xfId="0" applyFont="1" applyBorder="1" applyAlignment="1">
      <alignment horizontal="centerContinuous" wrapText="1"/>
    </xf>
    <xf numFmtId="0" fontId="126" fillId="0" borderId="192" xfId="0" applyFont="1" applyBorder="1" applyAlignment="1">
      <alignment horizontal="centerContinuous" wrapText="1"/>
    </xf>
    <xf numFmtId="0" fontId="140" fillId="0" borderId="59" xfId="663" applyFont="1" applyBorder="1" applyAlignment="1">
      <alignment horizontal="centerContinuous"/>
    </xf>
    <xf numFmtId="0" fontId="140" fillId="0" borderId="60" xfId="663" applyFont="1" applyBorder="1" applyAlignment="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Border="1" applyAlignment="1">
      <alignment horizontal="right"/>
    </xf>
    <xf numFmtId="0" fontId="75" fillId="0" borderId="40" xfId="663" applyFont="1" applyBorder="1" applyAlignment="1">
      <alignment horizontal="centerContinuous"/>
    </xf>
    <xf numFmtId="0" fontId="75" fillId="0" borderId="114" xfId="663" applyFont="1" applyBorder="1" applyAlignment="1">
      <alignment horizontal="centerContinuous"/>
    </xf>
    <xf numFmtId="0" fontId="125" fillId="0" borderId="0" xfId="0" applyFont="1" applyAlignment="1">
      <alignment horizontal="centerContinuous"/>
    </xf>
    <xf numFmtId="0" fontId="106" fillId="0" borderId="224" xfId="0" applyFont="1" applyBorder="1" applyAlignment="1">
      <alignment horizontal="center"/>
    </xf>
    <xf numFmtId="3" fontId="158" fillId="32" borderId="224" xfId="0" applyNumberFormat="1" applyFont="1" applyFill="1" applyBorder="1" applyProtection="1">
      <protection locked="0"/>
    </xf>
    <xf numFmtId="3" fontId="106" fillId="0" borderId="224" xfId="0" applyNumberFormat="1" applyFont="1" applyBorder="1"/>
    <xf numFmtId="37" fontId="106" fillId="0" borderId="165" xfId="0" applyNumberFormat="1" applyFont="1" applyBorder="1"/>
    <xf numFmtId="0" fontId="72" fillId="32" borderId="224" xfId="495" applyFont="1" applyFill="1" applyBorder="1" applyAlignment="1">
      <alignment horizontal="center" wrapText="1"/>
    </xf>
    <xf numFmtId="3" fontId="72" fillId="32" borderId="224" xfId="181" applyNumberFormat="1" applyFont="1" applyFill="1" applyBorder="1"/>
    <xf numFmtId="0" fontId="129" fillId="79" borderId="0" xfId="526" applyFont="1" applyFill="1" applyAlignment="1">
      <alignment horizontal="left" wrapText="1"/>
    </xf>
    <xf numFmtId="0" fontId="79" fillId="31" borderId="0" xfId="0" applyFont="1" applyFill="1" applyAlignment="1">
      <alignment horizontal="left"/>
    </xf>
    <xf numFmtId="49" fontId="71" fillId="0" borderId="81" xfId="0" applyNumberFormat="1" applyFont="1" applyBorder="1" applyAlignment="1">
      <alignment horizontal="left"/>
    </xf>
    <xf numFmtId="49" fontId="71" fillId="0" borderId="83" xfId="0" applyNumberFormat="1" applyFont="1" applyBorder="1" applyAlignment="1">
      <alignment horizontal="left"/>
    </xf>
    <xf numFmtId="49" fontId="71" fillId="0" borderId="82" xfId="0" applyNumberFormat="1" applyFont="1" applyBorder="1" applyAlignment="1">
      <alignment horizontal="left"/>
    </xf>
    <xf numFmtId="0" fontId="74" fillId="0" borderId="83" xfId="0" applyFont="1" applyBorder="1" applyAlignment="1">
      <alignment horizontal="center"/>
    </xf>
    <xf numFmtId="0" fontId="74" fillId="0" borderId="82" xfId="0" applyFont="1" applyBorder="1" applyAlignment="1">
      <alignment horizontal="center"/>
    </xf>
    <xf numFmtId="0" fontId="74" fillId="0" borderId="0" xfId="17654" applyFont="1" applyAlignment="1">
      <alignment horizontal="left"/>
    </xf>
    <xf numFmtId="0" fontId="164" fillId="32" borderId="17" xfId="0" applyFont="1" applyFill="1" applyBorder="1" applyAlignment="1">
      <alignment horizontal="left"/>
    </xf>
    <xf numFmtId="0" fontId="154" fillId="32" borderId="0" xfId="17654" applyFont="1" applyFill="1" applyAlignment="1">
      <alignment horizontal="left"/>
    </xf>
    <xf numFmtId="0" fontId="74" fillId="0" borderId="48" xfId="0" applyFont="1" applyBorder="1" applyAlignment="1">
      <alignment horizontal="center"/>
    </xf>
    <xf numFmtId="0" fontId="74" fillId="0" borderId="49" xfId="0" applyFont="1" applyBorder="1" applyAlignment="1">
      <alignment horizontal="center"/>
    </xf>
    <xf numFmtId="0" fontId="74" fillId="0" borderId="50" xfId="0" applyFont="1" applyBorder="1" applyAlignment="1">
      <alignment horizontal="center"/>
    </xf>
    <xf numFmtId="0" fontId="74" fillId="0" borderId="84" xfId="0" applyFont="1" applyBorder="1" applyAlignment="1">
      <alignment horizontal="center" wrapText="1"/>
    </xf>
    <xf numFmtId="0" fontId="74" fillId="0" borderId="83" xfId="0" applyFont="1" applyBorder="1" applyAlignment="1">
      <alignment horizontal="center" wrapText="1"/>
    </xf>
    <xf numFmtId="0" fontId="74" fillId="0" borderId="51" xfId="0" applyFont="1" applyBorder="1" applyAlignment="1">
      <alignment horizontal="center"/>
    </xf>
    <xf numFmtId="0" fontId="73" fillId="0" borderId="81" xfId="0" applyFont="1" applyBorder="1" applyAlignment="1">
      <alignment horizontal="center" wrapText="1"/>
    </xf>
    <xf numFmtId="0" fontId="73" fillId="0" borderId="82" xfId="0" applyFont="1" applyBorder="1" applyAlignment="1">
      <alignment horizontal="center" wrapText="1"/>
    </xf>
    <xf numFmtId="0" fontId="71" fillId="0" borderId="81" xfId="0" applyFont="1" applyBorder="1" applyAlignment="1">
      <alignment horizontal="left"/>
    </xf>
    <xf numFmtId="0" fontId="71" fillId="0" borderId="83" xfId="0" applyFont="1" applyBorder="1" applyAlignment="1">
      <alignment horizontal="left"/>
    </xf>
    <xf numFmtId="0" fontId="71" fillId="0" borderId="82" xfId="0" applyFont="1" applyBorder="1" applyAlignment="1">
      <alignment horizontal="left"/>
    </xf>
    <xf numFmtId="0" fontId="100" fillId="0" borderId="0" xfId="0" applyFont="1" applyAlignment="1">
      <alignment horizontal="left" vertical="top" wrapText="1"/>
    </xf>
    <xf numFmtId="0" fontId="73" fillId="0" borderId="0" xfId="0" applyFont="1" applyAlignment="1">
      <alignment horizontal="left"/>
    </xf>
    <xf numFmtId="0" fontId="108" fillId="0" borderId="0" xfId="0" applyFont="1" applyAlignment="1">
      <alignment horizontal="left"/>
    </xf>
    <xf numFmtId="0" fontId="103" fillId="0" borderId="83" xfId="0" applyFont="1" applyBorder="1" applyAlignment="1">
      <alignment horizontal="center"/>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15" xfId="0" applyNumberFormat="1" applyFont="1" applyFill="1" applyBorder="1"/>
    <xf numFmtId="169" fontId="72" fillId="32" borderId="206" xfId="0" applyNumberFormat="1" applyFont="1" applyFill="1" applyBorder="1"/>
    <xf numFmtId="169" fontId="72" fillId="32" borderId="222" xfId="0" applyNumberFormat="1" applyFont="1" applyFill="1" applyBorder="1"/>
    <xf numFmtId="172" fontId="100" fillId="0" borderId="10" xfId="0" applyNumberFormat="1" applyFont="1" applyBorder="1" applyAlignment="1">
      <alignment horizontal="right"/>
    </xf>
    <xf numFmtId="0" fontId="72" fillId="0" borderId="224" xfId="0" applyFont="1" applyBorder="1"/>
    <xf numFmtId="0" fontId="103" fillId="0" borderId="81" xfId="0" applyFont="1" applyBorder="1" applyAlignment="1">
      <alignment horizontal="centerContinuous" wrapText="1"/>
    </xf>
    <xf numFmtId="0" fontId="103" fillId="0" borderId="83" xfId="0" applyFont="1" applyBorder="1" applyAlignment="1">
      <alignment horizontal="centerContinuous" wrapText="1"/>
    </xf>
    <xf numFmtId="0" fontId="103" fillId="0" borderId="82" xfId="0" applyFont="1" applyBorder="1" applyAlignment="1">
      <alignment horizontal="centerContinuous" wrapText="1"/>
    </xf>
    <xf numFmtId="0" fontId="74" fillId="0" borderId="81" xfId="0" applyFont="1" applyBorder="1" applyAlignment="1">
      <alignment horizontal="centerContinuous" wrapText="1"/>
    </xf>
    <xf numFmtId="0" fontId="74" fillId="0" borderId="83" xfId="0" applyFont="1" applyBorder="1" applyAlignment="1">
      <alignment horizontal="centerContinuous" wrapText="1"/>
    </xf>
    <xf numFmtId="0" fontId="74" fillId="0" borderId="82" xfId="0" applyFont="1" applyBorder="1" applyAlignment="1">
      <alignment horizontal="centerContinuous" wrapText="1"/>
    </xf>
    <xf numFmtId="0" fontId="104" fillId="0" borderId="47" xfId="0" applyFont="1" applyBorder="1" applyAlignment="1">
      <alignment horizontal="center" wrapText="1"/>
    </xf>
    <xf numFmtId="0" fontId="104" fillId="0" borderId="29" xfId="0" applyFont="1" applyBorder="1" applyAlignment="1">
      <alignment horizontal="center" wrapText="1"/>
    </xf>
    <xf numFmtId="0" fontId="74" fillId="0" borderId="84" xfId="0" applyFont="1" applyBorder="1" applyAlignment="1">
      <alignment horizontal="center"/>
    </xf>
    <xf numFmtId="0" fontId="79" fillId="31" borderId="0" xfId="0" applyFont="1" applyFill="1" applyAlignment="1">
      <alignment horizontal="centerContinuous" wrapText="1"/>
    </xf>
    <xf numFmtId="0" fontId="104" fillId="0" borderId="81" xfId="0" applyFont="1" applyBorder="1" applyAlignment="1">
      <alignment horizontal="centerContinuous"/>
    </xf>
    <xf numFmtId="0" fontId="104" fillId="0" borderId="83" xfId="0" applyFont="1" applyBorder="1" applyAlignment="1">
      <alignment horizontal="centerContinuous"/>
    </xf>
    <xf numFmtId="0" fontId="104" fillId="0" borderId="82" xfId="0" applyFont="1" applyBorder="1" applyAlignment="1">
      <alignment horizontal="centerContinuous"/>
    </xf>
    <xf numFmtId="0" fontId="100" fillId="0" borderId="0" xfId="0" applyFont="1" applyAlignment="1">
      <alignment horizontal="centerContinuous" wrapText="1"/>
    </xf>
    <xf numFmtId="0" fontId="100" fillId="0" borderId="0" xfId="0" applyFont="1" applyAlignment="1">
      <alignment horizontal="centerContinuous" vertical="top" wrapText="1"/>
    </xf>
    <xf numFmtId="0" fontId="103" fillId="0" borderId="81" xfId="0" applyFont="1" applyBorder="1" applyAlignment="1">
      <alignment horizontal="centerContinuous"/>
    </xf>
    <xf numFmtId="0" fontId="103" fillId="0" borderId="83" xfId="0" applyFont="1" applyBorder="1" applyAlignment="1">
      <alignment horizontal="centerContinuous"/>
    </xf>
    <xf numFmtId="0" fontId="103" fillId="0" borderId="82" xfId="0" applyFont="1" applyBorder="1" applyAlignment="1">
      <alignment horizontal="centerContinuous"/>
    </xf>
    <xf numFmtId="166" fontId="72" fillId="71" borderId="50" xfId="0" applyNumberFormat="1" applyFont="1" applyFill="1" applyBorder="1"/>
    <xf numFmtId="3" fontId="72" fillId="0" borderId="36" xfId="0" applyNumberFormat="1" applyFont="1" applyBorder="1"/>
    <xf numFmtId="0" fontId="106" fillId="0" borderId="208" xfId="0" applyFont="1" applyBorder="1" applyAlignment="1">
      <alignment horizontal="centerContinuous" wrapText="1"/>
    </xf>
    <xf numFmtId="0" fontId="106" fillId="0" borderId="209" xfId="0" applyFont="1" applyBorder="1" applyAlignment="1">
      <alignment horizontal="centerContinuous"/>
    </xf>
    <xf numFmtId="49" fontId="106" fillId="32" borderId="81" xfId="0" applyNumberFormat="1" applyFont="1" applyFill="1" applyBorder="1" applyAlignment="1" applyProtection="1">
      <alignment horizontal="centerContinuous" vertical="top" wrapText="1"/>
      <protection locked="0"/>
    </xf>
    <xf numFmtId="49" fontId="106" fillId="32" borderId="83" xfId="0" applyNumberFormat="1" applyFont="1" applyFill="1" applyBorder="1" applyAlignment="1" applyProtection="1">
      <alignment horizontal="centerContinuous" vertical="top" wrapText="1"/>
      <protection locked="0"/>
    </xf>
    <xf numFmtId="49" fontId="106" fillId="32" borderId="82" xfId="0" applyNumberFormat="1" applyFont="1" applyFill="1" applyBorder="1" applyAlignment="1" applyProtection="1">
      <alignment horizontal="centerContinuous" vertical="top" wrapText="1"/>
      <protection locked="0"/>
    </xf>
    <xf numFmtId="49" fontId="72" fillId="32" borderId="230" xfId="0" applyNumberFormat="1" applyFont="1" applyFill="1" applyBorder="1" applyAlignment="1" applyProtection="1">
      <alignment horizontal="centerContinuous" vertical="top" wrapText="1"/>
      <protection locked="0"/>
    </xf>
    <xf numFmtId="49" fontId="72" fillId="32" borderId="231" xfId="0" applyNumberFormat="1" applyFont="1" applyFill="1" applyBorder="1" applyAlignment="1" applyProtection="1">
      <alignment horizontal="centerContinuous" vertical="top" wrapText="1"/>
      <protection locked="0"/>
    </xf>
    <xf numFmtId="49" fontId="72" fillId="32" borderId="232" xfId="0" applyNumberFormat="1" applyFont="1" applyFill="1" applyBorder="1" applyAlignment="1" applyProtection="1">
      <alignment horizontal="centerContinuous" vertical="top" wrapText="1"/>
      <protection locked="0"/>
    </xf>
    <xf numFmtId="0" fontId="72" fillId="32" borderId="233" xfId="0" applyFont="1" applyFill="1" applyBorder="1" applyAlignment="1" applyProtection="1">
      <alignment horizontal="centerContinuous" vertical="top" wrapText="1"/>
      <protection locked="0"/>
    </xf>
    <xf numFmtId="0" fontId="72" fillId="32" borderId="234" xfId="0" applyFont="1" applyFill="1" applyBorder="1" applyAlignment="1" applyProtection="1">
      <alignment horizontal="centerContinuous" vertical="top" wrapText="1"/>
      <protection locked="0"/>
    </xf>
    <xf numFmtId="0" fontId="72" fillId="32" borderId="235" xfId="0" applyFont="1" applyFill="1" applyBorder="1" applyAlignment="1" applyProtection="1">
      <alignment horizontal="centerContinuous" vertical="top" wrapText="1"/>
      <protection locked="0"/>
    </xf>
    <xf numFmtId="49" fontId="106" fillId="32" borderId="38" xfId="0" applyNumberFormat="1" applyFont="1" applyFill="1" applyBorder="1" applyAlignment="1" applyProtection="1">
      <alignment horizontal="centerContinuous" vertical="top" wrapText="1"/>
      <protection locked="0"/>
    </xf>
    <xf numFmtId="49" fontId="106" fillId="32" borderId="52" xfId="0" applyNumberFormat="1" applyFont="1" applyFill="1" applyBorder="1" applyAlignment="1" applyProtection="1">
      <alignment horizontal="centerContinuous" vertical="top" wrapText="1"/>
      <protection locked="0"/>
    </xf>
    <xf numFmtId="49" fontId="106" fillId="32" borderId="61" xfId="0" applyNumberFormat="1" applyFont="1" applyFill="1" applyBorder="1" applyAlignment="1" applyProtection="1">
      <alignment horizontal="centerContinuous" vertical="top" wrapText="1"/>
      <protection locked="0"/>
    </xf>
    <xf numFmtId="172" fontId="129" fillId="0" borderId="10" xfId="0" applyNumberFormat="1" applyFont="1" applyBorder="1" applyAlignment="1">
      <alignment horizontal="right"/>
    </xf>
    <xf numFmtId="0" fontId="100" fillId="25" borderId="10" xfId="0" quotePrefix="1" applyFont="1" applyFill="1" applyBorder="1" applyAlignment="1">
      <alignment horizontal="right"/>
    </xf>
    <xf numFmtId="0" fontId="100" fillId="0" borderId="10" xfId="0" quotePrefix="1" applyFont="1" applyBorder="1" applyAlignment="1">
      <alignment horizontal="right"/>
    </xf>
    <xf numFmtId="37" fontId="106" fillId="0" borderId="226" xfId="0" applyNumberFormat="1" applyFont="1" applyBorder="1"/>
    <xf numFmtId="37" fontId="106" fillId="0" borderId="227" xfId="0" applyNumberFormat="1" applyFont="1" applyBorder="1"/>
    <xf numFmtId="37" fontId="106" fillId="0" borderId="228" xfId="0" applyNumberFormat="1" applyFont="1" applyBorder="1"/>
    <xf numFmtId="37" fontId="106" fillId="0" borderId="229" xfId="0" applyNumberFormat="1" applyFont="1" applyBorder="1"/>
    <xf numFmtId="172" fontId="106" fillId="0" borderId="224" xfId="0" applyNumberFormat="1" applyFont="1" applyBorder="1" applyAlignment="1">
      <alignment horizontal="center"/>
    </xf>
    <xf numFmtId="0" fontId="179" fillId="80" borderId="17" xfId="0" applyFont="1" applyFill="1" applyBorder="1" applyAlignment="1">
      <alignment horizontal="centerContinuous" wrapText="1"/>
    </xf>
    <xf numFmtId="0" fontId="180" fillId="80" borderId="0" xfId="0" applyFont="1" applyFill="1" applyAlignment="1">
      <alignment horizontal="centerContinuous"/>
    </xf>
    <xf numFmtId="0" fontId="104" fillId="0" borderId="19" xfId="0" applyFont="1" applyBorder="1" applyAlignment="1">
      <alignment horizontal="centerContinuous" wrapText="1"/>
    </xf>
    <xf numFmtId="5" fontId="72" fillId="32" borderId="34" xfId="181" applyNumberFormat="1" applyFont="1" applyFill="1" applyBorder="1" applyAlignment="1">
      <alignment horizontal="right"/>
    </xf>
    <xf numFmtId="165" fontId="72" fillId="32" borderId="224" xfId="181" applyNumberFormat="1" applyFont="1" applyFill="1" applyBorder="1" applyAlignment="1">
      <alignment horizontal="right"/>
    </xf>
    <xf numFmtId="165" fontId="72" fillId="32" borderId="236" xfId="181" applyNumberFormat="1" applyFont="1" applyFill="1" applyBorder="1" applyAlignment="1">
      <alignment horizontal="right"/>
    </xf>
    <xf numFmtId="0" fontId="164" fillId="0" borderId="0" xfId="0" applyFont="1" applyAlignment="1">
      <alignment horizontal="left"/>
    </xf>
    <xf numFmtId="0" fontId="181" fillId="32" borderId="17" xfId="0" applyFont="1" applyFill="1" applyBorder="1" applyAlignment="1">
      <alignment horizontal="left"/>
    </xf>
    <xf numFmtId="0" fontId="107" fillId="0" borderId="81" xfId="0" applyFont="1" applyBorder="1" applyAlignment="1">
      <alignment horizontal="center" wrapText="1"/>
    </xf>
    <xf numFmtId="169" fontId="151" fillId="0" borderId="48" xfId="0" applyNumberFormat="1" applyFont="1" applyBorder="1"/>
    <xf numFmtId="171" fontId="151" fillId="0" borderId="50" xfId="0" applyNumberFormat="1" applyFont="1" applyBorder="1"/>
    <xf numFmtId="169" fontId="151" fillId="0" borderId="220" xfId="0" applyNumberFormat="1" applyFont="1" applyBorder="1"/>
    <xf numFmtId="171" fontId="151" fillId="0" borderId="219" xfId="0" applyNumberFormat="1" applyFont="1" applyBorder="1"/>
    <xf numFmtId="169" fontId="151" fillId="0" borderId="221" xfId="0" applyNumberFormat="1" applyFont="1" applyBorder="1"/>
    <xf numFmtId="171" fontId="151" fillId="0" borderId="223" xfId="0" applyNumberFormat="1" applyFont="1" applyBorder="1"/>
    <xf numFmtId="0" fontId="74" fillId="0" borderId="29" xfId="0" applyFont="1" applyBorder="1" applyAlignment="1">
      <alignment horizontal="center" wrapText="1"/>
    </xf>
    <xf numFmtId="0" fontId="72" fillId="0" borderId="47" xfId="0" applyFont="1" applyBorder="1"/>
    <xf numFmtId="3" fontId="72" fillId="36" borderId="224" xfId="0" applyNumberFormat="1" applyFont="1" applyFill="1" applyBorder="1" applyAlignment="1">
      <alignment horizontal="right"/>
    </xf>
    <xf numFmtId="0" fontId="178" fillId="32" borderId="224" xfId="0" applyFont="1" applyFill="1" applyBorder="1" applyAlignment="1" applyProtection="1">
      <alignment horizontal="right"/>
      <protection locked="0"/>
    </xf>
    <xf numFmtId="5" fontId="151" fillId="32" borderId="215" xfId="49334" applyNumberFormat="1" applyFont="1" applyFill="1" applyBorder="1" applyAlignment="1">
      <alignment horizontal="right"/>
    </xf>
    <xf numFmtId="165" fontId="151" fillId="32" borderId="206" xfId="49334" applyNumberFormat="1" applyFont="1" applyFill="1" applyBorder="1" applyAlignment="1">
      <alignment horizontal="right"/>
    </xf>
    <xf numFmtId="0" fontId="74" fillId="0" borderId="225" xfId="0" applyFont="1" applyBorder="1" applyAlignment="1">
      <alignment horizontal="center"/>
    </xf>
    <xf numFmtId="3" fontId="74" fillId="0" borderId="236" xfId="0" applyNumberFormat="1" applyFont="1" applyBorder="1" applyAlignment="1">
      <alignment horizontal="center"/>
    </xf>
    <xf numFmtId="166" fontId="72" fillId="70" borderId="219" xfId="0" applyNumberFormat="1" applyFont="1" applyFill="1" applyBorder="1"/>
    <xf numFmtId="166" fontId="72" fillId="32" borderId="219" xfId="0" applyNumberFormat="1" applyFont="1" applyFill="1" applyBorder="1"/>
    <xf numFmtId="166" fontId="72" fillId="36" borderId="209" xfId="0" applyNumberFormat="1" applyFont="1" applyFill="1" applyBorder="1"/>
    <xf numFmtId="166" fontId="72" fillId="36" borderId="224" xfId="0" applyNumberFormat="1" applyFont="1" applyFill="1" applyBorder="1"/>
    <xf numFmtId="171" fontId="72" fillId="32" borderId="219" xfId="182" applyNumberFormat="1" applyFont="1" applyFill="1" applyBorder="1"/>
    <xf numFmtId="169" fontId="78" fillId="32" borderId="224" xfId="17654" applyNumberFormat="1" applyFont="1" applyFill="1" applyBorder="1"/>
    <xf numFmtId="166" fontId="72" fillId="36" borderId="208" xfId="0" applyNumberFormat="1" applyFont="1" applyFill="1" applyBorder="1"/>
    <xf numFmtId="166" fontId="72" fillId="32" borderId="224" xfId="182" applyNumberFormat="1" applyFont="1" applyFill="1" applyBorder="1"/>
    <xf numFmtId="166" fontId="78" fillId="32" borderId="224" xfId="17654" applyNumberFormat="1" applyFont="1" applyFill="1" applyBorder="1"/>
    <xf numFmtId="0" fontId="72" fillId="0" borderId="236" xfId="0" applyFont="1" applyBorder="1"/>
    <xf numFmtId="166" fontId="72" fillId="36" borderId="211" xfId="0" applyNumberFormat="1" applyFont="1" applyFill="1" applyBorder="1"/>
    <xf numFmtId="166" fontId="72" fillId="36" borderId="236" xfId="0" applyNumberFormat="1" applyFont="1" applyFill="1" applyBorder="1"/>
    <xf numFmtId="171" fontId="72" fillId="32" borderId="223" xfId="182" applyNumberFormat="1" applyFont="1" applyFill="1" applyBorder="1"/>
    <xf numFmtId="166" fontId="72" fillId="32" borderId="236" xfId="182" applyNumberFormat="1" applyFont="1" applyFill="1" applyBorder="1"/>
    <xf numFmtId="166" fontId="78" fillId="32" borderId="225" xfId="17654" applyNumberFormat="1" applyFont="1" applyFill="1" applyBorder="1"/>
    <xf numFmtId="10" fontId="78" fillId="0" borderId="237" xfId="3292" quotePrefix="1" applyNumberFormat="1" applyFont="1" applyFill="1" applyBorder="1" applyAlignment="1" applyProtection="1">
      <alignment horizontal="right"/>
    </xf>
    <xf numFmtId="167" fontId="78" fillId="0" borderId="238" xfId="3292" applyNumberFormat="1" applyFont="1" applyBorder="1" applyAlignment="1" applyProtection="1">
      <alignment horizontal="right"/>
    </xf>
    <xf numFmtId="0" fontId="72" fillId="0" borderId="239" xfId="0" applyFont="1" applyBorder="1"/>
    <xf numFmtId="3" fontId="78" fillId="0" borderId="240" xfId="181" applyNumberFormat="1" applyFont="1" applyFill="1" applyBorder="1" applyAlignment="1" applyProtection="1"/>
    <xf numFmtId="3" fontId="78" fillId="0" borderId="241" xfId="181" applyNumberFormat="1" applyFont="1" applyBorder="1" applyProtection="1"/>
    <xf numFmtId="0" fontId="72" fillId="0" borderId="242" xfId="0" applyFont="1" applyBorder="1"/>
    <xf numFmtId="3" fontId="78" fillId="0" borderId="243" xfId="181" applyNumberFormat="1" applyFont="1" applyFill="1" applyBorder="1" applyAlignment="1" applyProtection="1"/>
    <xf numFmtId="3" fontId="78" fillId="0" borderId="244" xfId="181" applyNumberFormat="1" applyFont="1" applyBorder="1" applyProtection="1"/>
    <xf numFmtId="10" fontId="78" fillId="0" borderId="245" xfId="3292" quotePrefix="1" applyNumberFormat="1" applyFont="1" applyFill="1" applyBorder="1" applyAlignment="1" applyProtection="1">
      <alignment horizontal="right"/>
    </xf>
    <xf numFmtId="167" fontId="78" fillId="0" borderId="246" xfId="3292" applyNumberFormat="1" applyFont="1" applyBorder="1" applyAlignment="1" applyProtection="1">
      <alignment horizontal="right"/>
    </xf>
    <xf numFmtId="10" fontId="78" fillId="0" borderId="241" xfId="3292" quotePrefix="1" applyNumberFormat="1" applyFont="1" applyFill="1" applyBorder="1" applyAlignment="1" applyProtection="1">
      <alignment horizontal="right"/>
    </xf>
    <xf numFmtId="167" fontId="78" fillId="0" borderId="247" xfId="3292" applyNumberFormat="1" applyFont="1" applyBorder="1" applyAlignment="1" applyProtection="1">
      <alignment horizontal="right"/>
    </xf>
    <xf numFmtId="3" fontId="78" fillId="0" borderId="248" xfId="181" applyNumberFormat="1" applyFont="1" applyBorder="1" applyAlignment="1" applyProtection="1"/>
    <xf numFmtId="3" fontId="78" fillId="0" borderId="248" xfId="181" applyNumberFormat="1" applyFont="1" applyBorder="1" applyProtection="1"/>
    <xf numFmtId="3" fontId="78" fillId="0" borderId="249" xfId="181" applyNumberFormat="1" applyFont="1" applyBorder="1" applyAlignment="1" applyProtection="1"/>
    <xf numFmtId="3" fontId="78" fillId="0" borderId="249" xfId="181" applyNumberFormat="1" applyFont="1" applyBorder="1" applyProtection="1"/>
    <xf numFmtId="10" fontId="78" fillId="0" borderId="244" xfId="3292" quotePrefix="1" applyNumberFormat="1" applyFont="1" applyFill="1" applyBorder="1" applyAlignment="1" applyProtection="1">
      <alignment horizontal="right"/>
    </xf>
    <xf numFmtId="167" fontId="78" fillId="0" borderId="250" xfId="3292" applyNumberFormat="1" applyFont="1" applyBorder="1" applyAlignment="1" applyProtection="1">
      <alignment horizontal="right"/>
    </xf>
    <xf numFmtId="0" fontId="76" fillId="0" borderId="251" xfId="0" applyFont="1" applyBorder="1"/>
    <xf numFmtId="3" fontId="78" fillId="0" borderId="252" xfId="181" applyNumberFormat="1" applyFont="1" applyBorder="1" applyAlignment="1" applyProtection="1">
      <alignment horizontal="right"/>
    </xf>
    <xf numFmtId="37" fontId="72" fillId="0" borderId="253" xfId="0" applyNumberFormat="1" applyFont="1" applyBorder="1"/>
    <xf numFmtId="37" fontId="74" fillId="0" borderId="251" xfId="0" applyNumberFormat="1" applyFont="1" applyBorder="1"/>
    <xf numFmtId="4" fontId="72" fillId="0" borderId="211" xfId="181" applyNumberFormat="1" applyFont="1" applyBorder="1" applyProtection="1"/>
    <xf numFmtId="4" fontId="156" fillId="32" borderId="225" xfId="0" applyNumberFormat="1" applyFont="1" applyFill="1" applyBorder="1" applyProtection="1">
      <protection locked="0"/>
    </xf>
    <xf numFmtId="4" fontId="156" fillId="32" borderId="212" xfId="0" applyNumberFormat="1" applyFont="1" applyFill="1" applyBorder="1" applyProtection="1">
      <protection locked="0"/>
    </xf>
    <xf numFmtId="4" fontId="72" fillId="0" borderId="212" xfId="181" applyNumberFormat="1" applyFont="1" applyBorder="1" applyProtection="1"/>
    <xf numFmtId="4" fontId="78" fillId="0" borderId="224" xfId="0" applyNumberFormat="1" applyFont="1" applyBorder="1"/>
    <xf numFmtId="4" fontId="149" fillId="0" borderId="224" xfId="0" applyNumberFormat="1" applyFont="1" applyBorder="1"/>
    <xf numFmtId="4" fontId="149" fillId="0" borderId="212" xfId="0" applyNumberFormat="1" applyFont="1" applyBorder="1"/>
    <xf numFmtId="4" fontId="72" fillId="0" borderId="211" xfId="181" applyNumberFormat="1" applyFont="1" applyFill="1" applyBorder="1" applyProtection="1"/>
    <xf numFmtId="4" fontId="72" fillId="0" borderId="212" xfId="181" applyNumberFormat="1" applyFont="1" applyFill="1" applyBorder="1" applyProtection="1"/>
    <xf numFmtId="0" fontId="72" fillId="0" borderId="224" xfId="0" applyFont="1" applyBorder="1" applyAlignment="1">
      <alignment horizontal="center"/>
    </xf>
    <xf numFmtId="3" fontId="156" fillId="32" borderId="224" xfId="0" applyNumberFormat="1" applyFont="1" applyFill="1" applyBorder="1" applyAlignment="1" applyProtection="1">
      <alignment horizontal="right"/>
      <protection locked="0"/>
    </xf>
    <xf numFmtId="4" fontId="72" fillId="0" borderId="224" xfId="0" applyNumberFormat="1" applyFont="1" applyBorder="1"/>
    <xf numFmtId="3" fontId="72" fillId="0" borderId="224" xfId="0" applyNumberFormat="1" applyFont="1" applyBorder="1"/>
    <xf numFmtId="0" fontId="72" fillId="0" borderId="225" xfId="0" applyFont="1" applyBorder="1"/>
    <xf numFmtId="0" fontId="72" fillId="0" borderId="225" xfId="0" applyFont="1" applyBorder="1" applyAlignment="1">
      <alignment horizontal="center"/>
    </xf>
    <xf numFmtId="4" fontId="72" fillId="0" borderId="225" xfId="0" applyNumberFormat="1" applyFont="1" applyBorder="1"/>
    <xf numFmtId="3" fontId="72" fillId="0" borderId="225" xfId="0" applyNumberFormat="1" applyFont="1" applyBorder="1"/>
    <xf numFmtId="0" fontId="74" fillId="0" borderId="212" xfId="0" applyFont="1" applyBorder="1"/>
    <xf numFmtId="3" fontId="74" fillId="0" borderId="212" xfId="0" applyNumberFormat="1" applyFont="1" applyBorder="1"/>
    <xf numFmtId="4" fontId="74" fillId="0" borderId="212" xfId="0" applyNumberFormat="1" applyFont="1" applyBorder="1"/>
    <xf numFmtId="168" fontId="74" fillId="0" borderId="212" xfId="0" applyNumberFormat="1" applyFont="1" applyBorder="1"/>
    <xf numFmtId="0" fontId="72" fillId="0" borderId="212" xfId="0" applyFont="1" applyBorder="1"/>
    <xf numFmtId="0" fontId="72" fillId="0" borderId="212" xfId="0" applyFont="1" applyBorder="1" applyAlignment="1">
      <alignment horizontal="center"/>
    </xf>
    <xf numFmtId="3" fontId="156" fillId="32" borderId="212" xfId="0" applyNumberFormat="1" applyFont="1" applyFill="1" applyBorder="1" applyAlignment="1" applyProtection="1">
      <alignment horizontal="right"/>
      <protection locked="0"/>
    </xf>
    <xf numFmtId="4" fontId="72" fillId="0" borderId="212" xfId="0" applyNumberFormat="1" applyFont="1" applyBorder="1"/>
    <xf numFmtId="3" fontId="72" fillId="0" borderId="212" xfId="0" applyNumberFormat="1" applyFont="1" applyBorder="1"/>
    <xf numFmtId="168" fontId="156" fillId="32" borderId="224" xfId="0" applyNumberFormat="1" applyFont="1" applyFill="1" applyBorder="1" applyAlignment="1" applyProtection="1">
      <alignment horizontal="right"/>
      <protection locked="0"/>
    </xf>
    <xf numFmtId="0" fontId="156" fillId="32" borderId="224" xfId="0" applyFont="1" applyFill="1" applyBorder="1" applyProtection="1">
      <protection locked="0"/>
    </xf>
    <xf numFmtId="0" fontId="156" fillId="32" borderId="225" xfId="0" applyFont="1" applyFill="1" applyBorder="1" applyProtection="1">
      <protection locked="0"/>
    </xf>
    <xf numFmtId="3" fontId="156" fillId="32" borderId="225" xfId="0" applyNumberFormat="1" applyFont="1" applyFill="1" applyBorder="1" applyAlignment="1" applyProtection="1">
      <alignment horizontal="right"/>
      <protection locked="0"/>
    </xf>
    <xf numFmtId="0" fontId="100" fillId="0" borderId="224" xfId="0" applyFont="1" applyBorder="1"/>
    <xf numFmtId="0" fontId="100" fillId="0" borderId="224" xfId="0" applyFont="1" applyBorder="1" applyAlignment="1">
      <alignment horizontal="center"/>
    </xf>
    <xf numFmtId="0" fontId="108" fillId="0" borderId="212" xfId="0" applyFont="1" applyBorder="1"/>
    <xf numFmtId="168" fontId="108" fillId="0" borderId="212" xfId="0" applyNumberFormat="1" applyFont="1" applyBorder="1"/>
    <xf numFmtId="0" fontId="100" fillId="0" borderId="208" xfId="0" applyFont="1" applyBorder="1" applyAlignment="1">
      <alignment horizontal="center"/>
    </xf>
    <xf numFmtId="3" fontId="157" fillId="32" borderId="224" xfId="0" applyNumberFormat="1" applyFont="1" applyFill="1" applyBorder="1" applyProtection="1">
      <protection locked="0"/>
    </xf>
    <xf numFmtId="168" fontId="130" fillId="75" borderId="254" xfId="0" applyNumberFormat="1" applyFont="1" applyFill="1" applyBorder="1" applyAlignment="1">
      <alignment horizontal="right"/>
    </xf>
    <xf numFmtId="5" fontId="130" fillId="75" borderId="254" xfId="0" applyNumberFormat="1" applyFont="1" applyFill="1" applyBorder="1" applyAlignment="1">
      <alignment horizontal="right"/>
    </xf>
    <xf numFmtId="37" fontId="100" fillId="24" borderId="255" xfId="0" applyNumberFormat="1" applyFont="1" applyFill="1" applyBorder="1" applyAlignment="1">
      <alignment horizontal="right"/>
    </xf>
    <xf numFmtId="37" fontId="108" fillId="30" borderId="207" xfId="0" applyNumberFormat="1" applyFont="1" applyFill="1" applyBorder="1" applyAlignment="1">
      <alignment horizontal="left"/>
    </xf>
    <xf numFmtId="37" fontId="100" fillId="75" borderId="206" xfId="0" applyNumberFormat="1" applyFont="1" applyFill="1" applyBorder="1" applyAlignment="1">
      <alignment horizontal="right"/>
    </xf>
    <xf numFmtId="37" fontId="100" fillId="24" borderId="249" xfId="0" applyNumberFormat="1" applyFont="1" applyFill="1" applyBorder="1" applyAlignment="1">
      <alignment horizontal="right"/>
    </xf>
    <xf numFmtId="37" fontId="129" fillId="24" borderId="249" xfId="0" applyNumberFormat="1" applyFont="1" applyFill="1" applyBorder="1" applyAlignment="1">
      <alignment horizontal="right"/>
    </xf>
    <xf numFmtId="37" fontId="129" fillId="75" borderId="215" xfId="0" applyNumberFormat="1" applyFont="1" applyFill="1" applyBorder="1"/>
    <xf numFmtId="37" fontId="129" fillId="24" borderId="249" xfId="0" applyNumberFormat="1" applyFont="1" applyFill="1" applyBorder="1"/>
    <xf numFmtId="37" fontId="100" fillId="0" borderId="249" xfId="0" applyNumberFormat="1" applyFont="1" applyBorder="1"/>
    <xf numFmtId="37" fontId="108" fillId="30" borderId="256" xfId="0" applyNumberFormat="1" applyFont="1" applyFill="1" applyBorder="1" applyAlignment="1">
      <alignment horizontal="left"/>
    </xf>
    <xf numFmtId="37" fontId="108" fillId="30" borderId="251" xfId="0" applyNumberFormat="1" applyFont="1" applyFill="1" applyBorder="1" applyAlignment="1">
      <alignment horizontal="left"/>
    </xf>
    <xf numFmtId="37" fontId="108" fillId="30" borderId="248" xfId="0" applyNumberFormat="1" applyFont="1" applyFill="1" applyBorder="1" applyAlignment="1">
      <alignment horizontal="left"/>
    </xf>
    <xf numFmtId="37" fontId="100" fillId="75" borderId="257" xfId="0" applyNumberFormat="1" applyFont="1" applyFill="1" applyBorder="1"/>
    <xf numFmtId="37" fontId="100" fillId="24" borderId="249" xfId="0" applyNumberFormat="1" applyFont="1" applyFill="1" applyBorder="1"/>
    <xf numFmtId="0" fontId="106" fillId="76" borderId="224" xfId="0" applyFont="1" applyFill="1" applyBorder="1"/>
    <xf numFmtId="3" fontId="159" fillId="0" borderId="224" xfId="0" applyNumberFormat="1" applyFont="1" applyBorder="1"/>
    <xf numFmtId="0" fontId="109" fillId="0" borderId="258" xfId="663" applyFont="1" applyBorder="1"/>
    <xf numFmtId="44" fontId="109" fillId="0" borderId="259" xfId="378" applyFont="1" applyFill="1" applyBorder="1" applyProtection="1"/>
    <xf numFmtId="44" fontId="109" fillId="0" borderId="260" xfId="378" applyFont="1" applyFill="1" applyBorder="1" applyProtection="1"/>
    <xf numFmtId="0" fontId="78" fillId="27" borderId="261" xfId="663" applyFont="1" applyFill="1" applyBorder="1" applyAlignment="1">
      <alignment wrapText="1"/>
    </xf>
    <xf numFmtId="9" fontId="72" fillId="27" borderId="241" xfId="663" applyNumberFormat="1" applyFont="1" applyFill="1" applyBorder="1" applyAlignment="1">
      <alignment horizontal="center"/>
    </xf>
    <xf numFmtId="0" fontId="72" fillId="27" borderId="247" xfId="663" applyFont="1" applyFill="1" applyBorder="1"/>
    <xf numFmtId="0" fontId="78" fillId="28" borderId="261" xfId="663" applyFont="1" applyFill="1" applyBorder="1" applyAlignment="1">
      <alignment wrapText="1"/>
    </xf>
    <xf numFmtId="9" fontId="72" fillId="28" borderId="241" xfId="663" applyNumberFormat="1" applyFont="1" applyFill="1" applyBorder="1" applyAlignment="1">
      <alignment horizontal="center"/>
    </xf>
    <xf numFmtId="0" fontId="72" fillId="28" borderId="247" xfId="663" applyFont="1" applyFill="1" applyBorder="1"/>
    <xf numFmtId="0" fontId="75" fillId="0" borderId="262" xfId="663" applyFont="1" applyBorder="1" applyAlignment="1">
      <alignment horizontal="centerContinuous"/>
    </xf>
    <xf numFmtId="0" fontId="75" fillId="0" borderId="251" xfId="663" applyFont="1" applyBorder="1" applyAlignment="1">
      <alignment horizontal="centerContinuous"/>
    </xf>
    <xf numFmtId="0" fontId="75" fillId="0" borderId="263" xfId="663" applyFont="1" applyBorder="1" applyAlignment="1">
      <alignment horizontal="centerContinuous"/>
    </xf>
    <xf numFmtId="9" fontId="72" fillId="0" borderId="251" xfId="663" applyNumberFormat="1" applyFont="1" applyBorder="1" applyAlignment="1">
      <alignment horizontal="centerContinuous"/>
    </xf>
    <xf numFmtId="0" fontId="72" fillId="0" borderId="263" xfId="663" applyFont="1" applyBorder="1" applyAlignment="1">
      <alignment horizontal="centerContinuous"/>
    </xf>
    <xf numFmtId="0" fontId="78" fillId="27" borderId="261" xfId="663" applyFont="1" applyFill="1" applyBorder="1"/>
    <xf numFmtId="0" fontId="72" fillId="27" borderId="247" xfId="663" applyFont="1" applyFill="1" applyBorder="1" applyAlignment="1">
      <alignment wrapText="1"/>
    </xf>
    <xf numFmtId="0" fontId="72" fillId="28" borderId="247" xfId="663" applyFont="1" applyFill="1" applyBorder="1" applyAlignment="1">
      <alignment horizontal="left"/>
    </xf>
    <xf numFmtId="0" fontId="78" fillId="28" borderId="264" xfId="663" applyFont="1" applyFill="1" applyBorder="1" applyAlignment="1">
      <alignment wrapText="1"/>
    </xf>
    <xf numFmtId="9" fontId="72" fillId="28" borderId="265" xfId="663" applyNumberFormat="1" applyFont="1" applyFill="1" applyBorder="1" applyAlignment="1">
      <alignment horizontal="center"/>
    </xf>
    <xf numFmtId="0" fontId="72" fillId="28" borderId="266" xfId="663" applyFont="1" applyFill="1" applyBorder="1"/>
    <xf numFmtId="5" fontId="72" fillId="32" borderId="267" xfId="181" applyNumberFormat="1" applyFont="1" applyFill="1" applyBorder="1" applyAlignment="1">
      <alignment horizontal="right"/>
    </xf>
    <xf numFmtId="165" fontId="72" fillId="32" borderId="267" xfId="181" applyNumberFormat="1" applyFont="1" applyFill="1" applyBorder="1" applyAlignment="1">
      <alignment horizontal="right"/>
    </xf>
    <xf numFmtId="0" fontId="72" fillId="32" borderId="268" xfId="495" applyFont="1" applyFill="1" applyBorder="1" applyAlignment="1">
      <alignment horizontal="center" wrapText="1"/>
    </xf>
    <xf numFmtId="0" fontId="72" fillId="79" borderId="269" xfId="0" applyFont="1" applyFill="1" applyBorder="1"/>
    <xf numFmtId="0" fontId="72" fillId="0" borderId="270" xfId="0" applyFont="1" applyBorder="1"/>
    <xf numFmtId="166" fontId="72" fillId="36" borderId="267" xfId="0" applyNumberFormat="1" applyFont="1" applyFill="1" applyBorder="1"/>
    <xf numFmtId="166" fontId="72" fillId="36" borderId="268" xfId="0" applyNumberFormat="1" applyFont="1" applyFill="1" applyBorder="1"/>
    <xf numFmtId="0" fontId="72" fillId="0" borderId="268" xfId="0" applyFont="1" applyBorder="1"/>
    <xf numFmtId="166" fontId="72" fillId="36" borderId="271" xfId="0" applyNumberFormat="1" applyFont="1" applyFill="1" applyBorder="1"/>
    <xf numFmtId="5" fontId="72" fillId="32" borderId="268" xfId="181" applyNumberFormat="1" applyFont="1" applyFill="1" applyBorder="1" applyAlignment="1">
      <alignment horizontal="right"/>
    </xf>
    <xf numFmtId="0" fontId="76" fillId="0" borderId="272" xfId="0" quotePrefix="1" applyFont="1" applyBorder="1" applyAlignment="1">
      <alignment horizontal="left"/>
    </xf>
    <xf numFmtId="3" fontId="78" fillId="0" borderId="273" xfId="181" quotePrefix="1" applyNumberFormat="1" applyFont="1" applyFill="1" applyBorder="1" applyAlignment="1" applyProtection="1"/>
    <xf numFmtId="3" fontId="78" fillId="0" borderId="274" xfId="181" applyNumberFormat="1" applyFont="1" applyBorder="1" applyAlignment="1" applyProtection="1"/>
    <xf numFmtId="0" fontId="76" fillId="0" borderId="272" xfId="0" applyFont="1" applyBorder="1"/>
    <xf numFmtId="37" fontId="78" fillId="0" borderId="275" xfId="0" applyNumberFormat="1" applyFont="1" applyBorder="1" applyAlignment="1">
      <alignment horizontal="left"/>
    </xf>
    <xf numFmtId="37" fontId="78" fillId="0" borderId="275" xfId="0" applyNumberFormat="1" applyFont="1" applyBorder="1"/>
    <xf numFmtId="0" fontId="71" fillId="0" borderId="272" xfId="0" applyFont="1" applyBorder="1"/>
    <xf numFmtId="0" fontId="74" fillId="0" borderId="272" xfId="0" applyFont="1" applyBorder="1"/>
    <xf numFmtId="37" fontId="78" fillId="0" borderId="272" xfId="0" quotePrefix="1" applyNumberFormat="1" applyFont="1" applyBorder="1"/>
    <xf numFmtId="37" fontId="74" fillId="0" borderId="272" xfId="0" applyNumberFormat="1" applyFont="1" applyBorder="1"/>
    <xf numFmtId="4" fontId="161" fillId="32" borderId="268" xfId="0" applyNumberFormat="1" applyFont="1" applyFill="1" applyBorder="1" applyProtection="1">
      <protection locked="0"/>
    </xf>
    <xf numFmtId="4" fontId="72" fillId="0" borderId="268" xfId="181" applyNumberFormat="1" applyFont="1" applyBorder="1" applyProtection="1"/>
    <xf numFmtId="4" fontId="156" fillId="32" borderId="268" xfId="0" applyNumberFormat="1" applyFont="1" applyFill="1" applyBorder="1" applyProtection="1">
      <protection locked="0"/>
    </xf>
    <xf numFmtId="4" fontId="72" fillId="0" borderId="268" xfId="181" applyNumberFormat="1" applyFont="1" applyFill="1" applyBorder="1" applyProtection="1"/>
    <xf numFmtId="3" fontId="156" fillId="32" borderId="276" xfId="0" applyNumberFormat="1" applyFont="1" applyFill="1" applyBorder="1" applyAlignment="1" applyProtection="1">
      <alignment horizontal="right"/>
      <protection locked="0"/>
    </xf>
    <xf numFmtId="0" fontId="72" fillId="0" borderId="268" xfId="0" applyFont="1" applyBorder="1" applyAlignment="1">
      <alignment horizontal="center"/>
    </xf>
    <xf numFmtId="4" fontId="72" fillId="0" borderId="268" xfId="0" applyNumberFormat="1" applyFont="1" applyBorder="1"/>
    <xf numFmtId="168" fontId="72" fillId="0" borderId="268" xfId="0" applyNumberFormat="1" applyFont="1" applyBorder="1"/>
    <xf numFmtId="0" fontId="156" fillId="32" borderId="268" xfId="0" applyFont="1" applyFill="1" applyBorder="1" applyProtection="1">
      <protection locked="0"/>
    </xf>
    <xf numFmtId="168" fontId="156" fillId="32" borderId="268" xfId="0" applyNumberFormat="1" applyFont="1" applyFill="1" applyBorder="1" applyAlignment="1" applyProtection="1">
      <alignment horizontal="right"/>
      <protection locked="0"/>
    </xf>
    <xf numFmtId="5" fontId="130" fillId="30" borderId="277" xfId="0" quotePrefix="1" applyNumberFormat="1" applyFont="1" applyFill="1" applyBorder="1" applyAlignment="1">
      <alignment horizontal="right"/>
    </xf>
    <xf numFmtId="5" fontId="130" fillId="75" borderId="277" xfId="0" applyNumberFormat="1" applyFont="1" applyFill="1" applyBorder="1" applyAlignment="1">
      <alignment horizontal="right"/>
    </xf>
    <xf numFmtId="37" fontId="100" fillId="0" borderId="278" xfId="0" applyNumberFormat="1" applyFont="1" applyBorder="1"/>
    <xf numFmtId="5" fontId="130" fillId="75" borderId="274" xfId="0" applyNumberFormat="1" applyFont="1" applyFill="1" applyBorder="1" applyAlignment="1">
      <alignment horizontal="right"/>
    </xf>
    <xf numFmtId="37" fontId="175" fillId="32" borderId="279" xfId="0" applyNumberFormat="1" applyFont="1" applyFill="1" applyBorder="1" applyProtection="1">
      <protection locked="0"/>
    </xf>
    <xf numFmtId="37" fontId="108" fillId="0" borderId="280" xfId="0" applyNumberFormat="1" applyFont="1" applyBorder="1"/>
    <xf numFmtId="37" fontId="100" fillId="0" borderId="272" xfId="0" applyNumberFormat="1" applyFont="1" applyBorder="1"/>
    <xf numFmtId="37" fontId="100" fillId="0" borderId="274" xfId="0" applyNumberFormat="1" applyFont="1" applyBorder="1" applyAlignment="1">
      <alignment horizontal="right"/>
    </xf>
    <xf numFmtId="37" fontId="108" fillId="0" borderId="278" xfId="0" applyNumberFormat="1" applyFont="1" applyBorder="1"/>
    <xf numFmtId="5" fontId="157" fillId="33" borderId="274" xfId="0" applyNumberFormat="1" applyFont="1" applyFill="1" applyBorder="1" applyAlignment="1" applyProtection="1">
      <alignment horizontal="right"/>
      <protection locked="0"/>
    </xf>
    <xf numFmtId="37" fontId="157" fillId="33" borderId="281" xfId="0" applyNumberFormat="1" applyFont="1" applyFill="1" applyBorder="1" applyProtection="1">
      <protection locked="0"/>
    </xf>
    <xf numFmtId="5" fontId="108" fillId="75" borderId="281" xfId="0" applyNumberFormat="1" applyFont="1" applyFill="1" applyBorder="1"/>
    <xf numFmtId="0" fontId="100" fillId="0" borderId="280" xfId="0" applyFont="1" applyBorder="1"/>
    <xf numFmtId="0" fontId="100" fillId="0" borderId="272" xfId="0" applyFont="1" applyBorder="1"/>
    <xf numFmtId="0" fontId="100" fillId="0" borderId="277" xfId="0" applyFont="1" applyBorder="1" applyAlignment="1">
      <alignment horizontal="right"/>
    </xf>
    <xf numFmtId="37" fontId="100" fillId="24" borderId="274" xfId="0" applyNumberFormat="1" applyFont="1" applyFill="1" applyBorder="1"/>
    <xf numFmtId="37" fontId="157" fillId="33" borderId="279" xfId="0" applyNumberFormat="1" applyFont="1" applyFill="1" applyBorder="1" applyProtection="1">
      <protection locked="0"/>
    </xf>
    <xf numFmtId="5" fontId="108" fillId="75" borderId="274" xfId="0" applyNumberFormat="1" applyFont="1" applyFill="1" applyBorder="1"/>
    <xf numFmtId="172" fontId="106" fillId="0" borderId="268" xfId="0" applyNumberFormat="1" applyFont="1" applyBorder="1" applyAlignment="1">
      <alignment horizontal="center"/>
    </xf>
    <xf numFmtId="0" fontId="178" fillId="32" borderId="268" xfId="0" applyFont="1" applyFill="1" applyBorder="1" applyAlignment="1" applyProtection="1">
      <alignment horizontal="right"/>
      <protection locked="0"/>
    </xf>
    <xf numFmtId="0" fontId="106" fillId="0" borderId="268" xfId="0" applyFont="1" applyBorder="1" applyAlignment="1">
      <alignment horizontal="center"/>
    </xf>
    <xf numFmtId="3" fontId="158" fillId="32" borderId="268" xfId="0" applyNumberFormat="1" applyFont="1" applyFill="1" applyBorder="1" applyProtection="1">
      <protection locked="0"/>
    </xf>
    <xf numFmtId="3" fontId="106" fillId="0" borderId="268" xfId="0" applyNumberFormat="1" applyFont="1" applyBorder="1"/>
    <xf numFmtId="0" fontId="126" fillId="0" borderId="282" xfId="0" applyFont="1" applyBorder="1" applyAlignment="1">
      <alignment wrapText="1"/>
    </xf>
    <xf numFmtId="0" fontId="124" fillId="0" borderId="267" xfId="0" applyFont="1" applyBorder="1" applyAlignment="1">
      <alignment wrapText="1"/>
    </xf>
    <xf numFmtId="0" fontId="125" fillId="0" borderId="267" xfId="0" applyFont="1" applyBorder="1" applyAlignment="1">
      <alignment wrapText="1"/>
    </xf>
    <xf numFmtId="0" fontId="126" fillId="0" borderId="271" xfId="0" applyFont="1" applyBorder="1" applyAlignment="1">
      <alignment wrapText="1"/>
    </xf>
    <xf numFmtId="0" fontId="126" fillId="0" borderId="267" xfId="0" applyFont="1" applyBorder="1" applyAlignment="1">
      <alignment wrapText="1"/>
    </xf>
    <xf numFmtId="0" fontId="74" fillId="37" borderId="0" xfId="0" applyFont="1" applyFill="1" applyAlignment="1">
      <alignment horizontal="centerContinuous" vertical="center" wrapText="1"/>
    </xf>
    <xf numFmtId="37" fontId="182" fillId="0" borderId="275" xfId="0" applyNumberFormat="1" applyFont="1" applyBorder="1" applyAlignment="1">
      <alignment horizontal="right"/>
    </xf>
    <xf numFmtId="37" fontId="182" fillId="0" borderId="104" xfId="0" applyNumberFormat="1" applyFont="1" applyBorder="1" applyAlignment="1">
      <alignment horizontal="right"/>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7C80"/>
      <color rgb="FFFFFFCC"/>
      <color rgb="FFCCFFCC"/>
      <color rgb="FFFFFF99"/>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1104900</xdr:colOff>
          <xdr:row>10</xdr:row>
          <xdr:rowOff>38100</xdr:rowOff>
        </xdr:from>
        <xdr:to>
          <xdr:col>0</xdr:col>
          <xdr:colOff>6934200</xdr:colOff>
          <xdr:row>55</xdr:row>
          <xdr:rowOff>19050</xdr:rowOff>
        </xdr:to>
        <xdr:sp macro="" textlink="">
          <xdr:nvSpPr>
            <xdr:cNvPr id="1025" name="Object 1" descr="Instructions for the 2023-24 Annual College Operating Budget Workbook"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8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600075</xdr:colOff>
          <xdr:row>10</xdr:row>
          <xdr:rowOff>85725</xdr:rowOff>
        </xdr:from>
        <xdr:to>
          <xdr:col>3</xdr:col>
          <xdr:colOff>9525</xdr:colOff>
          <xdr:row>57</xdr:row>
          <xdr:rowOff>19050</xdr:rowOff>
        </xdr:to>
        <xdr:sp macro="" textlink="">
          <xdr:nvSpPr>
            <xdr:cNvPr id="38913" name="Object 1" descr="Exhibit F Sample Letter" hidden="1">
              <a:extLst>
                <a:ext uri="{63B3BB69-23CF-44E3-9099-C40C66FF867C}">
                  <a14:compatExt spid="_x0000_s38913"/>
                </a:ext>
                <a:ext uri="{FF2B5EF4-FFF2-40B4-BE49-F238E27FC236}">
                  <a16:creationId xmlns:a16="http://schemas.microsoft.com/office/drawing/2014/main" id="{00000000-0008-0000-08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sheetData sheetId="1"/>
      <sheetData sheetId="2"/>
      <sheetData sheetId="3"/>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1" personId="{1F471670-B2F1-431A-BF2E-14A22D9B5720}" id="{55DCAC58-9647-4D0E-B033-FF408B92170A}">
    <text xml:space="preserve">Source: General Appropriations Act, Specific Appropriation 35.
</text>
  </threadedComment>
  <threadedComment ref="B68"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68"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6"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07" personId="{1F471670-B2F1-431A-BF2E-14A22D9B5720}" id="{97127F23-FD53-4C98-BD0E-AD4E1F96A69A}">
    <text>Note: Total Fee Paying should agree with the Fee Calculator Total Fee Paying - CellU121.</text>
  </threadedComment>
  <threadedComment ref="B110" personId="{1F471670-B2F1-431A-BF2E-14A22D9B5720}" id="{0E17BC91-BE20-4A25-A7D8-943BE122B06F}">
    <text xml:space="preserve">Upper Level FTE Resident, Cell Q93
</text>
  </threadedComment>
  <threadedComment ref="E110" personId="{1F471670-B2F1-431A-BF2E-14A22D9B5720}" id="{F21ABF8C-3F93-40C3-B556-B1AD2D545056}">
    <text>A &amp; P Resident, Cell B93
Resident A &amp; P Fee Paying FTE does not include non-Florida Resident FTE and Dual Enrolled FTE.</text>
  </threadedComment>
  <threadedComment ref="F110" personId="{CF12A810-03EA-4300-AFB9-893D1BC43909}" id="{E577ECD5-318A-43C6-B5C9-6703669EDBE1}">
    <text>A &amp; P FTE Estimated Non-Florida Resident, Cell P54</text>
  </threadedComment>
  <threadedComment ref="H110" personId="{1F471670-B2F1-431A-BF2E-14A22D9B5720}" id="{5D079386-487B-4A39-BBE3-35243C5504B3}">
    <text xml:space="preserve">PSV FTE Resident, Cell E93
Resident PSV Fee Paying FTE does not include non-Florida Resident FTE and Dual Enrolled FTE. 
</text>
  </threadedComment>
  <threadedComment ref="I110" personId="{CF12A810-03EA-4300-AFB9-893D1BC43909}" id="{8EBECDCE-BD35-4FE7-90A5-285907FB34E4}">
    <text xml:space="preserve">PSV Estimated Non-Florida Resident FTE, Cell Q54
</text>
  </threadedComment>
  <threadedComment ref="K110" personId="{1F471670-B2F1-431A-BF2E-14A22D9B5720}" id="{8EF7C769-F880-4C8A-80BE-59BF0D2E88E5}">
    <text xml:space="preserve">DEV ED FTE Resident, Cell H93
Resident DEV ED Fee Paying FTE does not include non-Florida Resident FTE.
</text>
  </threadedComment>
  <threadedComment ref="L110" personId="{CF12A810-03EA-4300-AFB9-893D1BC43909}" id="{6FDACA1F-54E8-45A8-8703-4774D8EFD9D2}">
    <text>DEV ED Estimated Non-Florida Resident FTE, Cell T54</text>
  </threadedComment>
  <threadedComment ref="N110" personId="{1F471670-B2F1-431A-BF2E-14A22D9B5720}" id="{A6AC8CD1-2B10-4147-9844-D324F71DBF2C}">
    <text>EPI FTE Resident, Cell K93. 
Resident EPI Fee Paying FTE does not include non-Florida Resident FTE.</text>
  </threadedComment>
  <threadedComment ref="O110" personId="{CF12A810-03EA-4300-AFB9-893D1BC43909}" id="{F7AFCA54-3658-4ED4-BF75-5B879FB58103}">
    <text>EPI Estimated Non-Florida Resident FTE, Cell W54</text>
  </threadedComment>
  <threadedComment ref="Q110" personId="{1F471670-B2F1-431A-BF2E-14A22D9B5720}" id="{9A19A128-2C5D-49FC-91FF-496FBD0040ED}">
    <text xml:space="preserve">CCATD FTE Resident, Cell N93. 
Resident CCATD Paying FTE does not include non-Florida Resident FTE and Dual Enrolled FTE. </text>
  </threadedComment>
  <threadedComment ref="R110" personId="{CF12A810-03EA-4300-AFB9-893D1BC43909}" id="{1A1D73E9-E4F1-4240-B864-6D373B51C436}">
    <text>CCATD FTE Estimated Non-Florida Resident FTE, Cell R54.</text>
  </threadedComment>
  <threadedComment ref="W110" personId="{CF12A810-03EA-4300-AFB9-893D1BC43909}" id="{EB6DA77F-6AE0-4ED0-BFC4-9E01A2EC7C48}">
    <text>Voc Prep FTE Estimated Non-Florida Resident, Cell U54</text>
  </threadedComment>
  <threadedComment ref="X110" personId="{CF12A810-03EA-4300-AFB9-893D1BC43909}" id="{9CCC2418-FC98-4D67-BE81-AC59529DA44C}">
    <text xml:space="preserve">Voc. Prep FTE Total, Cell G54
</text>
  </threadedComment>
  <threadedComment ref="AA110" personId="{CF12A810-03EA-4300-AFB9-893D1BC43909}" id="{C398493A-27F9-41CA-B815-9405846000B7}">
    <text>Adult FTE Estimated Non-Florida Resident, Cell V54</text>
  </threadedComment>
  <threadedComment ref="AE110" personId="{1F471670-B2F1-431A-BF2E-14A22D9B5720}" id="{815CD3A1-1A1F-4342-B015-5E0FBE34EDD1}">
    <text xml:space="preserve">Adult Basic FTE, Cell H54
 </text>
  </threadedComment>
  <threadedComment ref="AF110" personId="{1F471670-B2F1-431A-BF2E-14A22D9B5720}" id="{3A891C23-FB36-4B68-ADDC-98949430BBD4}">
    <text>Adult Second. &amp; GED  FTE, Cell I54</text>
  </threadedComment>
  <threadedComment ref="AO112" personId="{1F471670-B2F1-431A-BF2E-14A22D9B5720}" id="{0B3BE2BC-403A-4EEC-8852-A4CAB5B94B01}">
    <text>Fee Calculator File:   This amount is from the Estimated Duel Enrolled FTE Total Column, Cell AF82.</text>
  </threadedComment>
  <threadedComment ref="AO113" personId="{1F471670-B2F1-431A-BF2E-14A22D9B5720}" id="{17930007-AA0C-4C5B-897A-5AE306D64E8A}">
    <text xml:space="preserve">Fee Calculator File: Apprent FTE Total, Cell E82 minus the Estimated Dual Enrolled Apprent FTE, Cell AE82. 
</text>
  </threadedComment>
  <threadedComment ref="AO116" personId="{1F471670-B2F1-431A-BF2E-14A22D9B5720}" id="{345656CD-C971-4C73-AC2F-FA450CAA5C2E}">
    <text>Fee Calculator File: This amount is from the FTE-1B Total column, Cell L82.</text>
  </threadedComment>
  <threadedComment ref="B151" personId="{1F471670-B2F1-431A-BF2E-14A22D9B5720}" id="{36C3EBC9-D425-49C5-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A108 to S141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 ref="C103"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4"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8" personId="{1F471670-B2F1-431A-BF2E-14A22D9B5720}" id="{C439E12A-A2BD-4B44-9D99-3AC88DA9BEC8}">
    <text xml:space="preserve">This cell will automatically populate. Should agree with Exhibit C, Cell H10. Resident and nonresident students pay resident tuition.
</text>
  </threadedComment>
  <threadedComment ref="D119"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2.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1" customWidth="1"/>
    <col min="2" max="2" width="3.28515625" style="1" customWidth="1"/>
    <col min="3" max="3" width="16.28515625" style="1" customWidth="1"/>
    <col min="4" max="4" width="16.8554687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607" t="s">
        <v>0</v>
      </c>
      <c r="B1" s="607"/>
      <c r="C1" s="607"/>
      <c r="D1" s="607"/>
      <c r="E1" s="607"/>
    </row>
    <row r="2" spans="1:5" ht="23.25">
      <c r="A2" s="607" t="s">
        <v>1</v>
      </c>
      <c r="B2" s="607"/>
      <c r="C2" s="607"/>
      <c r="D2" s="607"/>
      <c r="E2" s="607"/>
    </row>
    <row r="3" spans="1:5" ht="21" customHeight="1">
      <c r="A3" s="607" t="s">
        <v>2</v>
      </c>
      <c r="B3" s="607"/>
      <c r="C3" s="607"/>
      <c r="D3" s="607"/>
      <c r="E3" s="607"/>
    </row>
    <row r="4" spans="1:5" ht="32.1" customHeight="1">
      <c r="A4" s="9" t="s">
        <v>3</v>
      </c>
      <c r="B4" s="9"/>
      <c r="C4" s="9"/>
      <c r="D4" s="9"/>
      <c r="E4" s="9"/>
    </row>
    <row r="5" spans="1:5" ht="107.25" customHeight="1">
      <c r="A5" s="5" t="s">
        <v>4</v>
      </c>
      <c r="B5" s="6"/>
      <c r="C5" s="7" t="s">
        <v>5</v>
      </c>
      <c r="D5" s="7" t="s">
        <v>6</v>
      </c>
      <c r="E5" s="7" t="s">
        <v>7</v>
      </c>
    </row>
    <row r="6" spans="1:5" s="3" customFormat="1" ht="18" customHeight="1"/>
    <row r="7" spans="1:5" s="3" customFormat="1" ht="20.100000000000001" customHeight="1">
      <c r="A7" s="596"/>
      <c r="B7" s="597"/>
      <c r="C7" s="598"/>
      <c r="D7" s="600"/>
      <c r="E7" s="599"/>
    </row>
    <row r="8" spans="1:5" s="3" customFormat="1" ht="20.100000000000001" customHeight="1">
      <c r="A8" s="596"/>
      <c r="B8" s="597"/>
      <c r="C8" s="598"/>
      <c r="D8" s="600"/>
      <c r="E8" s="599"/>
    </row>
    <row r="9" spans="1:5" s="3" customFormat="1" ht="20.100000000000001" customHeight="1">
      <c r="A9" s="600"/>
      <c r="B9" s="10"/>
      <c r="C9" s="598"/>
      <c r="D9" s="688"/>
      <c r="E9" s="599"/>
    </row>
    <row r="10" spans="1:5" s="3" customFormat="1" ht="20.100000000000001" customHeight="1">
      <c r="A10" s="608" t="s">
        <v>8</v>
      </c>
      <c r="B10" s="12"/>
      <c r="C10" s="13" t="s">
        <v>9</v>
      </c>
      <c r="D10" s="13"/>
      <c r="E10" s="11" t="s">
        <v>9</v>
      </c>
    </row>
    <row r="11" spans="1:5" s="3" customFormat="1" ht="20.100000000000001" customHeight="1">
      <c r="A11" s="608"/>
      <c r="B11" s="12"/>
      <c r="C11" s="12"/>
      <c r="D11" s="13"/>
      <c r="E11" s="12"/>
    </row>
    <row r="12" spans="1:5" ht="20.100000000000001" customHeight="1">
      <c r="A12" s="14"/>
      <c r="B12" s="14"/>
      <c r="C12" s="14"/>
      <c r="D12" s="15"/>
      <c r="E12" s="14"/>
    </row>
    <row r="13" spans="1:5" ht="20.100000000000001" customHeight="1">
      <c r="A13" s="609" t="s">
        <v>9</v>
      </c>
      <c r="B13" s="14"/>
      <c r="C13" s="14"/>
      <c r="D13" s="15"/>
      <c r="E13" s="14"/>
    </row>
    <row r="14" spans="1:5" ht="20.100000000000001" customHeight="1">
      <c r="A14" s="609"/>
      <c r="B14" s="14"/>
      <c r="C14" s="14"/>
      <c r="D14" s="14"/>
      <c r="E14" s="14"/>
    </row>
    <row r="15" spans="1:5" ht="20.100000000000001" customHeight="1">
      <c r="A15" s="609"/>
      <c r="B15" s="14"/>
      <c r="C15" s="14"/>
      <c r="D15" s="14"/>
      <c r="E15" s="14"/>
    </row>
    <row r="16" spans="1:5" ht="20.100000000000001" customHeight="1">
      <c r="A16" s="609"/>
      <c r="B16" s="14"/>
      <c r="C16" s="14"/>
      <c r="D16" s="14"/>
      <c r="E16" s="14"/>
    </row>
    <row r="17" spans="1:6" ht="15" customHeight="1">
      <c r="A17" s="8"/>
      <c r="B17" s="2"/>
      <c r="C17" s="2"/>
      <c r="D17" s="2"/>
      <c r="E17" s="2"/>
    </row>
    <row r="18" spans="1:6" ht="15" customHeight="1">
      <c r="A18" s="499"/>
      <c r="B18" s="184"/>
      <c r="C18" s="184"/>
      <c r="D18" s="184"/>
      <c r="E18" s="184"/>
      <c r="F18" s="187"/>
    </row>
    <row r="19" spans="1:6" ht="19.5" customHeight="1">
      <c r="A19" s="499"/>
      <c r="B19" s="184"/>
      <c r="C19" s="184"/>
      <c r="D19" s="184"/>
      <c r="E19" s="184"/>
      <c r="F19" s="187"/>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9" customWidth="1"/>
    <col min="2" max="2" width="20.7109375" style="69" customWidth="1"/>
    <col min="3" max="4" width="17.42578125" style="69" customWidth="1"/>
    <col min="5" max="5" width="19.85546875" style="69" customWidth="1"/>
    <col min="6" max="6" width="7.42578125" style="69" customWidth="1"/>
    <col min="7" max="16384" width="9.140625" style="69"/>
  </cols>
  <sheetData>
    <row r="1" spans="1:8" ht="24" customHeight="1">
      <c r="A1" s="286"/>
      <c r="B1" s="286"/>
      <c r="C1" s="286"/>
      <c r="D1" s="286"/>
      <c r="E1" s="336" t="s">
        <v>668</v>
      </c>
      <c r="F1" s="286"/>
    </row>
    <row r="2" spans="1:8" ht="24" customHeight="1">
      <c r="A2" s="286"/>
      <c r="B2" s="286"/>
      <c r="C2" s="286"/>
      <c r="D2" s="286"/>
      <c r="E2" s="337"/>
      <c r="F2" s="286"/>
    </row>
    <row r="3" spans="1:8" ht="24" customHeight="1" thickBot="1">
      <c r="A3" s="787" t="s">
        <v>231</v>
      </c>
      <c r="B3" s="776" t="str">
        <f>'CHECK SHEET'!D7</f>
        <v>South Florida State College</v>
      </c>
      <c r="C3" s="776"/>
      <c r="D3" s="776"/>
      <c r="E3" s="776"/>
      <c r="F3" s="285"/>
      <c r="G3" s="333"/>
    </row>
    <row r="4" spans="1:8" ht="24" customHeight="1">
      <c r="A4" s="773" t="s">
        <v>669</v>
      </c>
      <c r="B4" s="773"/>
      <c r="C4" s="773"/>
      <c r="D4" s="773"/>
      <c r="E4" s="773"/>
      <c r="F4" s="285"/>
    </row>
    <row r="5" spans="1:8" ht="24" customHeight="1">
      <c r="A5" s="773" t="s">
        <v>670</v>
      </c>
      <c r="B5" s="773"/>
      <c r="C5" s="773"/>
      <c r="D5" s="773"/>
      <c r="E5" s="773"/>
      <c r="F5" s="285"/>
    </row>
    <row r="6" spans="1:8" ht="24" customHeight="1">
      <c r="A6" s="773" t="s">
        <v>671</v>
      </c>
      <c r="B6" s="773"/>
      <c r="C6" s="773"/>
      <c r="D6" s="773"/>
      <c r="E6" s="773"/>
      <c r="F6" s="285"/>
    </row>
    <row r="7" spans="1:8" ht="20.100000000000001" customHeight="1">
      <c r="A7" s="710"/>
      <c r="B7" s="710"/>
      <c r="C7" s="710"/>
      <c r="D7" s="778"/>
      <c r="E7" s="778"/>
    </row>
    <row r="8" spans="1:8" ht="24" customHeight="1" thickBot="1">
      <c r="A8" s="733" t="s">
        <v>672</v>
      </c>
      <c r="B8" s="733"/>
      <c r="C8" s="733"/>
      <c r="H8" s="334"/>
    </row>
    <row r="9" spans="1:8" s="17" customFormat="1" ht="64.349999999999994" customHeight="1" thickBot="1">
      <c r="A9" s="288" t="s">
        <v>673</v>
      </c>
      <c r="B9" s="711" t="s">
        <v>674</v>
      </c>
      <c r="C9" s="307" t="s">
        <v>675</v>
      </c>
      <c r="D9" s="307" t="s">
        <v>676</v>
      </c>
      <c r="E9" s="356" t="s">
        <v>52</v>
      </c>
      <c r="F9" s="31"/>
      <c r="H9" s="354"/>
    </row>
    <row r="10" spans="1:8" s="17" customFormat="1" ht="20.100000000000001" customHeight="1">
      <c r="A10" s="370" t="s">
        <v>677</v>
      </c>
      <c r="B10" s="455">
        <f>6502293+348107+433308+503136-86958+382224+217069+1683460+42086</f>
        <v>10024725</v>
      </c>
      <c r="C10" s="456">
        <v>1455780</v>
      </c>
      <c r="D10" s="456">
        <v>0</v>
      </c>
      <c r="E10" s="371">
        <f>SUM(B10:D10)</f>
        <v>11480505</v>
      </c>
      <c r="F10" s="354"/>
      <c r="G10" s="354"/>
    </row>
    <row r="11" spans="1:8" s="17" customFormat="1" ht="20.100000000000001" customHeight="1">
      <c r="A11" s="370" t="s">
        <v>678</v>
      </c>
      <c r="B11" s="457">
        <v>0</v>
      </c>
      <c r="C11" s="446">
        <v>0</v>
      </c>
      <c r="D11" s="446">
        <v>0</v>
      </c>
      <c r="E11" s="371">
        <f>SUM(B11:D11)</f>
        <v>0</v>
      </c>
      <c r="F11" s="354"/>
      <c r="G11" s="354"/>
      <c r="H11" s="354"/>
    </row>
    <row r="12" spans="1:8" s="17" customFormat="1" ht="20.100000000000001" customHeight="1" thickBot="1">
      <c r="A12" s="370" t="s">
        <v>679</v>
      </c>
      <c r="B12" s="457">
        <v>0</v>
      </c>
      <c r="C12" s="446">
        <v>0</v>
      </c>
      <c r="D12" s="446">
        <v>0</v>
      </c>
      <c r="E12" s="372">
        <f>SUM(B12:D12)</f>
        <v>0</v>
      </c>
      <c r="F12" s="354"/>
    </row>
    <row r="13" spans="1:8" s="17" customFormat="1" ht="20.100000000000001" customHeight="1" thickBot="1">
      <c r="A13" s="370" t="s">
        <v>680</v>
      </c>
      <c r="B13" s="373"/>
      <c r="C13" s="374"/>
      <c r="D13" s="374"/>
      <c r="E13" s="375"/>
      <c r="F13" s="354"/>
    </row>
    <row r="14" spans="1:8" s="17" customFormat="1" ht="20.100000000000001" customHeight="1">
      <c r="A14" s="370" t="s">
        <v>681</v>
      </c>
      <c r="B14" s="457">
        <f>892106+39750+196198+68734+119807+938806+771290+214475+631298</f>
        <v>3872464</v>
      </c>
      <c r="C14" s="458">
        <v>399067</v>
      </c>
      <c r="D14" s="458">
        <v>0</v>
      </c>
      <c r="E14" s="372">
        <f t="shared" ref="E14:E20" si="0">SUM(B14:D14)</f>
        <v>4271531</v>
      </c>
      <c r="F14" s="354"/>
    </row>
    <row r="15" spans="1:8" s="17" customFormat="1" ht="20.100000000000001" customHeight="1">
      <c r="A15" s="370" t="s">
        <v>682</v>
      </c>
      <c r="B15" s="457">
        <v>0</v>
      </c>
      <c r="C15" s="446">
        <v>62500</v>
      </c>
      <c r="D15" s="446">
        <v>0</v>
      </c>
      <c r="E15" s="372">
        <f>SUM(B15:D15)</f>
        <v>62500</v>
      </c>
      <c r="F15" s="354"/>
    </row>
    <row r="16" spans="1:8" s="17" customFormat="1" ht="20.100000000000001" customHeight="1">
      <c r="A16" s="370" t="s">
        <v>683</v>
      </c>
      <c r="B16" s="457">
        <f>360913+133103+486524+63944+855888+599008+46491+505038</f>
        <v>3050909</v>
      </c>
      <c r="C16" s="446">
        <v>418780</v>
      </c>
      <c r="D16" s="446">
        <v>0</v>
      </c>
      <c r="E16" s="372">
        <f t="shared" si="0"/>
        <v>3469689</v>
      </c>
      <c r="F16" s="354"/>
    </row>
    <row r="17" spans="1:6" s="17" customFormat="1" ht="20.100000000000001" customHeight="1">
      <c r="A17" s="370" t="s">
        <v>684</v>
      </c>
      <c r="B17" s="457">
        <f>949472+599705+162630+62657+1639479+807847+61425+841730</f>
        <v>5124945</v>
      </c>
      <c r="C17" s="446">
        <v>2248089</v>
      </c>
      <c r="D17" s="446">
        <v>2479227</v>
      </c>
      <c r="E17" s="372">
        <f t="shared" si="0"/>
        <v>9852261</v>
      </c>
      <c r="F17" s="354"/>
    </row>
    <row r="18" spans="1:6" s="17" customFormat="1" ht="20.100000000000001" customHeight="1">
      <c r="A18" s="370" t="s">
        <v>685</v>
      </c>
      <c r="B18" s="457">
        <f>142945+368982+1484028+547211+505038</f>
        <v>3048204</v>
      </c>
      <c r="C18" s="446">
        <f>4335221+28450-3000</f>
        <v>4360671</v>
      </c>
      <c r="D18" s="446">
        <v>45891</v>
      </c>
      <c r="E18" s="372">
        <f t="shared" si="0"/>
        <v>7454766</v>
      </c>
      <c r="F18" s="354"/>
    </row>
    <row r="19" spans="1:6" s="17" customFormat="1" ht="20.100000000000001" customHeight="1">
      <c r="A19" s="370" t="s">
        <v>686</v>
      </c>
      <c r="B19" s="457">
        <v>0</v>
      </c>
      <c r="C19" s="446">
        <v>45000</v>
      </c>
      <c r="D19" s="446">
        <v>0</v>
      </c>
      <c r="E19" s="372">
        <f t="shared" si="0"/>
        <v>45000</v>
      </c>
      <c r="F19" s="354"/>
    </row>
    <row r="20" spans="1:6" s="17" customFormat="1" ht="20.100000000000001" customHeight="1" thickBot="1">
      <c r="A20" s="370" t="s">
        <v>687</v>
      </c>
      <c r="B20" s="457">
        <v>0</v>
      </c>
      <c r="C20" s="447">
        <v>0</v>
      </c>
      <c r="D20" s="447">
        <v>0</v>
      </c>
      <c r="E20" s="372">
        <f t="shared" si="0"/>
        <v>0</v>
      </c>
      <c r="F20" s="354"/>
    </row>
    <row r="21" spans="1:6" s="17" customFormat="1" ht="24" customHeight="1" thickBot="1">
      <c r="A21" s="295" t="s">
        <v>52</v>
      </c>
      <c r="B21" s="355">
        <f>SUM(B10:B20)</f>
        <v>25121247</v>
      </c>
      <c r="C21" s="358">
        <f>SUM(C10:C20)</f>
        <v>8989887</v>
      </c>
      <c r="D21" s="358">
        <f>SUM(D10:D20)</f>
        <v>2525118</v>
      </c>
      <c r="E21" s="357">
        <f>SUM(E10:E20)</f>
        <v>36636252</v>
      </c>
      <c r="F21" s="354"/>
    </row>
    <row r="22" spans="1:6" ht="24" customHeight="1">
      <c r="B22" s="335"/>
      <c r="F22" s="334"/>
    </row>
    <row r="23" spans="1:6" ht="24" customHeight="1">
      <c r="F23" s="334"/>
    </row>
    <row r="24" spans="1:6">
      <c r="F24" s="334"/>
    </row>
    <row r="25" spans="1:6">
      <c r="F25" s="334"/>
    </row>
    <row r="96" spans="3:4">
      <c r="C96" s="69">
        <f>SUM(C91:C95)</f>
        <v>0</v>
      </c>
      <c r="D96" s="69">
        <f>SUM(D91:D95)</f>
        <v>0</v>
      </c>
    </row>
  </sheetData>
  <sheetProtection algorithmName="SHA-512" hashValue="mjLJluwX3JLJi2av24+PEKp7AKz9UdozkbE0qNy8LvfoRnul6gL2Eg8ol3ei6mOcHRzKvfd3iR8YOcSuxVom+Q==" saltValue="bkzE3GWJMa31uT/vUeftUg==" spinCount="100000" sheet="1" objects="1" scenarios="1"/>
  <customSheetViews>
    <customSheetView guid="{8CA1AA3C-D3A6-493D-93EE-74DE1406A5FE}" showGridLines="0" showRuler="0">
      <selection activeCell="A4" sqref="A4"/>
      <pageMargins left="0" right="0" top="0" bottom="0" header="0" footer="0"/>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97" t="s">
        <v>346</v>
      </c>
      <c r="B1" s="496"/>
      <c r="C1" s="496"/>
      <c r="D1" s="496"/>
      <c r="E1" s="496"/>
      <c r="F1" s="496"/>
      <c r="G1" s="496"/>
    </row>
    <row r="2" spans="1:7" ht="26.25">
      <c r="A2" s="487" t="s">
        <v>347</v>
      </c>
      <c r="B2" s="496"/>
    </row>
    <row r="3" spans="1:7" ht="26.1" customHeight="1">
      <c r="A3" s="486" t="s">
        <v>348</v>
      </c>
      <c r="B3" s="498"/>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3" r:id="rId4">
          <objectPr defaultSize="0" altText="Exhibit F Sample Letter" r:id="rId5">
            <anchor moveWithCells="1">
              <from>
                <xdr:col>0</xdr:col>
                <xdr:colOff>600075</xdr:colOff>
                <xdr:row>10</xdr:row>
                <xdr:rowOff>85725</xdr:rowOff>
              </from>
              <to>
                <xdr:col>3</xdr:col>
                <xdr:colOff>9525</xdr:colOff>
                <xdr:row>57</xdr:row>
                <xdr:rowOff>19050</xdr:rowOff>
              </to>
            </anchor>
          </objectPr>
        </oleObject>
      </mc:Choice>
      <mc:Fallback>
        <oleObject progId="Acrobat.Document.DC" shapeId="38913"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4"/>
  <sheetViews>
    <sheetView showGridLines="0" zoomScale="50" zoomScaleNormal="50" zoomScaleSheetLayoutView="50" zoomScalePageLayoutView="60" workbookViewId="0"/>
  </sheetViews>
  <sheetFormatPr defaultColWidth="12.42578125" defaultRowHeight="15.75"/>
  <cols>
    <col min="1" max="1" width="26.42578125" style="179" customWidth="1"/>
    <col min="2" max="2" width="94.28515625" style="179" customWidth="1"/>
    <col min="3" max="3" width="66.85546875" style="179" customWidth="1"/>
    <col min="4" max="5" width="25.85546875" style="255" customWidth="1"/>
    <col min="6" max="6" width="33.7109375" style="255" customWidth="1"/>
    <col min="7" max="7" width="3.140625" style="179" customWidth="1"/>
    <col min="8" max="16384" width="12.42578125" style="179"/>
  </cols>
  <sheetData>
    <row r="1" spans="1:224" ht="30" customHeight="1" thickBot="1">
      <c r="A1" s="773" t="s">
        <v>231</v>
      </c>
      <c r="B1" s="791" t="str">
        <f>'CHECK SHEET'!D7</f>
        <v>South Florida State College</v>
      </c>
      <c r="C1" s="791"/>
      <c r="D1" s="791"/>
      <c r="E1" s="791"/>
      <c r="F1" s="791"/>
      <c r="G1" s="225"/>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c r="CC1" s="226"/>
      <c r="CD1" s="226"/>
      <c r="CE1" s="226"/>
      <c r="CF1" s="226"/>
      <c r="CG1" s="226"/>
      <c r="CH1" s="226"/>
      <c r="CI1" s="226"/>
      <c r="CJ1" s="226"/>
      <c r="CK1" s="226"/>
      <c r="CL1" s="226"/>
      <c r="CM1" s="226"/>
      <c r="CN1" s="226"/>
      <c r="CO1" s="226"/>
      <c r="CP1" s="226"/>
      <c r="CQ1" s="226"/>
      <c r="CR1" s="226"/>
      <c r="CS1" s="226"/>
      <c r="CT1" s="226"/>
      <c r="CU1" s="226"/>
      <c r="CV1" s="226"/>
      <c r="CW1" s="226"/>
      <c r="CX1" s="226"/>
      <c r="CY1" s="226"/>
      <c r="CZ1" s="226"/>
      <c r="DA1" s="226"/>
      <c r="DB1" s="226"/>
      <c r="DC1" s="226"/>
      <c r="DD1" s="226"/>
      <c r="DE1" s="226"/>
      <c r="DF1" s="226"/>
      <c r="DG1" s="226"/>
      <c r="DH1" s="226"/>
      <c r="DI1" s="226"/>
      <c r="DJ1" s="226"/>
      <c r="DK1" s="226"/>
      <c r="DL1" s="226"/>
      <c r="DM1" s="226"/>
      <c r="DN1" s="226"/>
      <c r="DO1" s="226"/>
      <c r="DP1" s="226"/>
      <c r="DQ1" s="226"/>
      <c r="DR1" s="226"/>
      <c r="DS1" s="226"/>
      <c r="DT1" s="226"/>
      <c r="DU1" s="226"/>
      <c r="DV1" s="226"/>
      <c r="DW1" s="226"/>
      <c r="DX1" s="226"/>
      <c r="DY1" s="226"/>
      <c r="DZ1" s="226"/>
      <c r="EA1" s="226"/>
      <c r="EB1" s="226"/>
      <c r="EC1" s="226"/>
      <c r="ED1" s="226"/>
      <c r="EE1" s="226"/>
      <c r="EF1" s="226"/>
      <c r="EG1" s="226"/>
      <c r="EH1" s="226"/>
      <c r="EI1" s="226"/>
      <c r="EJ1" s="226"/>
      <c r="EK1" s="226"/>
      <c r="EL1" s="226"/>
      <c r="EM1" s="226"/>
      <c r="EN1" s="226"/>
      <c r="EO1" s="226"/>
      <c r="EP1" s="226"/>
      <c r="EQ1" s="226"/>
      <c r="ER1" s="226"/>
      <c r="ES1" s="226"/>
      <c r="ET1" s="226"/>
      <c r="EU1" s="226"/>
      <c r="EV1" s="226"/>
      <c r="EW1" s="226"/>
      <c r="EX1" s="226"/>
      <c r="EY1" s="226"/>
      <c r="EZ1" s="226"/>
      <c r="FA1" s="226"/>
      <c r="FB1" s="226"/>
      <c r="FC1" s="226"/>
      <c r="FD1" s="226"/>
      <c r="FE1" s="226"/>
      <c r="FF1" s="226"/>
      <c r="FG1" s="226"/>
      <c r="FH1" s="226"/>
      <c r="FI1" s="226"/>
      <c r="FJ1" s="226"/>
      <c r="FK1" s="226"/>
      <c r="FL1" s="226"/>
      <c r="FM1" s="226"/>
      <c r="FN1" s="226"/>
      <c r="FO1" s="226"/>
      <c r="FP1" s="226"/>
      <c r="FQ1" s="226"/>
      <c r="FR1" s="226"/>
      <c r="FS1" s="226"/>
      <c r="FT1" s="226"/>
      <c r="FU1" s="226"/>
      <c r="FV1" s="226"/>
      <c r="FW1" s="226"/>
      <c r="FX1" s="226"/>
      <c r="FY1" s="226"/>
      <c r="FZ1" s="226"/>
      <c r="GA1" s="226"/>
      <c r="GB1" s="226"/>
      <c r="GC1" s="226"/>
      <c r="GD1" s="226"/>
      <c r="GE1" s="226"/>
      <c r="GF1" s="226"/>
      <c r="GG1" s="226"/>
      <c r="GH1" s="226"/>
      <c r="GI1" s="226"/>
      <c r="GJ1" s="226"/>
      <c r="GK1" s="226"/>
      <c r="GL1" s="226"/>
      <c r="GM1" s="226"/>
      <c r="GN1" s="226"/>
      <c r="GO1" s="226"/>
      <c r="GP1" s="226"/>
      <c r="GQ1" s="226"/>
      <c r="GR1" s="226"/>
      <c r="GS1" s="226"/>
      <c r="GT1" s="226"/>
      <c r="GU1" s="226"/>
      <c r="GV1" s="226"/>
      <c r="GW1" s="226"/>
      <c r="GX1" s="226"/>
      <c r="GY1" s="226"/>
      <c r="GZ1" s="226"/>
      <c r="HA1" s="226"/>
      <c r="HB1" s="226"/>
      <c r="HC1" s="226"/>
      <c r="HD1" s="226"/>
      <c r="HE1" s="226"/>
      <c r="HF1" s="226"/>
      <c r="HG1" s="226"/>
      <c r="HH1" s="226"/>
      <c r="HI1" s="226"/>
      <c r="HJ1" s="226"/>
      <c r="HK1" s="226"/>
      <c r="HL1" s="226"/>
      <c r="HM1" s="226"/>
      <c r="HN1" s="226"/>
      <c r="HO1" s="226"/>
      <c r="HP1" s="226"/>
    </row>
    <row r="2" spans="1:224" ht="30" customHeight="1">
      <c r="A2" s="792" t="s">
        <v>688</v>
      </c>
      <c r="B2" s="792"/>
      <c r="C2" s="792"/>
      <c r="D2" s="792"/>
      <c r="E2" s="792"/>
      <c r="F2" s="792"/>
      <c r="G2" s="227"/>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6"/>
      <c r="AL2" s="226"/>
      <c r="AM2" s="226"/>
      <c r="AN2" s="226"/>
      <c r="AO2" s="226"/>
      <c r="AP2" s="226"/>
      <c r="AQ2" s="226"/>
      <c r="AR2" s="226"/>
      <c r="AS2" s="226"/>
      <c r="AT2" s="226"/>
      <c r="AU2" s="226"/>
      <c r="AV2" s="226"/>
      <c r="AW2" s="226"/>
      <c r="AX2" s="226"/>
      <c r="AY2" s="226"/>
      <c r="AZ2" s="226"/>
      <c r="BA2" s="226"/>
      <c r="BB2" s="226"/>
      <c r="BC2" s="226"/>
      <c r="BD2" s="226"/>
      <c r="BE2" s="226"/>
      <c r="BF2" s="226"/>
      <c r="BG2" s="226"/>
      <c r="BH2" s="226"/>
      <c r="BI2" s="226"/>
      <c r="BJ2" s="226"/>
      <c r="BK2" s="226"/>
      <c r="BL2" s="226"/>
      <c r="BM2" s="226"/>
      <c r="BN2" s="226"/>
      <c r="BO2" s="226"/>
      <c r="BP2" s="226"/>
      <c r="BQ2" s="226"/>
      <c r="BR2" s="226"/>
      <c r="BS2" s="226"/>
      <c r="BT2" s="226"/>
      <c r="BU2" s="226"/>
      <c r="BV2" s="226"/>
      <c r="BW2" s="226"/>
      <c r="BX2" s="226"/>
      <c r="BY2" s="226"/>
      <c r="BZ2" s="226"/>
      <c r="CA2" s="226"/>
      <c r="CB2" s="226"/>
      <c r="CC2" s="226"/>
      <c r="CD2" s="226"/>
      <c r="CE2" s="226"/>
      <c r="CF2" s="226"/>
      <c r="CG2" s="226"/>
      <c r="CH2" s="226"/>
      <c r="CI2" s="226"/>
      <c r="CJ2" s="226"/>
      <c r="CK2" s="226"/>
      <c r="CL2" s="226"/>
      <c r="CM2" s="226"/>
      <c r="CN2" s="226"/>
      <c r="CO2" s="226"/>
      <c r="CP2" s="226"/>
      <c r="CQ2" s="226"/>
      <c r="CR2" s="226"/>
      <c r="CS2" s="226"/>
      <c r="CT2" s="226"/>
      <c r="CU2" s="226"/>
      <c r="CV2" s="226"/>
      <c r="CW2" s="226"/>
      <c r="CX2" s="226"/>
      <c r="CY2" s="226"/>
      <c r="CZ2" s="226"/>
      <c r="DA2" s="226"/>
      <c r="DB2" s="226"/>
      <c r="DC2" s="226"/>
      <c r="DD2" s="226"/>
      <c r="DE2" s="226"/>
      <c r="DF2" s="226"/>
      <c r="DG2" s="226"/>
      <c r="DH2" s="226"/>
      <c r="DI2" s="226"/>
      <c r="DJ2" s="226"/>
      <c r="DK2" s="226"/>
      <c r="DL2" s="226"/>
      <c r="DM2" s="226"/>
      <c r="DN2" s="226"/>
      <c r="DO2" s="226"/>
      <c r="DP2" s="226"/>
      <c r="DQ2" s="226"/>
      <c r="DR2" s="226"/>
      <c r="DS2" s="226"/>
      <c r="DT2" s="226"/>
      <c r="DU2" s="226"/>
      <c r="DV2" s="226"/>
      <c r="DW2" s="226"/>
      <c r="DX2" s="226"/>
      <c r="DY2" s="226"/>
      <c r="DZ2" s="226"/>
      <c r="EA2" s="226"/>
      <c r="EB2" s="226"/>
      <c r="EC2" s="226"/>
      <c r="ED2" s="226"/>
      <c r="EE2" s="226"/>
      <c r="EF2" s="226"/>
      <c r="EG2" s="226"/>
      <c r="EH2" s="226"/>
      <c r="EI2" s="226"/>
      <c r="EJ2" s="226"/>
      <c r="EK2" s="226"/>
      <c r="EL2" s="226"/>
      <c r="EM2" s="226"/>
      <c r="EN2" s="226"/>
      <c r="EO2" s="226"/>
      <c r="EP2" s="226"/>
      <c r="EQ2" s="226"/>
      <c r="ER2" s="226"/>
      <c r="ES2" s="226"/>
      <c r="ET2" s="226"/>
      <c r="EU2" s="226"/>
      <c r="EV2" s="226"/>
      <c r="EW2" s="226"/>
      <c r="EX2" s="226"/>
      <c r="EY2" s="226"/>
      <c r="EZ2" s="226"/>
      <c r="FA2" s="226"/>
      <c r="FB2" s="226"/>
      <c r="FC2" s="226"/>
      <c r="FD2" s="226"/>
      <c r="FE2" s="226"/>
      <c r="FF2" s="226"/>
      <c r="FG2" s="226"/>
      <c r="FH2" s="226"/>
      <c r="FI2" s="226"/>
      <c r="FJ2" s="226"/>
      <c r="FK2" s="226"/>
      <c r="FL2" s="226"/>
      <c r="FM2" s="226"/>
      <c r="FN2" s="226"/>
      <c r="FO2" s="226"/>
      <c r="FP2" s="226"/>
      <c r="FQ2" s="226"/>
      <c r="FR2" s="226"/>
      <c r="FS2" s="226"/>
      <c r="FT2" s="226"/>
      <c r="FU2" s="226"/>
      <c r="FV2" s="226"/>
      <c r="FW2" s="226"/>
      <c r="FX2" s="226"/>
      <c r="FY2" s="226"/>
      <c r="FZ2" s="226"/>
      <c r="GA2" s="226"/>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c r="HL2" s="226"/>
      <c r="HM2" s="226"/>
      <c r="HN2" s="226"/>
      <c r="HO2" s="226"/>
      <c r="HP2" s="226"/>
    </row>
    <row r="3" spans="1:224" s="228" customFormat="1" ht="30" customHeight="1">
      <c r="A3" s="773" t="s">
        <v>689</v>
      </c>
      <c r="B3" s="773"/>
      <c r="C3" s="773"/>
      <c r="D3" s="773"/>
      <c r="E3" s="773"/>
      <c r="F3" s="773"/>
    </row>
    <row r="4" spans="1:224" ht="30" customHeight="1">
      <c r="A4" s="792" t="s">
        <v>671</v>
      </c>
      <c r="B4" s="792"/>
      <c r="C4" s="792"/>
      <c r="D4" s="792"/>
      <c r="E4" s="792"/>
      <c r="F4" s="792"/>
      <c r="H4" s="226"/>
      <c r="I4" s="226"/>
      <c r="J4" s="226"/>
      <c r="K4" s="226"/>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N4" s="226"/>
      <c r="BO4" s="226"/>
      <c r="BP4" s="226"/>
      <c r="BQ4" s="226"/>
      <c r="BR4" s="226"/>
      <c r="BS4" s="226"/>
      <c r="BT4" s="226"/>
      <c r="BU4" s="226"/>
      <c r="BV4" s="226"/>
      <c r="BW4" s="226"/>
      <c r="BX4" s="226"/>
      <c r="BY4" s="226"/>
      <c r="BZ4" s="226"/>
      <c r="CA4" s="226"/>
      <c r="CB4" s="226"/>
      <c r="CC4" s="226"/>
      <c r="CD4" s="226"/>
      <c r="CE4" s="226"/>
      <c r="CF4" s="226"/>
      <c r="CG4" s="226"/>
      <c r="CH4" s="226"/>
      <c r="CI4" s="226"/>
      <c r="CJ4" s="226"/>
      <c r="CK4" s="226"/>
      <c r="CL4" s="226"/>
      <c r="CM4" s="226"/>
      <c r="CN4" s="226"/>
      <c r="CO4" s="226"/>
      <c r="CP4" s="226"/>
      <c r="CQ4" s="226"/>
      <c r="CR4" s="226"/>
      <c r="CS4" s="226"/>
      <c r="CT4" s="226"/>
      <c r="CU4" s="226"/>
      <c r="CV4" s="226"/>
      <c r="CW4" s="226"/>
      <c r="CX4" s="226"/>
      <c r="CY4" s="226"/>
      <c r="CZ4" s="226"/>
      <c r="DA4" s="226"/>
      <c r="DB4" s="226"/>
      <c r="DC4" s="226"/>
      <c r="DD4" s="226"/>
      <c r="DE4" s="226"/>
      <c r="DF4" s="226"/>
      <c r="DG4" s="226"/>
      <c r="DH4" s="226"/>
      <c r="DI4" s="226"/>
      <c r="DJ4" s="226"/>
      <c r="DK4" s="226"/>
      <c r="DL4" s="226"/>
      <c r="DM4" s="226"/>
      <c r="DN4" s="226"/>
      <c r="DO4" s="226"/>
      <c r="DP4" s="226"/>
      <c r="DQ4" s="226"/>
      <c r="DR4" s="226"/>
      <c r="DS4" s="226"/>
      <c r="DT4" s="226"/>
      <c r="DU4" s="226"/>
      <c r="DV4" s="226"/>
      <c r="DW4" s="226"/>
      <c r="DX4" s="226"/>
      <c r="DY4" s="226"/>
      <c r="DZ4" s="226"/>
      <c r="EA4" s="226"/>
      <c r="EB4" s="226"/>
      <c r="EC4" s="226"/>
      <c r="ED4" s="226"/>
      <c r="EE4" s="226"/>
      <c r="EF4" s="226"/>
      <c r="EG4" s="226"/>
      <c r="EH4" s="226"/>
      <c r="EI4" s="226"/>
      <c r="EJ4" s="226"/>
      <c r="EK4" s="226"/>
      <c r="EL4" s="226"/>
      <c r="EM4" s="226"/>
      <c r="EN4" s="226"/>
      <c r="EO4" s="226"/>
      <c r="EP4" s="226"/>
      <c r="EQ4" s="226"/>
      <c r="ER4" s="226"/>
      <c r="ES4" s="226"/>
      <c r="ET4" s="226"/>
      <c r="EU4" s="226"/>
      <c r="EV4" s="226"/>
      <c r="EW4" s="226"/>
      <c r="EX4" s="226"/>
      <c r="EY4" s="226"/>
      <c r="EZ4" s="226"/>
      <c r="FA4" s="226"/>
      <c r="FB4" s="226"/>
      <c r="FC4" s="226"/>
      <c r="FD4" s="226"/>
      <c r="FE4" s="226"/>
      <c r="FF4" s="226"/>
      <c r="FG4" s="226"/>
      <c r="FH4" s="226"/>
      <c r="FI4" s="226"/>
      <c r="FJ4" s="226"/>
      <c r="FK4" s="226"/>
      <c r="FL4" s="226"/>
      <c r="FM4" s="226"/>
      <c r="FN4" s="226"/>
      <c r="FO4" s="226"/>
      <c r="FP4" s="226"/>
      <c r="FQ4" s="226"/>
      <c r="FR4" s="226"/>
      <c r="FS4" s="226"/>
      <c r="FT4" s="226"/>
      <c r="FU4" s="226"/>
      <c r="FV4" s="226"/>
      <c r="FW4" s="226"/>
      <c r="FX4" s="226"/>
      <c r="FY4" s="226"/>
      <c r="FZ4" s="226"/>
      <c r="GA4" s="226"/>
      <c r="GB4" s="226"/>
      <c r="GC4" s="226"/>
      <c r="GD4" s="226"/>
      <c r="GE4" s="226"/>
      <c r="GF4" s="226"/>
      <c r="GG4" s="226"/>
      <c r="GH4" s="226"/>
      <c r="GI4" s="226"/>
      <c r="GJ4" s="226"/>
      <c r="GK4" s="226"/>
      <c r="GL4" s="226"/>
      <c r="GM4" s="226"/>
      <c r="GN4" s="226"/>
      <c r="GO4" s="226"/>
      <c r="GP4" s="226"/>
      <c r="GQ4" s="226"/>
      <c r="GR4" s="226"/>
      <c r="GS4" s="226"/>
      <c r="GT4" s="226"/>
      <c r="GU4" s="226"/>
      <c r="GV4" s="226"/>
      <c r="GW4" s="226"/>
      <c r="GX4" s="226"/>
      <c r="GY4" s="226"/>
      <c r="GZ4" s="226"/>
      <c r="HA4" s="226"/>
      <c r="HB4" s="226"/>
      <c r="HC4" s="226"/>
      <c r="HD4" s="226"/>
      <c r="HE4" s="226"/>
      <c r="HF4" s="226"/>
      <c r="HG4" s="226"/>
      <c r="HH4" s="226"/>
      <c r="HI4" s="226"/>
      <c r="HJ4" s="226"/>
      <c r="HK4" s="226"/>
      <c r="HL4" s="226"/>
      <c r="HM4" s="226"/>
      <c r="HN4" s="226"/>
      <c r="HO4" s="226"/>
      <c r="HP4" s="226"/>
    </row>
    <row r="5" spans="1:224" ht="30" customHeight="1">
      <c r="A5" s="744"/>
      <c r="B5" s="744"/>
      <c r="C5" s="744"/>
      <c r="D5" s="744"/>
      <c r="E5" s="744"/>
      <c r="F5" s="744"/>
      <c r="H5" s="226"/>
      <c r="I5" s="226"/>
      <c r="J5" s="226"/>
      <c r="K5" s="226"/>
      <c r="L5" s="226"/>
      <c r="M5" s="226"/>
      <c r="N5" s="226"/>
      <c r="O5" s="226"/>
      <c r="P5" s="226"/>
      <c r="Q5" s="226"/>
      <c r="R5" s="226"/>
      <c r="S5" s="226"/>
      <c r="T5" s="226"/>
      <c r="U5" s="226"/>
      <c r="V5" s="226"/>
      <c r="W5" s="226"/>
      <c r="X5" s="226"/>
      <c r="Y5" s="226"/>
      <c r="Z5" s="226"/>
      <c r="AA5" s="226"/>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226"/>
      <c r="BA5" s="226"/>
      <c r="BB5" s="226"/>
      <c r="BC5" s="226"/>
      <c r="BD5" s="226"/>
      <c r="BE5" s="226"/>
      <c r="BF5" s="226"/>
      <c r="BG5" s="226"/>
      <c r="BH5" s="226"/>
      <c r="BI5" s="226"/>
      <c r="BJ5" s="226"/>
      <c r="BK5" s="226"/>
      <c r="BL5" s="226"/>
      <c r="BM5" s="226"/>
      <c r="BN5" s="226"/>
      <c r="BO5" s="226"/>
      <c r="BP5" s="226"/>
      <c r="BQ5" s="226"/>
      <c r="BR5" s="226"/>
      <c r="BS5" s="226"/>
      <c r="BT5" s="226"/>
      <c r="BU5" s="226"/>
      <c r="BV5" s="226"/>
      <c r="BW5" s="226"/>
      <c r="BX5" s="226"/>
      <c r="BY5" s="226"/>
      <c r="BZ5" s="226"/>
      <c r="CA5" s="226"/>
      <c r="CB5" s="226"/>
      <c r="CC5" s="226"/>
      <c r="CD5" s="226"/>
      <c r="CE5" s="226"/>
      <c r="CF5" s="226"/>
      <c r="CG5" s="226"/>
      <c r="CH5" s="226"/>
      <c r="CI5" s="226"/>
      <c r="CJ5" s="226"/>
      <c r="CK5" s="226"/>
      <c r="CL5" s="226"/>
      <c r="CM5" s="226"/>
      <c r="CN5" s="226"/>
      <c r="CO5" s="226"/>
      <c r="CP5" s="226"/>
      <c r="CQ5" s="226"/>
      <c r="CR5" s="226"/>
      <c r="CS5" s="226"/>
      <c r="CT5" s="226"/>
      <c r="CU5" s="226"/>
      <c r="CV5" s="226"/>
      <c r="CW5" s="226"/>
      <c r="CX5" s="226"/>
      <c r="CY5" s="226"/>
      <c r="CZ5" s="226"/>
      <c r="DA5" s="226"/>
      <c r="DB5" s="226"/>
      <c r="DC5" s="226"/>
      <c r="DD5" s="226"/>
      <c r="DE5" s="226"/>
      <c r="DF5" s="226"/>
      <c r="DG5" s="226"/>
      <c r="DH5" s="226"/>
      <c r="DI5" s="226"/>
      <c r="DJ5" s="226"/>
      <c r="DK5" s="226"/>
      <c r="DL5" s="226"/>
      <c r="DM5" s="226"/>
      <c r="DN5" s="226"/>
      <c r="DO5" s="226"/>
      <c r="DP5" s="226"/>
      <c r="DQ5" s="226"/>
      <c r="DR5" s="226"/>
      <c r="DS5" s="226"/>
      <c r="DT5" s="226"/>
      <c r="DU5" s="226"/>
      <c r="DV5" s="226"/>
      <c r="DW5" s="226"/>
      <c r="DX5" s="226"/>
      <c r="DY5" s="226"/>
      <c r="DZ5" s="226"/>
      <c r="EA5" s="226"/>
      <c r="EB5" s="226"/>
      <c r="EC5" s="226"/>
      <c r="ED5" s="226"/>
      <c r="EE5" s="226"/>
      <c r="EF5" s="226"/>
      <c r="EG5" s="226"/>
      <c r="EH5" s="226"/>
      <c r="EI5" s="226"/>
      <c r="EJ5" s="226"/>
      <c r="EK5" s="226"/>
      <c r="EL5" s="226"/>
      <c r="EM5" s="226"/>
      <c r="EN5" s="226"/>
      <c r="EO5" s="226"/>
      <c r="EP5" s="226"/>
      <c r="EQ5" s="226"/>
      <c r="ER5" s="226"/>
      <c r="ES5" s="226"/>
      <c r="ET5" s="226"/>
      <c r="EU5" s="226"/>
      <c r="EV5" s="226"/>
      <c r="EW5" s="226"/>
      <c r="EX5" s="226"/>
      <c r="EY5" s="226"/>
      <c r="EZ5" s="226"/>
      <c r="FA5" s="226"/>
      <c r="FB5" s="226"/>
      <c r="FC5" s="226"/>
      <c r="FD5" s="226"/>
      <c r="FE5" s="226"/>
      <c r="FF5" s="226"/>
      <c r="FG5" s="226"/>
      <c r="FH5" s="226"/>
      <c r="FI5" s="226"/>
      <c r="FJ5" s="226"/>
      <c r="FK5" s="226"/>
      <c r="FL5" s="226"/>
      <c r="FM5" s="226"/>
      <c r="FN5" s="226"/>
      <c r="FO5" s="226"/>
      <c r="FP5" s="226"/>
      <c r="FQ5" s="226"/>
      <c r="FR5" s="226"/>
      <c r="FS5" s="226"/>
      <c r="FT5" s="226"/>
      <c r="FU5" s="226"/>
      <c r="FV5" s="226"/>
      <c r="FW5" s="226"/>
      <c r="FX5" s="226"/>
      <c r="FY5" s="226"/>
      <c r="FZ5" s="226"/>
      <c r="GA5" s="226"/>
      <c r="GB5" s="226"/>
      <c r="GC5" s="226"/>
      <c r="GD5" s="226"/>
      <c r="GE5" s="226"/>
      <c r="GF5" s="226"/>
      <c r="GG5" s="226"/>
      <c r="GH5" s="226"/>
      <c r="GI5" s="226"/>
      <c r="GJ5" s="226"/>
      <c r="GK5" s="226"/>
      <c r="GL5" s="226"/>
      <c r="GM5" s="226"/>
      <c r="GN5" s="226"/>
      <c r="GO5" s="226"/>
      <c r="GP5" s="226"/>
      <c r="GQ5" s="226"/>
      <c r="GR5" s="226"/>
      <c r="GS5" s="226"/>
      <c r="GT5" s="226"/>
      <c r="GU5" s="226"/>
      <c r="GV5" s="226"/>
      <c r="GW5" s="226"/>
      <c r="GX5" s="226"/>
      <c r="GY5" s="226"/>
      <c r="GZ5" s="226"/>
      <c r="HA5" s="226"/>
      <c r="HB5" s="226"/>
      <c r="HC5" s="226"/>
      <c r="HD5" s="226"/>
      <c r="HE5" s="226"/>
      <c r="HF5" s="226"/>
      <c r="HG5" s="226"/>
      <c r="HH5" s="226"/>
      <c r="HI5" s="226"/>
      <c r="HJ5" s="226"/>
      <c r="HK5" s="226"/>
      <c r="HL5" s="226"/>
      <c r="HM5" s="226"/>
      <c r="HN5" s="226"/>
      <c r="HO5" s="226"/>
      <c r="HP5" s="226"/>
    </row>
    <row r="6" spans="1:224" ht="22.35" customHeight="1" thickBot="1">
      <c r="A6" s="177"/>
      <c r="C6" s="229"/>
      <c r="D6" s="229"/>
      <c r="E6" s="229"/>
      <c r="F6" s="229"/>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c r="BQ6" s="226"/>
      <c r="BR6" s="226"/>
      <c r="BS6" s="226"/>
      <c r="BT6" s="226"/>
      <c r="BU6" s="226"/>
      <c r="BV6" s="226"/>
      <c r="BW6" s="226"/>
      <c r="BX6" s="226"/>
      <c r="BY6" s="226"/>
      <c r="BZ6" s="226"/>
      <c r="CA6" s="226"/>
      <c r="CB6" s="226"/>
      <c r="CC6" s="226"/>
      <c r="CD6" s="226"/>
      <c r="CE6" s="226"/>
      <c r="CF6" s="226"/>
      <c r="CG6" s="226"/>
      <c r="CH6" s="226"/>
      <c r="CI6" s="226"/>
      <c r="CJ6" s="226"/>
      <c r="CK6" s="226"/>
      <c r="CL6" s="226"/>
      <c r="CM6" s="226"/>
      <c r="CN6" s="226"/>
      <c r="CO6" s="226"/>
      <c r="CP6" s="226"/>
      <c r="CQ6" s="226"/>
      <c r="CR6" s="226"/>
      <c r="CS6" s="226"/>
      <c r="CT6" s="226"/>
      <c r="CU6" s="226"/>
      <c r="CV6" s="226"/>
      <c r="CW6" s="226"/>
      <c r="CX6" s="226"/>
      <c r="CY6" s="226"/>
      <c r="CZ6" s="226"/>
      <c r="DA6" s="226"/>
      <c r="DB6" s="226"/>
      <c r="DC6" s="226"/>
      <c r="DD6" s="226"/>
      <c r="DE6" s="226"/>
      <c r="DF6" s="226"/>
      <c r="DG6" s="226"/>
      <c r="DH6" s="226"/>
      <c r="DI6" s="226"/>
      <c r="DJ6" s="226"/>
      <c r="DK6" s="226"/>
      <c r="DL6" s="226"/>
      <c r="DM6" s="226"/>
      <c r="DN6" s="226"/>
      <c r="DO6" s="226"/>
      <c r="DP6" s="226"/>
      <c r="DQ6" s="226"/>
      <c r="DR6" s="226"/>
      <c r="DS6" s="226"/>
      <c r="DT6" s="226"/>
      <c r="DU6" s="226"/>
      <c r="DV6" s="226"/>
      <c r="DW6" s="226"/>
      <c r="DX6" s="226"/>
      <c r="DY6" s="226"/>
      <c r="DZ6" s="226"/>
      <c r="EA6" s="226"/>
      <c r="EB6" s="226"/>
      <c r="EC6" s="226"/>
      <c r="ED6" s="226"/>
      <c r="EE6" s="226"/>
      <c r="EF6" s="226"/>
      <c r="EG6" s="226"/>
      <c r="EH6" s="226"/>
      <c r="EI6" s="226"/>
      <c r="EJ6" s="226"/>
      <c r="EK6" s="226"/>
      <c r="EL6" s="226"/>
      <c r="EM6" s="226"/>
      <c r="EN6" s="226"/>
      <c r="EO6" s="226"/>
      <c r="EP6" s="226"/>
      <c r="EQ6" s="226"/>
      <c r="ER6" s="226"/>
      <c r="ES6" s="226"/>
      <c r="ET6" s="226"/>
      <c r="EU6" s="226"/>
      <c r="EV6" s="226"/>
      <c r="EW6" s="226"/>
      <c r="EX6" s="226"/>
      <c r="EY6" s="226"/>
      <c r="EZ6" s="226"/>
      <c r="FA6" s="226"/>
      <c r="FB6" s="226"/>
      <c r="FC6" s="226"/>
      <c r="FD6" s="226"/>
      <c r="FE6" s="226"/>
      <c r="FF6" s="226"/>
      <c r="FG6" s="226"/>
      <c r="FH6" s="226"/>
      <c r="FI6" s="226"/>
      <c r="FJ6" s="226"/>
      <c r="FK6" s="226"/>
      <c r="FL6" s="226"/>
      <c r="FM6" s="226"/>
      <c r="FN6" s="226"/>
      <c r="FO6" s="226"/>
      <c r="FP6" s="226"/>
      <c r="FQ6" s="226"/>
      <c r="FR6" s="226"/>
      <c r="FS6" s="226"/>
      <c r="FT6" s="226"/>
      <c r="FU6" s="226"/>
      <c r="FV6" s="226"/>
      <c r="FW6" s="226"/>
      <c r="FX6" s="226"/>
      <c r="FY6" s="226"/>
      <c r="FZ6" s="226"/>
      <c r="GA6" s="226"/>
      <c r="GB6" s="226"/>
      <c r="GC6" s="226"/>
      <c r="GD6" s="226"/>
      <c r="GE6" s="226"/>
      <c r="GF6" s="226"/>
      <c r="GG6" s="226"/>
      <c r="GH6" s="226"/>
      <c r="GI6" s="226"/>
      <c r="GJ6" s="226"/>
      <c r="GK6" s="226"/>
      <c r="GL6" s="226"/>
      <c r="GM6" s="226"/>
      <c r="GN6" s="226"/>
      <c r="GO6" s="226"/>
      <c r="GP6" s="226"/>
      <c r="GQ6" s="226"/>
      <c r="GR6" s="226"/>
      <c r="GS6" s="226"/>
      <c r="GT6" s="226"/>
      <c r="GU6" s="226"/>
      <c r="GV6" s="226"/>
      <c r="GW6" s="226"/>
      <c r="GX6" s="226"/>
      <c r="GY6" s="226"/>
      <c r="GZ6" s="226"/>
      <c r="HA6" s="226"/>
      <c r="HB6" s="226"/>
      <c r="HC6" s="226"/>
      <c r="HD6" s="226"/>
      <c r="HE6" s="226"/>
      <c r="HF6" s="226"/>
      <c r="HG6" s="226"/>
      <c r="HH6" s="226"/>
      <c r="HI6" s="226"/>
      <c r="HJ6" s="226"/>
      <c r="HK6" s="226"/>
      <c r="HL6" s="226"/>
      <c r="HM6" s="226"/>
      <c r="HN6" s="226"/>
      <c r="HO6" s="226"/>
      <c r="HP6" s="226"/>
    </row>
    <row r="7" spans="1:224" ht="30" customHeight="1" thickBot="1">
      <c r="A7" s="742" t="s">
        <v>672</v>
      </c>
      <c r="B7" s="743"/>
      <c r="C7" s="736" t="s">
        <v>78</v>
      </c>
      <c r="D7" s="737"/>
      <c r="E7" s="737"/>
      <c r="F7" s="738"/>
      <c r="G7" s="226"/>
      <c r="H7" s="226"/>
      <c r="I7" s="29"/>
      <c r="J7" s="29"/>
      <c r="K7" s="232"/>
      <c r="L7" s="232"/>
      <c r="M7" s="232"/>
      <c r="N7" s="232"/>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c r="BT7" s="226"/>
      <c r="BU7" s="226"/>
      <c r="BV7" s="226"/>
      <c r="BW7" s="226"/>
      <c r="BX7" s="226"/>
      <c r="BY7" s="226"/>
      <c r="BZ7" s="226"/>
      <c r="CA7" s="226"/>
      <c r="CB7" s="226"/>
      <c r="CC7" s="226"/>
      <c r="CD7" s="226"/>
      <c r="CE7" s="226"/>
      <c r="CF7" s="226"/>
      <c r="CG7" s="226"/>
      <c r="CH7" s="226"/>
      <c r="CI7" s="226"/>
      <c r="CJ7" s="226"/>
      <c r="CK7" s="226"/>
      <c r="CL7" s="226"/>
      <c r="CM7" s="226"/>
      <c r="CN7" s="226"/>
      <c r="CO7" s="226"/>
      <c r="CP7" s="226"/>
      <c r="CQ7" s="226"/>
      <c r="CR7" s="226"/>
      <c r="CS7" s="226"/>
      <c r="CT7" s="226"/>
      <c r="CU7" s="226"/>
      <c r="CV7" s="226"/>
      <c r="CW7" s="226"/>
      <c r="CX7" s="226"/>
      <c r="CY7" s="226"/>
      <c r="CZ7" s="226"/>
      <c r="DA7" s="226"/>
      <c r="DB7" s="226"/>
      <c r="DC7" s="226"/>
      <c r="DD7" s="226"/>
      <c r="DE7" s="226"/>
      <c r="DF7" s="226"/>
      <c r="DG7" s="226"/>
      <c r="DH7" s="226"/>
      <c r="DI7" s="226"/>
      <c r="DJ7" s="226"/>
      <c r="DK7" s="226"/>
      <c r="DL7" s="226"/>
      <c r="DM7" s="226"/>
      <c r="DN7" s="226"/>
      <c r="DO7" s="226"/>
      <c r="DP7" s="226"/>
      <c r="DQ7" s="226"/>
      <c r="DR7" s="226"/>
      <c r="DS7" s="226"/>
      <c r="DT7" s="226"/>
      <c r="DU7" s="226"/>
      <c r="DV7" s="226"/>
      <c r="DW7" s="226"/>
      <c r="DX7" s="226"/>
      <c r="DY7" s="226"/>
      <c r="DZ7" s="226"/>
      <c r="EA7" s="226"/>
      <c r="EB7" s="226"/>
      <c r="EC7" s="226"/>
      <c r="ED7" s="226"/>
      <c r="EE7" s="226"/>
      <c r="EF7" s="226"/>
      <c r="EG7" s="226"/>
      <c r="EH7" s="226"/>
      <c r="EI7" s="226"/>
      <c r="EJ7" s="226"/>
      <c r="EK7" s="226"/>
      <c r="EL7" s="226"/>
      <c r="EM7" s="226"/>
      <c r="EN7" s="226"/>
      <c r="EO7" s="226"/>
      <c r="EP7" s="226"/>
      <c r="EQ7" s="226"/>
      <c r="ER7" s="226"/>
      <c r="ES7" s="226"/>
      <c r="ET7" s="226"/>
      <c r="EU7" s="226"/>
      <c r="EV7" s="226"/>
      <c r="EW7" s="226"/>
      <c r="EX7" s="226"/>
      <c r="EY7" s="226"/>
      <c r="EZ7" s="226"/>
      <c r="FA7" s="226"/>
      <c r="FB7" s="226"/>
      <c r="FC7" s="226"/>
      <c r="FD7" s="226"/>
      <c r="FE7" s="226"/>
      <c r="FF7" s="226"/>
      <c r="FG7" s="226"/>
      <c r="FH7" s="226"/>
      <c r="FI7" s="226"/>
      <c r="FJ7" s="226"/>
      <c r="FK7" s="226"/>
      <c r="FL7" s="226"/>
      <c r="FM7" s="226"/>
      <c r="FN7" s="226"/>
      <c r="FO7" s="226"/>
      <c r="FP7" s="226"/>
      <c r="FQ7" s="226"/>
      <c r="FR7" s="226"/>
      <c r="FS7" s="226"/>
      <c r="FT7" s="226"/>
      <c r="FU7" s="226"/>
      <c r="FV7" s="226"/>
      <c r="FW7" s="226"/>
      <c r="FX7" s="226"/>
      <c r="FY7" s="226"/>
      <c r="FZ7" s="226"/>
      <c r="GA7" s="226"/>
      <c r="GB7" s="226"/>
      <c r="GC7" s="226"/>
      <c r="GD7" s="226"/>
      <c r="GE7" s="226"/>
      <c r="GF7" s="226"/>
      <c r="GG7" s="226"/>
      <c r="GH7" s="226"/>
      <c r="GI7" s="226"/>
      <c r="GJ7" s="226"/>
      <c r="GK7" s="226"/>
      <c r="GL7" s="226"/>
      <c r="GM7" s="226"/>
      <c r="GN7" s="226"/>
      <c r="GO7" s="226"/>
      <c r="GP7" s="226"/>
      <c r="GQ7" s="226"/>
      <c r="GR7" s="226"/>
      <c r="GS7" s="226"/>
      <c r="GT7" s="226"/>
      <c r="GU7" s="226"/>
      <c r="GV7" s="226"/>
      <c r="GW7" s="226"/>
      <c r="GX7" s="226"/>
      <c r="GY7" s="226"/>
      <c r="GZ7" s="226"/>
      <c r="HA7" s="226"/>
      <c r="HB7" s="226"/>
      <c r="HC7" s="226"/>
      <c r="HD7" s="226"/>
      <c r="HE7" s="226"/>
      <c r="HF7" s="226"/>
      <c r="HG7" s="226"/>
      <c r="HH7" s="226"/>
      <c r="HI7" s="226"/>
      <c r="HJ7" s="226"/>
      <c r="HK7" s="226"/>
      <c r="HL7" s="226"/>
      <c r="HM7" s="226"/>
      <c r="HN7" s="226"/>
      <c r="HO7" s="226"/>
      <c r="HP7" s="226"/>
    </row>
    <row r="8" spans="1:224" s="177" customFormat="1" ht="114.6" customHeight="1" thickBot="1">
      <c r="A8" s="845" t="s">
        <v>690</v>
      </c>
      <c r="B8" s="846"/>
      <c r="C8" s="233" t="s">
        <v>340</v>
      </c>
      <c r="D8" s="234" t="s">
        <v>691</v>
      </c>
      <c r="E8" s="565" t="s">
        <v>692</v>
      </c>
      <c r="F8" s="233" t="s">
        <v>693</v>
      </c>
      <c r="G8" s="231"/>
      <c r="H8" s="231"/>
      <c r="I8" s="88"/>
      <c r="J8" s="29"/>
      <c r="K8" s="93"/>
      <c r="L8" s="93"/>
      <c r="M8" s="93"/>
      <c r="N8" s="93"/>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31"/>
      <c r="BZ8" s="231"/>
      <c r="CA8" s="231"/>
      <c r="CB8" s="231"/>
      <c r="CC8" s="231"/>
      <c r="CD8" s="231"/>
      <c r="CE8" s="231"/>
      <c r="CF8" s="231"/>
      <c r="CG8" s="231"/>
      <c r="CH8" s="231"/>
      <c r="CI8" s="231"/>
      <c r="CJ8" s="231"/>
      <c r="CK8" s="231"/>
      <c r="CL8" s="231"/>
      <c r="CM8" s="231"/>
      <c r="CN8" s="231"/>
      <c r="CO8" s="231"/>
      <c r="CP8" s="231"/>
      <c r="CQ8" s="231"/>
      <c r="CR8" s="231"/>
      <c r="CS8" s="231"/>
      <c r="CT8" s="231"/>
      <c r="CU8" s="231"/>
      <c r="CV8" s="231"/>
      <c r="CW8" s="231"/>
      <c r="CX8" s="231"/>
      <c r="CY8" s="231"/>
      <c r="CZ8" s="231"/>
      <c r="DA8" s="231"/>
      <c r="DB8" s="231"/>
      <c r="DC8" s="231"/>
      <c r="DD8" s="231"/>
      <c r="DE8" s="231"/>
      <c r="DF8" s="231"/>
      <c r="DG8" s="231"/>
      <c r="DH8" s="231"/>
      <c r="DI8" s="231"/>
      <c r="DJ8" s="231"/>
      <c r="DK8" s="231"/>
      <c r="DL8" s="231"/>
      <c r="DM8" s="231"/>
      <c r="DN8" s="231"/>
      <c r="DO8" s="231"/>
      <c r="DP8" s="231"/>
      <c r="DQ8" s="231"/>
      <c r="DR8" s="231"/>
      <c r="DS8" s="231"/>
      <c r="DT8" s="231"/>
      <c r="DU8" s="231"/>
      <c r="DV8" s="231"/>
      <c r="DW8" s="231"/>
      <c r="DX8" s="231"/>
      <c r="DY8" s="231"/>
      <c r="DZ8" s="231"/>
      <c r="EA8" s="231"/>
      <c r="EB8" s="231"/>
      <c r="EC8" s="231"/>
      <c r="ED8" s="231"/>
      <c r="EE8" s="231"/>
      <c r="EF8" s="231"/>
      <c r="EG8" s="231"/>
      <c r="EH8" s="231"/>
      <c r="EI8" s="231"/>
      <c r="EJ8" s="231"/>
      <c r="EK8" s="231"/>
      <c r="EL8" s="231"/>
      <c r="EM8" s="231"/>
      <c r="EN8" s="231"/>
      <c r="EO8" s="231"/>
      <c r="EP8" s="231"/>
      <c r="EQ8" s="231"/>
      <c r="ER8" s="231"/>
      <c r="ES8" s="231"/>
      <c r="ET8" s="231"/>
      <c r="EU8" s="231"/>
      <c r="EV8" s="231"/>
      <c r="EW8" s="231"/>
      <c r="EX8" s="231"/>
      <c r="EY8" s="231"/>
      <c r="EZ8" s="231"/>
      <c r="FA8" s="231"/>
      <c r="FB8" s="231"/>
      <c r="FC8" s="231"/>
      <c r="FD8" s="231"/>
      <c r="FE8" s="231"/>
      <c r="FF8" s="231"/>
      <c r="FG8" s="231"/>
      <c r="FH8" s="231"/>
      <c r="FI8" s="231"/>
      <c r="FJ8" s="231"/>
      <c r="FK8" s="231"/>
      <c r="FL8" s="231"/>
      <c r="FM8" s="231"/>
      <c r="FN8" s="231"/>
      <c r="FO8" s="231"/>
      <c r="FP8" s="231"/>
      <c r="FQ8" s="231"/>
      <c r="FR8" s="231"/>
      <c r="FS8" s="231"/>
      <c r="FT8" s="231"/>
      <c r="FU8" s="231"/>
      <c r="FV8" s="231"/>
      <c r="FW8" s="231"/>
      <c r="FX8" s="231"/>
      <c r="FY8" s="231"/>
      <c r="FZ8" s="231"/>
      <c r="GA8" s="231"/>
      <c r="GB8" s="231"/>
      <c r="GC8" s="231"/>
      <c r="GD8" s="231"/>
      <c r="GE8" s="231"/>
      <c r="GF8" s="231"/>
      <c r="GG8" s="231"/>
      <c r="GH8" s="231"/>
      <c r="GI8" s="231"/>
      <c r="GJ8" s="231"/>
      <c r="GK8" s="231"/>
      <c r="GL8" s="231"/>
      <c r="GM8" s="231"/>
      <c r="GN8" s="231"/>
      <c r="GO8" s="231"/>
      <c r="GP8" s="231"/>
      <c r="GQ8" s="231"/>
      <c r="GR8" s="231"/>
      <c r="GS8" s="231"/>
      <c r="GT8" s="231"/>
      <c r="GU8" s="231"/>
      <c r="GV8" s="231"/>
      <c r="GW8" s="231"/>
      <c r="GX8" s="231"/>
      <c r="GY8" s="231"/>
      <c r="GZ8" s="231"/>
      <c r="HA8" s="231"/>
      <c r="HB8" s="231"/>
      <c r="HC8" s="231"/>
      <c r="HD8" s="231"/>
      <c r="HE8" s="231"/>
      <c r="HF8" s="231"/>
      <c r="HG8" s="231"/>
      <c r="HH8" s="231"/>
      <c r="HI8" s="231"/>
      <c r="HJ8" s="231"/>
      <c r="HK8" s="231"/>
      <c r="HL8" s="231"/>
      <c r="HM8" s="231"/>
      <c r="HN8" s="231"/>
      <c r="HO8" s="231"/>
      <c r="HP8" s="231"/>
    </row>
    <row r="9" spans="1:224" s="177" customFormat="1" ht="30" customHeight="1" thickBot="1">
      <c r="A9" s="734" t="s">
        <v>484</v>
      </c>
      <c r="B9" s="739"/>
      <c r="C9" s="258"/>
      <c r="D9" s="273"/>
      <c r="E9" s="273"/>
      <c r="F9" s="273"/>
      <c r="I9" s="88"/>
      <c r="J9" s="29"/>
      <c r="K9" s="93"/>
      <c r="L9" s="93"/>
      <c r="M9" s="93"/>
      <c r="N9" s="93"/>
    </row>
    <row r="10" spans="1:224" s="17" customFormat="1" ht="30" customHeight="1">
      <c r="A10" s="235" t="s">
        <v>485</v>
      </c>
      <c r="B10" s="243"/>
      <c r="C10" s="566" t="s">
        <v>486</v>
      </c>
      <c r="D10" s="459">
        <v>0</v>
      </c>
      <c r="E10" s="459">
        <v>0</v>
      </c>
      <c r="F10" s="236">
        <f t="shared" ref="F10:F74" si="0">+D10+E10</f>
        <v>0</v>
      </c>
      <c r="I10" s="88"/>
      <c r="J10" s="29"/>
      <c r="K10" s="93"/>
      <c r="L10" s="93"/>
      <c r="M10" s="93"/>
      <c r="N10" s="93"/>
    </row>
    <row r="11" spans="1:224" s="17" customFormat="1" ht="30" customHeight="1">
      <c r="A11" s="642" t="s">
        <v>487</v>
      </c>
      <c r="B11" s="643"/>
      <c r="C11" s="644" t="s">
        <v>488</v>
      </c>
      <c r="D11" s="870">
        <v>0</v>
      </c>
      <c r="E11" s="870">
        <v>0</v>
      </c>
      <c r="F11" s="871">
        <f t="shared" si="0"/>
        <v>0</v>
      </c>
      <c r="I11" s="88"/>
      <c r="J11" s="29"/>
      <c r="K11" s="93"/>
      <c r="L11" s="93"/>
      <c r="M11" s="93"/>
      <c r="N11" s="93"/>
    </row>
    <row r="12" spans="1:224" s="17" customFormat="1" ht="30" customHeight="1">
      <c r="A12" s="642" t="s">
        <v>489</v>
      </c>
      <c r="B12" s="643"/>
      <c r="C12" s="644" t="s">
        <v>490</v>
      </c>
      <c r="D12" s="870">
        <v>0</v>
      </c>
      <c r="E12" s="870">
        <v>0</v>
      </c>
      <c r="F12" s="871">
        <f t="shared" si="0"/>
        <v>0</v>
      </c>
      <c r="I12" s="88"/>
      <c r="J12" s="29"/>
      <c r="K12" s="93"/>
      <c r="L12" s="93"/>
      <c r="M12" s="93"/>
      <c r="N12" s="93"/>
    </row>
    <row r="13" spans="1:224" s="17" customFormat="1" ht="30" customHeight="1">
      <c r="A13" s="642" t="s">
        <v>491</v>
      </c>
      <c r="B13" s="643"/>
      <c r="C13" s="644" t="s">
        <v>492</v>
      </c>
      <c r="D13" s="870">
        <v>0</v>
      </c>
      <c r="E13" s="870">
        <v>0</v>
      </c>
      <c r="F13" s="871">
        <f t="shared" si="0"/>
        <v>0</v>
      </c>
      <c r="I13" s="88"/>
      <c r="J13" s="29"/>
      <c r="K13" s="93"/>
      <c r="L13" s="93"/>
      <c r="M13" s="93"/>
      <c r="N13" s="93"/>
    </row>
    <row r="14" spans="1:224" s="17" customFormat="1" ht="30" customHeight="1">
      <c r="A14" s="642" t="s">
        <v>493</v>
      </c>
      <c r="B14" s="643"/>
      <c r="C14" s="644" t="s">
        <v>494</v>
      </c>
      <c r="D14" s="870">
        <v>0</v>
      </c>
      <c r="E14" s="870">
        <v>0</v>
      </c>
      <c r="F14" s="871">
        <f t="shared" si="0"/>
        <v>0</v>
      </c>
      <c r="I14" s="88"/>
      <c r="J14" s="29"/>
      <c r="K14" s="93"/>
      <c r="L14" s="93"/>
      <c r="M14" s="93"/>
      <c r="N14" s="93"/>
    </row>
    <row r="15" spans="1:224" s="17" customFormat="1" ht="30" customHeight="1">
      <c r="A15" s="642" t="s">
        <v>495</v>
      </c>
      <c r="B15" s="643"/>
      <c r="C15" s="644" t="s">
        <v>496</v>
      </c>
      <c r="D15" s="870">
        <v>301154</v>
      </c>
      <c r="E15" s="870">
        <v>0</v>
      </c>
      <c r="F15" s="871">
        <f t="shared" si="0"/>
        <v>301154</v>
      </c>
      <c r="I15" s="88"/>
      <c r="J15" s="29"/>
      <c r="K15" s="93"/>
      <c r="L15" s="93"/>
      <c r="M15" s="93"/>
      <c r="N15" s="93"/>
    </row>
    <row r="16" spans="1:224" s="17" customFormat="1" ht="30" customHeight="1">
      <c r="A16" s="642" t="s">
        <v>497</v>
      </c>
      <c r="B16" s="643"/>
      <c r="C16" s="644" t="s">
        <v>498</v>
      </c>
      <c r="D16" s="870">
        <v>0</v>
      </c>
      <c r="E16" s="870">
        <v>0</v>
      </c>
      <c r="F16" s="871">
        <f t="shared" si="0"/>
        <v>0</v>
      </c>
    </row>
    <row r="17" spans="1:6" s="17" customFormat="1" ht="30" customHeight="1">
      <c r="A17" s="642" t="s">
        <v>499</v>
      </c>
      <c r="B17" s="643"/>
      <c r="C17" s="644" t="s">
        <v>500</v>
      </c>
      <c r="D17" s="870">
        <v>0</v>
      </c>
      <c r="E17" s="870">
        <v>0</v>
      </c>
      <c r="F17" s="871">
        <f t="shared" si="0"/>
        <v>0</v>
      </c>
    </row>
    <row r="18" spans="1:6" s="17" customFormat="1" ht="30" customHeight="1">
      <c r="A18" s="642" t="s">
        <v>501</v>
      </c>
      <c r="B18" s="643"/>
      <c r="C18" s="644" t="s">
        <v>502</v>
      </c>
      <c r="D18" s="870">
        <v>0</v>
      </c>
      <c r="E18" s="870">
        <v>0</v>
      </c>
      <c r="F18" s="871">
        <f t="shared" si="0"/>
        <v>0</v>
      </c>
    </row>
    <row r="19" spans="1:6" s="17" customFormat="1" ht="30" customHeight="1">
      <c r="A19" s="642" t="s">
        <v>694</v>
      </c>
      <c r="B19" s="643"/>
      <c r="C19" s="644" t="s">
        <v>504</v>
      </c>
      <c r="D19" s="870">
        <v>0</v>
      </c>
      <c r="E19" s="870">
        <v>0</v>
      </c>
      <c r="F19" s="871">
        <f t="shared" si="0"/>
        <v>0</v>
      </c>
    </row>
    <row r="20" spans="1:6" s="17" customFormat="1" ht="30" customHeight="1">
      <c r="A20" s="642" t="s">
        <v>505</v>
      </c>
      <c r="B20" s="643"/>
      <c r="C20" s="644">
        <v>52500</v>
      </c>
      <c r="D20" s="870">
        <v>0</v>
      </c>
      <c r="E20" s="870">
        <v>0</v>
      </c>
      <c r="F20" s="871">
        <f>+D20+E20</f>
        <v>0</v>
      </c>
    </row>
    <row r="21" spans="1:6" s="17" customFormat="1" ht="30" customHeight="1">
      <c r="A21" s="642" t="s">
        <v>506</v>
      </c>
      <c r="B21" s="643"/>
      <c r="C21" s="644" t="s">
        <v>507</v>
      </c>
      <c r="D21" s="870">
        <v>0</v>
      </c>
      <c r="E21" s="870">
        <v>0</v>
      </c>
      <c r="F21" s="871">
        <f t="shared" si="0"/>
        <v>0</v>
      </c>
    </row>
    <row r="22" spans="1:6" s="17" customFormat="1" ht="30" customHeight="1">
      <c r="A22" s="642" t="s">
        <v>508</v>
      </c>
      <c r="B22" s="643"/>
      <c r="C22" s="644" t="s">
        <v>509</v>
      </c>
      <c r="D22" s="870">
        <v>0</v>
      </c>
      <c r="E22" s="870">
        <v>0</v>
      </c>
      <c r="F22" s="871">
        <f t="shared" si="0"/>
        <v>0</v>
      </c>
    </row>
    <row r="23" spans="1:6" s="17" customFormat="1" ht="30" customHeight="1">
      <c r="A23" s="642" t="s">
        <v>510</v>
      </c>
      <c r="B23" s="643"/>
      <c r="C23" s="644" t="s">
        <v>511</v>
      </c>
      <c r="D23" s="870">
        <v>0</v>
      </c>
      <c r="E23" s="870">
        <v>0</v>
      </c>
      <c r="F23" s="871">
        <f t="shared" si="0"/>
        <v>0</v>
      </c>
    </row>
    <row r="24" spans="1:6" s="17" customFormat="1" ht="30" customHeight="1">
      <c r="A24" s="642" t="s">
        <v>512</v>
      </c>
      <c r="B24" s="643"/>
      <c r="C24" s="644" t="s">
        <v>513</v>
      </c>
      <c r="D24" s="870">
        <v>0</v>
      </c>
      <c r="E24" s="870">
        <v>0</v>
      </c>
      <c r="F24" s="871">
        <f t="shared" si="0"/>
        <v>0</v>
      </c>
    </row>
    <row r="25" spans="1:6" s="17" customFormat="1" ht="30" customHeight="1">
      <c r="A25" s="642" t="s">
        <v>514</v>
      </c>
      <c r="B25" s="643"/>
      <c r="C25" s="644" t="s">
        <v>515</v>
      </c>
      <c r="D25" s="870">
        <v>0</v>
      </c>
      <c r="E25" s="870">
        <v>0</v>
      </c>
      <c r="F25" s="871">
        <f t="shared" si="0"/>
        <v>0</v>
      </c>
    </row>
    <row r="26" spans="1:6" s="17" customFormat="1" ht="30" customHeight="1">
      <c r="A26" s="642" t="s">
        <v>516</v>
      </c>
      <c r="B26" s="643"/>
      <c r="C26" s="644" t="s">
        <v>517</v>
      </c>
      <c r="D26" s="870">
        <v>0</v>
      </c>
      <c r="E26" s="870">
        <v>0</v>
      </c>
      <c r="F26" s="871">
        <f t="shared" si="0"/>
        <v>0</v>
      </c>
    </row>
    <row r="27" spans="1:6" s="17" customFormat="1" ht="30" customHeight="1">
      <c r="A27" s="642" t="s">
        <v>518</v>
      </c>
      <c r="B27" s="643"/>
      <c r="C27" s="644" t="s">
        <v>519</v>
      </c>
      <c r="D27" s="870">
        <v>0</v>
      </c>
      <c r="E27" s="870">
        <v>0</v>
      </c>
      <c r="F27" s="871">
        <f t="shared" si="0"/>
        <v>0</v>
      </c>
    </row>
    <row r="28" spans="1:6" s="17" customFormat="1" ht="30" customHeight="1">
      <c r="A28" s="642" t="s">
        <v>520</v>
      </c>
      <c r="B28" s="643"/>
      <c r="C28" s="644" t="s">
        <v>521</v>
      </c>
      <c r="D28" s="870">
        <v>0</v>
      </c>
      <c r="E28" s="870">
        <v>0</v>
      </c>
      <c r="F28" s="871">
        <f t="shared" si="0"/>
        <v>0</v>
      </c>
    </row>
    <row r="29" spans="1:6" s="17" customFormat="1" ht="30" customHeight="1">
      <c r="A29" s="642" t="s">
        <v>522</v>
      </c>
      <c r="B29" s="643"/>
      <c r="C29" s="644" t="s">
        <v>523</v>
      </c>
      <c r="D29" s="870">
        <v>0</v>
      </c>
      <c r="E29" s="870">
        <v>0</v>
      </c>
      <c r="F29" s="871">
        <f t="shared" si="0"/>
        <v>0</v>
      </c>
    </row>
    <row r="30" spans="1:6" s="17" customFormat="1" ht="30" customHeight="1">
      <c r="A30" s="642" t="s">
        <v>524</v>
      </c>
      <c r="B30" s="643"/>
      <c r="C30" s="644" t="s">
        <v>525</v>
      </c>
      <c r="D30" s="870">
        <v>0</v>
      </c>
      <c r="E30" s="870">
        <v>0</v>
      </c>
      <c r="F30" s="871">
        <f t="shared" si="0"/>
        <v>0</v>
      </c>
    </row>
    <row r="31" spans="1:6" s="17" customFormat="1" ht="30" customHeight="1">
      <c r="A31" s="642" t="s">
        <v>526</v>
      </c>
      <c r="B31" s="643"/>
      <c r="C31" s="644" t="s">
        <v>527</v>
      </c>
      <c r="D31" s="870">
        <v>0</v>
      </c>
      <c r="E31" s="870">
        <v>0</v>
      </c>
      <c r="F31" s="871">
        <f t="shared" si="0"/>
        <v>0</v>
      </c>
    </row>
    <row r="32" spans="1:6" s="17" customFormat="1" ht="30" customHeight="1">
      <c r="A32" s="642" t="s">
        <v>528</v>
      </c>
      <c r="B32" s="643"/>
      <c r="C32" s="644" t="s">
        <v>529</v>
      </c>
      <c r="D32" s="870">
        <v>0</v>
      </c>
      <c r="E32" s="870">
        <v>0</v>
      </c>
      <c r="F32" s="871">
        <f>+D32+E32</f>
        <v>0</v>
      </c>
    </row>
    <row r="33" spans="1:6" s="17" customFormat="1" ht="30" customHeight="1">
      <c r="A33" s="642" t="s">
        <v>530</v>
      </c>
      <c r="B33" s="643"/>
      <c r="C33" s="644" t="s">
        <v>531</v>
      </c>
      <c r="D33" s="870">
        <v>0</v>
      </c>
      <c r="E33" s="870">
        <v>0</v>
      </c>
      <c r="F33" s="871">
        <f t="shared" si="0"/>
        <v>0</v>
      </c>
    </row>
    <row r="34" spans="1:6" s="17" customFormat="1" ht="30" customHeight="1">
      <c r="A34" s="642" t="s">
        <v>532</v>
      </c>
      <c r="B34" s="643"/>
      <c r="C34" s="644" t="s">
        <v>533</v>
      </c>
      <c r="D34" s="870">
        <v>0</v>
      </c>
      <c r="E34" s="870">
        <v>0</v>
      </c>
      <c r="F34" s="871">
        <f t="shared" si="0"/>
        <v>0</v>
      </c>
    </row>
    <row r="35" spans="1:6" s="17" customFormat="1" ht="30" customHeight="1">
      <c r="A35" s="642" t="s">
        <v>534</v>
      </c>
      <c r="B35" s="643"/>
      <c r="C35" s="644">
        <v>56001</v>
      </c>
      <c r="D35" s="870">
        <v>0</v>
      </c>
      <c r="E35" s="870">
        <v>0</v>
      </c>
      <c r="F35" s="871">
        <f>+D35+E35</f>
        <v>0</v>
      </c>
    </row>
    <row r="36" spans="1:6" s="17" customFormat="1" ht="30" customHeight="1">
      <c r="A36" s="642" t="s">
        <v>535</v>
      </c>
      <c r="B36" s="643"/>
      <c r="C36" s="644">
        <v>56002</v>
      </c>
      <c r="D36" s="870">
        <v>0</v>
      </c>
      <c r="E36" s="870">
        <v>0</v>
      </c>
      <c r="F36" s="871">
        <f>+D36+E36</f>
        <v>0</v>
      </c>
    </row>
    <row r="37" spans="1:6" s="17" customFormat="1" ht="30" customHeight="1">
      <c r="A37" s="642" t="s">
        <v>536</v>
      </c>
      <c r="B37" s="643"/>
      <c r="C37" s="644">
        <v>56003</v>
      </c>
      <c r="D37" s="870">
        <v>0</v>
      </c>
      <c r="E37" s="870">
        <v>0</v>
      </c>
      <c r="F37" s="871">
        <f>+D37+E37</f>
        <v>0</v>
      </c>
    </row>
    <row r="38" spans="1:6" s="17" customFormat="1" ht="30" customHeight="1">
      <c r="A38" s="642" t="s">
        <v>537</v>
      </c>
      <c r="B38" s="643"/>
      <c r="C38" s="644" t="s">
        <v>538</v>
      </c>
      <c r="D38" s="870">
        <v>0</v>
      </c>
      <c r="E38" s="870">
        <v>0</v>
      </c>
      <c r="F38" s="871">
        <f>+D38+E38</f>
        <v>0</v>
      </c>
    </row>
    <row r="39" spans="1:6" s="17" customFormat="1" ht="30" customHeight="1">
      <c r="A39" s="642" t="s">
        <v>539</v>
      </c>
      <c r="B39" s="643"/>
      <c r="C39" s="644" t="s">
        <v>540</v>
      </c>
      <c r="D39" s="870">
        <v>0</v>
      </c>
      <c r="E39" s="870">
        <v>0</v>
      </c>
      <c r="F39" s="871">
        <f t="shared" si="0"/>
        <v>0</v>
      </c>
    </row>
    <row r="40" spans="1:6" s="17" customFormat="1" ht="30" customHeight="1">
      <c r="A40" s="642" t="s">
        <v>541</v>
      </c>
      <c r="B40" s="643"/>
      <c r="C40" s="644" t="s">
        <v>542</v>
      </c>
      <c r="D40" s="870">
        <v>0</v>
      </c>
      <c r="E40" s="870">
        <v>0</v>
      </c>
      <c r="F40" s="871">
        <f t="shared" si="0"/>
        <v>0</v>
      </c>
    </row>
    <row r="41" spans="1:6" s="17" customFormat="1" ht="30" customHeight="1">
      <c r="A41" s="642" t="s">
        <v>543</v>
      </c>
      <c r="B41" s="643"/>
      <c r="C41" s="644" t="s">
        <v>544</v>
      </c>
      <c r="D41" s="870">
        <v>0</v>
      </c>
      <c r="E41" s="870">
        <v>0</v>
      </c>
      <c r="F41" s="871">
        <f t="shared" si="0"/>
        <v>0</v>
      </c>
    </row>
    <row r="42" spans="1:6" s="17" customFormat="1" ht="30" customHeight="1">
      <c r="A42" s="642" t="s">
        <v>545</v>
      </c>
      <c r="B42" s="643"/>
      <c r="C42" s="644" t="s">
        <v>546</v>
      </c>
      <c r="D42" s="870">
        <v>0</v>
      </c>
      <c r="E42" s="870">
        <v>0</v>
      </c>
      <c r="F42" s="871">
        <f t="shared" si="0"/>
        <v>0</v>
      </c>
    </row>
    <row r="43" spans="1:6" s="17" customFormat="1" ht="30" customHeight="1">
      <c r="A43" s="642" t="s">
        <v>547</v>
      </c>
      <c r="B43" s="643"/>
      <c r="C43" s="644" t="s">
        <v>548</v>
      </c>
      <c r="D43" s="870">
        <v>0</v>
      </c>
      <c r="E43" s="870">
        <v>0</v>
      </c>
      <c r="F43" s="871">
        <f t="shared" si="0"/>
        <v>0</v>
      </c>
    </row>
    <row r="44" spans="1:6" s="17" customFormat="1" ht="30" customHeight="1">
      <c r="A44" s="642" t="s">
        <v>549</v>
      </c>
      <c r="B44" s="643"/>
      <c r="C44" s="644" t="s">
        <v>550</v>
      </c>
      <c r="D44" s="870">
        <v>0</v>
      </c>
      <c r="E44" s="870">
        <v>0</v>
      </c>
      <c r="F44" s="871">
        <f t="shared" si="0"/>
        <v>0</v>
      </c>
    </row>
    <row r="45" spans="1:6" s="17" customFormat="1" ht="30" customHeight="1">
      <c r="A45" s="642" t="s">
        <v>551</v>
      </c>
      <c r="B45" s="643"/>
      <c r="C45" s="644" t="s">
        <v>552</v>
      </c>
      <c r="D45" s="870">
        <v>0</v>
      </c>
      <c r="E45" s="870">
        <v>0</v>
      </c>
      <c r="F45" s="871">
        <f t="shared" si="0"/>
        <v>0</v>
      </c>
    </row>
    <row r="46" spans="1:6" s="17" customFormat="1" ht="30" customHeight="1">
      <c r="A46" s="642" t="s">
        <v>553</v>
      </c>
      <c r="B46" s="643"/>
      <c r="C46" s="644" t="s">
        <v>554</v>
      </c>
      <c r="D46" s="870">
        <v>0</v>
      </c>
      <c r="E46" s="870">
        <v>0</v>
      </c>
      <c r="F46" s="871">
        <f t="shared" si="0"/>
        <v>0</v>
      </c>
    </row>
    <row r="47" spans="1:6" s="17" customFormat="1" ht="30" customHeight="1">
      <c r="A47" s="642" t="s">
        <v>555</v>
      </c>
      <c r="B47" s="643"/>
      <c r="C47" s="644" t="s">
        <v>556</v>
      </c>
      <c r="D47" s="870">
        <v>0</v>
      </c>
      <c r="E47" s="870">
        <v>0</v>
      </c>
      <c r="F47" s="871">
        <f t="shared" si="0"/>
        <v>0</v>
      </c>
    </row>
    <row r="48" spans="1:6" s="17" customFormat="1" ht="30" customHeight="1">
      <c r="A48" s="642" t="s">
        <v>557</v>
      </c>
      <c r="B48" s="643"/>
      <c r="C48" s="644" t="s">
        <v>558</v>
      </c>
      <c r="D48" s="870">
        <v>0</v>
      </c>
      <c r="E48" s="870">
        <v>0</v>
      </c>
      <c r="F48" s="871">
        <f t="shared" si="0"/>
        <v>0</v>
      </c>
    </row>
    <row r="49" spans="1:6" s="17" customFormat="1" ht="30" customHeight="1">
      <c r="A49" s="642" t="s">
        <v>559</v>
      </c>
      <c r="B49" s="643"/>
      <c r="C49" s="644" t="s">
        <v>560</v>
      </c>
      <c r="D49" s="870">
        <v>0</v>
      </c>
      <c r="E49" s="870">
        <v>0</v>
      </c>
      <c r="F49" s="871">
        <f t="shared" si="0"/>
        <v>0</v>
      </c>
    </row>
    <row r="50" spans="1:6" s="17" customFormat="1" ht="30" customHeight="1">
      <c r="A50" s="642" t="s">
        <v>561</v>
      </c>
      <c r="B50" s="643"/>
      <c r="C50" s="644" t="s">
        <v>562</v>
      </c>
      <c r="D50" s="870">
        <v>0</v>
      </c>
      <c r="E50" s="870">
        <v>0</v>
      </c>
      <c r="F50" s="871">
        <f t="shared" si="0"/>
        <v>0</v>
      </c>
    </row>
    <row r="51" spans="1:6" s="17" customFormat="1" ht="30" customHeight="1">
      <c r="A51" s="642" t="s">
        <v>563</v>
      </c>
      <c r="B51" s="643"/>
      <c r="C51" s="644" t="s">
        <v>564</v>
      </c>
      <c r="D51" s="870">
        <v>0</v>
      </c>
      <c r="E51" s="870">
        <v>0</v>
      </c>
      <c r="F51" s="871">
        <f t="shared" si="0"/>
        <v>0</v>
      </c>
    </row>
    <row r="52" spans="1:6" s="17" customFormat="1" ht="30" customHeight="1">
      <c r="A52" s="642" t="s">
        <v>565</v>
      </c>
      <c r="B52" s="643"/>
      <c r="C52" s="644" t="s">
        <v>566</v>
      </c>
      <c r="D52" s="870">
        <v>0</v>
      </c>
      <c r="E52" s="870">
        <v>0</v>
      </c>
      <c r="F52" s="871">
        <f t="shared" si="0"/>
        <v>0</v>
      </c>
    </row>
    <row r="53" spans="1:6" s="17" customFormat="1" ht="30" customHeight="1">
      <c r="A53" s="642" t="s">
        <v>695</v>
      </c>
      <c r="B53" s="643"/>
      <c r="C53" s="644" t="s">
        <v>696</v>
      </c>
      <c r="D53" s="870">
        <v>0</v>
      </c>
      <c r="E53" s="870">
        <v>0</v>
      </c>
      <c r="F53" s="871">
        <f>+D53+E53</f>
        <v>0</v>
      </c>
    </row>
    <row r="54" spans="1:6" s="17" customFormat="1" ht="30" customHeight="1">
      <c r="A54" s="642" t="s">
        <v>568</v>
      </c>
      <c r="B54" s="643"/>
      <c r="C54" s="644" t="s">
        <v>569</v>
      </c>
      <c r="D54" s="870">
        <v>0</v>
      </c>
      <c r="E54" s="870">
        <v>0</v>
      </c>
      <c r="F54" s="871">
        <f t="shared" si="0"/>
        <v>0</v>
      </c>
    </row>
    <row r="55" spans="1:6" s="17" customFormat="1" ht="30" customHeight="1">
      <c r="A55" s="642" t="s">
        <v>570</v>
      </c>
      <c r="B55" s="643"/>
      <c r="C55" s="644" t="s">
        <v>571</v>
      </c>
      <c r="D55" s="870">
        <v>0</v>
      </c>
      <c r="E55" s="870">
        <v>0</v>
      </c>
      <c r="F55" s="871">
        <f t="shared" si="0"/>
        <v>0</v>
      </c>
    </row>
    <row r="56" spans="1:6" s="17" customFormat="1" ht="30" customHeight="1" thickBot="1">
      <c r="A56" s="645" t="s">
        <v>572</v>
      </c>
      <c r="B56" s="646"/>
      <c r="C56" s="647" t="s">
        <v>573</v>
      </c>
      <c r="D56" s="870">
        <v>0</v>
      </c>
      <c r="E56" s="648">
        <v>0</v>
      </c>
      <c r="F56" s="649">
        <f t="shared" si="0"/>
        <v>0</v>
      </c>
    </row>
    <row r="57" spans="1:6" s="177" customFormat="1" ht="30" customHeight="1" thickBot="1">
      <c r="A57" s="264" t="s">
        <v>574</v>
      </c>
      <c r="B57" s="265"/>
      <c r="C57" s="567"/>
      <c r="D57" s="270">
        <f>SUM(D10:D56)</f>
        <v>301154</v>
      </c>
      <c r="E57" s="270">
        <f>SUM(E10:E56)</f>
        <v>0</v>
      </c>
      <c r="F57" s="270">
        <f t="shared" si="0"/>
        <v>301154</v>
      </c>
    </row>
    <row r="58" spans="1:6" s="17" customFormat="1" ht="30" customHeight="1">
      <c r="A58" s="237"/>
      <c r="B58" s="238"/>
      <c r="C58" s="568"/>
      <c r="D58" s="569"/>
      <c r="E58" s="569"/>
      <c r="F58" s="569"/>
    </row>
    <row r="59" spans="1:6" s="17" customFormat="1" ht="30" customHeight="1">
      <c r="A59" s="239"/>
      <c r="B59" s="239"/>
      <c r="C59" s="239"/>
      <c r="D59" s="240"/>
      <c r="E59" s="240"/>
      <c r="F59" s="240"/>
    </row>
    <row r="60" spans="1:6" s="17" customFormat="1" ht="30" customHeight="1" thickBot="1">
      <c r="A60" s="239"/>
      <c r="B60" s="239"/>
      <c r="C60" s="239"/>
      <c r="D60" s="240"/>
      <c r="E60" s="240"/>
      <c r="F60" s="240"/>
    </row>
    <row r="61" spans="1:6" s="17" customFormat="1" ht="30" customHeight="1" thickBot="1">
      <c r="A61" s="230"/>
      <c r="B61" s="231"/>
      <c r="C61" s="736" t="str">
        <f>C7</f>
        <v>2023-24</v>
      </c>
      <c r="D61" s="737"/>
      <c r="E61" s="737"/>
      <c r="F61" s="738"/>
    </row>
    <row r="62" spans="1:6" s="17" customFormat="1" ht="111.6" customHeight="1" thickBot="1">
      <c r="A62" s="845" t="s">
        <v>690</v>
      </c>
      <c r="B62" s="846"/>
      <c r="C62" s="233" t="s">
        <v>340</v>
      </c>
      <c r="D62" s="234" t="s">
        <v>691</v>
      </c>
      <c r="E62" s="565" t="s">
        <v>692</v>
      </c>
      <c r="F62" s="233" t="s">
        <v>693</v>
      </c>
    </row>
    <row r="63" spans="1:6" s="17" customFormat="1" ht="30" customHeight="1" thickBot="1">
      <c r="A63" s="740" t="s">
        <v>202</v>
      </c>
      <c r="B63" s="741"/>
      <c r="C63" s="241"/>
      <c r="D63" s="242"/>
      <c r="E63" s="242"/>
      <c r="F63" s="242"/>
    </row>
    <row r="64" spans="1:6" s="17" customFormat="1" ht="30" customHeight="1">
      <c r="A64" s="235" t="s">
        <v>576</v>
      </c>
      <c r="B64" s="243"/>
      <c r="C64" s="244" t="s">
        <v>577</v>
      </c>
      <c r="D64" s="459">
        <v>2550</v>
      </c>
      <c r="E64" s="459">
        <v>0</v>
      </c>
      <c r="F64" s="236">
        <f t="shared" si="0"/>
        <v>2550</v>
      </c>
    </row>
    <row r="65" spans="1:6" s="17" customFormat="1" ht="30" customHeight="1">
      <c r="A65" s="642" t="s">
        <v>578</v>
      </c>
      <c r="B65" s="643"/>
      <c r="C65" s="869" t="s">
        <v>579</v>
      </c>
      <c r="D65" s="870">
        <v>300</v>
      </c>
      <c r="E65" s="870">
        <v>0</v>
      </c>
      <c r="F65" s="871">
        <f t="shared" si="0"/>
        <v>300</v>
      </c>
    </row>
    <row r="66" spans="1:6" s="17" customFormat="1" ht="30" customHeight="1">
      <c r="A66" s="642" t="s">
        <v>580</v>
      </c>
      <c r="B66" s="643"/>
      <c r="C66" s="869" t="s">
        <v>581</v>
      </c>
      <c r="D66" s="870">
        <v>0</v>
      </c>
      <c r="E66" s="870">
        <v>0</v>
      </c>
      <c r="F66" s="871">
        <f t="shared" si="0"/>
        <v>0</v>
      </c>
    </row>
    <row r="67" spans="1:6" s="17" customFormat="1" ht="30" customHeight="1">
      <c r="A67" s="642" t="s">
        <v>582</v>
      </c>
      <c r="B67" s="643"/>
      <c r="C67" s="869" t="s">
        <v>583</v>
      </c>
      <c r="D67" s="870">
        <v>500</v>
      </c>
      <c r="E67" s="870">
        <v>0</v>
      </c>
      <c r="F67" s="871">
        <f t="shared" si="0"/>
        <v>500</v>
      </c>
    </row>
    <row r="68" spans="1:6" s="17" customFormat="1" ht="30" customHeight="1">
      <c r="A68" s="642" t="s">
        <v>697</v>
      </c>
      <c r="B68" s="643"/>
      <c r="C68" s="869" t="s">
        <v>585</v>
      </c>
      <c r="D68" s="870">
        <v>500</v>
      </c>
      <c r="E68" s="870">
        <v>0</v>
      </c>
      <c r="F68" s="871">
        <f t="shared" si="0"/>
        <v>500</v>
      </c>
    </row>
    <row r="69" spans="1:6" s="17" customFormat="1" ht="30" customHeight="1">
      <c r="A69" s="642" t="s">
        <v>586</v>
      </c>
      <c r="B69" s="643"/>
      <c r="C69" s="869" t="s">
        <v>587</v>
      </c>
      <c r="D69" s="870">
        <v>500</v>
      </c>
      <c r="E69" s="870">
        <v>0</v>
      </c>
      <c r="F69" s="871">
        <f t="shared" si="0"/>
        <v>500</v>
      </c>
    </row>
    <row r="70" spans="1:6" s="17" customFormat="1" ht="30" customHeight="1">
      <c r="A70" s="872" t="s">
        <v>588</v>
      </c>
      <c r="B70" s="643"/>
      <c r="C70" s="869">
        <v>63100</v>
      </c>
      <c r="D70" s="870">
        <v>0</v>
      </c>
      <c r="E70" s="870">
        <v>0</v>
      </c>
      <c r="F70" s="871">
        <v>0</v>
      </c>
    </row>
    <row r="71" spans="1:6" s="17" customFormat="1" ht="30" customHeight="1">
      <c r="A71" s="642" t="s">
        <v>589</v>
      </c>
      <c r="B71" s="643"/>
      <c r="C71" s="869" t="s">
        <v>590</v>
      </c>
      <c r="D71" s="870">
        <v>0</v>
      </c>
      <c r="E71" s="870">
        <v>0</v>
      </c>
      <c r="F71" s="871">
        <f t="shared" si="0"/>
        <v>0</v>
      </c>
    </row>
    <row r="72" spans="1:6" s="17" customFormat="1" ht="30" customHeight="1">
      <c r="A72" s="642" t="s">
        <v>698</v>
      </c>
      <c r="B72" s="643"/>
      <c r="C72" s="869" t="s">
        <v>592</v>
      </c>
      <c r="D72" s="870">
        <v>0</v>
      </c>
      <c r="E72" s="870">
        <v>0</v>
      </c>
      <c r="F72" s="871">
        <f t="shared" si="0"/>
        <v>0</v>
      </c>
    </row>
    <row r="73" spans="1:6" s="17" customFormat="1" ht="30" customHeight="1">
      <c r="A73" s="642" t="s">
        <v>593</v>
      </c>
      <c r="B73" s="643"/>
      <c r="C73" s="869" t="s">
        <v>594</v>
      </c>
      <c r="D73" s="870">
        <v>2000</v>
      </c>
      <c r="E73" s="870">
        <v>0</v>
      </c>
      <c r="F73" s="871">
        <f t="shared" si="0"/>
        <v>2000</v>
      </c>
    </row>
    <row r="74" spans="1:6" s="17" customFormat="1" ht="30" customHeight="1">
      <c r="A74" s="642" t="s">
        <v>595</v>
      </c>
      <c r="B74" s="643"/>
      <c r="C74" s="869" t="s">
        <v>596</v>
      </c>
      <c r="D74" s="870">
        <v>0</v>
      </c>
      <c r="E74" s="870">
        <v>0</v>
      </c>
      <c r="F74" s="871">
        <f t="shared" si="0"/>
        <v>0</v>
      </c>
    </row>
    <row r="75" spans="1:6" s="17" customFormat="1" ht="30" customHeight="1">
      <c r="A75" s="642" t="s">
        <v>597</v>
      </c>
      <c r="B75" s="643"/>
      <c r="C75" s="869" t="s">
        <v>598</v>
      </c>
      <c r="D75" s="870">
        <v>0</v>
      </c>
      <c r="E75" s="870">
        <v>0</v>
      </c>
      <c r="F75" s="871">
        <f t="shared" ref="F75:F110" si="1">+D75+E75</f>
        <v>0</v>
      </c>
    </row>
    <row r="76" spans="1:6" s="17" customFormat="1" ht="30" customHeight="1">
      <c r="A76" s="642" t="s">
        <v>599</v>
      </c>
      <c r="B76" s="643"/>
      <c r="C76" s="869" t="s">
        <v>600</v>
      </c>
      <c r="D76" s="870">
        <v>4875</v>
      </c>
      <c r="E76" s="870">
        <v>0</v>
      </c>
      <c r="F76" s="871">
        <f t="shared" si="1"/>
        <v>4875</v>
      </c>
    </row>
    <row r="77" spans="1:6" s="17" customFormat="1" ht="30" customHeight="1">
      <c r="A77" s="642" t="s">
        <v>601</v>
      </c>
      <c r="B77" s="643"/>
      <c r="C77" s="869" t="s">
        <v>602</v>
      </c>
      <c r="D77" s="870">
        <v>16650</v>
      </c>
      <c r="E77" s="870">
        <v>0</v>
      </c>
      <c r="F77" s="871">
        <f t="shared" si="1"/>
        <v>16650</v>
      </c>
    </row>
    <row r="78" spans="1:6" s="17" customFormat="1" ht="30" customHeight="1">
      <c r="A78" s="642" t="s">
        <v>603</v>
      </c>
      <c r="B78" s="643"/>
      <c r="C78" s="869" t="s">
        <v>604</v>
      </c>
      <c r="D78" s="870">
        <v>400</v>
      </c>
      <c r="E78" s="870">
        <v>0</v>
      </c>
      <c r="F78" s="871">
        <f t="shared" si="1"/>
        <v>400</v>
      </c>
    </row>
    <row r="79" spans="1:6" s="17" customFormat="1" ht="30" customHeight="1">
      <c r="A79" s="642" t="s">
        <v>605</v>
      </c>
      <c r="B79" s="643"/>
      <c r="C79" s="869" t="s">
        <v>606</v>
      </c>
      <c r="D79" s="870">
        <v>0</v>
      </c>
      <c r="E79" s="870">
        <v>0</v>
      </c>
      <c r="F79" s="871">
        <f t="shared" si="1"/>
        <v>0</v>
      </c>
    </row>
    <row r="80" spans="1:6" s="17" customFormat="1" ht="30" customHeight="1">
      <c r="A80" s="642" t="s">
        <v>607</v>
      </c>
      <c r="B80" s="643"/>
      <c r="C80" s="869" t="s">
        <v>608</v>
      </c>
      <c r="D80" s="870">
        <v>1500</v>
      </c>
      <c r="E80" s="870">
        <v>0</v>
      </c>
      <c r="F80" s="871">
        <f t="shared" si="1"/>
        <v>1500</v>
      </c>
    </row>
    <row r="81" spans="1:6" s="17" customFormat="1" ht="30" customHeight="1">
      <c r="A81" s="642" t="s">
        <v>609</v>
      </c>
      <c r="B81" s="643"/>
      <c r="C81" s="869" t="s">
        <v>610</v>
      </c>
      <c r="D81" s="870">
        <v>0</v>
      </c>
      <c r="E81" s="870">
        <v>0</v>
      </c>
      <c r="F81" s="871">
        <f t="shared" ref="F81:F86" si="2">+D81+E81</f>
        <v>0</v>
      </c>
    </row>
    <row r="82" spans="1:6" s="17" customFormat="1" ht="30" customHeight="1">
      <c r="A82" s="642" t="s">
        <v>611</v>
      </c>
      <c r="B82" s="643"/>
      <c r="C82" s="869" t="s">
        <v>612</v>
      </c>
      <c r="D82" s="870">
        <v>0</v>
      </c>
      <c r="E82" s="870">
        <v>0</v>
      </c>
      <c r="F82" s="871">
        <f t="shared" si="2"/>
        <v>0</v>
      </c>
    </row>
    <row r="83" spans="1:6" s="17" customFormat="1" ht="30" customHeight="1">
      <c r="A83" s="642" t="s">
        <v>613</v>
      </c>
      <c r="B83" s="643"/>
      <c r="C83" s="869" t="s">
        <v>614</v>
      </c>
      <c r="D83" s="870">
        <v>0</v>
      </c>
      <c r="E83" s="870">
        <v>0</v>
      </c>
      <c r="F83" s="871">
        <f t="shared" si="2"/>
        <v>0</v>
      </c>
    </row>
    <row r="84" spans="1:6" s="17" customFormat="1" ht="30" customHeight="1">
      <c r="A84" s="642" t="s">
        <v>615</v>
      </c>
      <c r="B84" s="643"/>
      <c r="C84" s="869" t="s">
        <v>616</v>
      </c>
      <c r="D84" s="870">
        <v>0</v>
      </c>
      <c r="E84" s="870">
        <v>0</v>
      </c>
      <c r="F84" s="871">
        <f t="shared" si="2"/>
        <v>0</v>
      </c>
    </row>
    <row r="85" spans="1:6" s="17" customFormat="1" ht="30" customHeight="1">
      <c r="A85" s="642" t="s">
        <v>617</v>
      </c>
      <c r="B85" s="643"/>
      <c r="C85" s="869" t="s">
        <v>618</v>
      </c>
      <c r="D85" s="870">
        <v>0</v>
      </c>
      <c r="E85" s="870">
        <v>0</v>
      </c>
      <c r="F85" s="871">
        <f t="shared" si="2"/>
        <v>0</v>
      </c>
    </row>
    <row r="86" spans="1:6" s="17" customFormat="1" ht="30" customHeight="1">
      <c r="A86" s="642" t="s">
        <v>619</v>
      </c>
      <c r="B86" s="643"/>
      <c r="C86" s="869" t="s">
        <v>620</v>
      </c>
      <c r="D86" s="870">
        <v>0</v>
      </c>
      <c r="E86" s="870">
        <v>0</v>
      </c>
      <c r="F86" s="871">
        <f t="shared" si="2"/>
        <v>0</v>
      </c>
    </row>
    <row r="87" spans="1:6" s="17" customFormat="1" ht="30" customHeight="1">
      <c r="A87" s="642" t="s">
        <v>621</v>
      </c>
      <c r="B87" s="643"/>
      <c r="C87" s="869" t="s">
        <v>622</v>
      </c>
      <c r="D87" s="870">
        <v>0</v>
      </c>
      <c r="E87" s="870">
        <v>0</v>
      </c>
      <c r="F87" s="871">
        <f t="shared" si="1"/>
        <v>0</v>
      </c>
    </row>
    <row r="88" spans="1:6" s="17" customFormat="1" ht="30" customHeight="1">
      <c r="A88" s="642" t="s">
        <v>699</v>
      </c>
      <c r="B88" s="643"/>
      <c r="C88" s="869">
        <v>69100</v>
      </c>
      <c r="D88" s="870">
        <v>0</v>
      </c>
      <c r="E88" s="870">
        <v>0</v>
      </c>
      <c r="F88" s="871">
        <f t="shared" si="1"/>
        <v>0</v>
      </c>
    </row>
    <row r="89" spans="1:6" s="17" customFormat="1" ht="30" customHeight="1">
      <c r="A89" s="642" t="s">
        <v>700</v>
      </c>
      <c r="B89" s="643"/>
      <c r="C89" s="869">
        <v>69200</v>
      </c>
      <c r="D89" s="870">
        <v>0</v>
      </c>
      <c r="E89" s="870">
        <v>0</v>
      </c>
      <c r="F89" s="871">
        <f t="shared" si="1"/>
        <v>0</v>
      </c>
    </row>
    <row r="90" spans="1:6" s="17" customFormat="1" ht="30" customHeight="1">
      <c r="A90" s="642" t="s">
        <v>625</v>
      </c>
      <c r="B90" s="643"/>
      <c r="C90" s="869" t="s">
        <v>626</v>
      </c>
      <c r="D90" s="870">
        <v>0</v>
      </c>
      <c r="E90" s="870">
        <v>0</v>
      </c>
      <c r="F90" s="871">
        <f t="shared" si="1"/>
        <v>0</v>
      </c>
    </row>
    <row r="91" spans="1:6" s="17" customFormat="1" ht="30" customHeight="1">
      <c r="A91" s="642" t="s">
        <v>478</v>
      </c>
      <c r="B91" s="643"/>
      <c r="C91" s="869" t="s">
        <v>628</v>
      </c>
      <c r="D91" s="870">
        <v>0</v>
      </c>
      <c r="E91" s="870">
        <v>0</v>
      </c>
      <c r="F91" s="871">
        <f t="shared" si="1"/>
        <v>0</v>
      </c>
    </row>
    <row r="92" spans="1:6" s="17" customFormat="1" ht="30" customHeight="1" thickBot="1">
      <c r="A92" s="645" t="s">
        <v>629</v>
      </c>
      <c r="B92" s="646"/>
      <c r="C92" s="650" t="s">
        <v>630</v>
      </c>
      <c r="D92" s="870">
        <v>0</v>
      </c>
      <c r="E92" s="870">
        <v>0</v>
      </c>
      <c r="F92" s="649">
        <f t="shared" si="1"/>
        <v>0</v>
      </c>
    </row>
    <row r="93" spans="1:6" s="17" customFormat="1" ht="30" customHeight="1" thickBot="1">
      <c r="A93" s="734" t="s">
        <v>701</v>
      </c>
      <c r="B93" s="739"/>
      <c r="C93" s="267"/>
      <c r="D93" s="266">
        <f>SUM(D64:D92)</f>
        <v>29775</v>
      </c>
      <c r="E93" s="266">
        <f>SUM(E64:E92)</f>
        <v>0</v>
      </c>
      <c r="F93" s="266">
        <f t="shared" si="1"/>
        <v>29775</v>
      </c>
    </row>
    <row r="94" spans="1:6" s="17" customFormat="1" ht="30" customHeight="1">
      <c r="A94" s="245"/>
      <c r="B94" s="245"/>
      <c r="C94" s="245"/>
      <c r="D94" s="246"/>
      <c r="E94" s="246"/>
      <c r="F94" s="246"/>
    </row>
    <row r="95" spans="1:6" s="17" customFormat="1" ht="30" customHeight="1" thickBot="1">
      <c r="A95" s="245"/>
      <c r="B95" s="245"/>
      <c r="C95" s="245"/>
      <c r="D95" s="246"/>
      <c r="E95" s="246"/>
      <c r="F95" s="246"/>
    </row>
    <row r="96" spans="1:6" s="17" customFormat="1" ht="30" customHeight="1" thickBot="1">
      <c r="A96" s="247"/>
      <c r="B96" s="247"/>
      <c r="C96" s="736" t="str">
        <f>C7</f>
        <v>2023-24</v>
      </c>
      <c r="D96" s="737"/>
      <c r="E96" s="737"/>
      <c r="F96" s="738"/>
    </row>
    <row r="97" spans="1:6" s="17" customFormat="1" ht="111.6" customHeight="1" thickBot="1">
      <c r="A97" s="847" t="s">
        <v>203</v>
      </c>
      <c r="B97" s="848"/>
      <c r="C97" s="233" t="s">
        <v>340</v>
      </c>
      <c r="D97" s="234" t="s">
        <v>691</v>
      </c>
      <c r="E97" s="565" t="s">
        <v>692</v>
      </c>
      <c r="F97" s="233" t="s">
        <v>693</v>
      </c>
    </row>
    <row r="98" spans="1:6" s="17" customFormat="1" ht="30" customHeight="1" thickBot="1">
      <c r="A98" s="235" t="s">
        <v>632</v>
      </c>
      <c r="B98" s="243"/>
      <c r="C98" s="244" t="s">
        <v>633</v>
      </c>
      <c r="D98" s="459">
        <v>0</v>
      </c>
      <c r="E98" s="459">
        <v>0</v>
      </c>
      <c r="F98" s="236">
        <f t="shared" si="1"/>
        <v>0</v>
      </c>
    </row>
    <row r="99" spans="1:6" s="17" customFormat="1" ht="30" customHeight="1" thickBot="1">
      <c r="A99" s="642" t="s">
        <v>702</v>
      </c>
      <c r="B99" s="643"/>
      <c r="C99" s="869" t="s">
        <v>635</v>
      </c>
      <c r="D99" s="459">
        <v>0</v>
      </c>
      <c r="E99" s="870">
        <v>0</v>
      </c>
      <c r="F99" s="871">
        <f t="shared" si="1"/>
        <v>0</v>
      </c>
    </row>
    <row r="100" spans="1:6" s="17" customFormat="1" ht="30" customHeight="1" thickBot="1">
      <c r="A100" s="642" t="s">
        <v>636</v>
      </c>
      <c r="B100" s="643"/>
      <c r="C100" s="869" t="s">
        <v>637</v>
      </c>
      <c r="D100" s="459">
        <v>0</v>
      </c>
      <c r="E100" s="870">
        <v>0</v>
      </c>
      <c r="F100" s="871">
        <f t="shared" si="1"/>
        <v>0</v>
      </c>
    </row>
    <row r="101" spans="1:6" s="17" customFormat="1" ht="30" customHeight="1" thickBot="1">
      <c r="A101" s="642" t="s">
        <v>638</v>
      </c>
      <c r="B101" s="643"/>
      <c r="C101" s="869" t="s">
        <v>639</v>
      </c>
      <c r="D101" s="459">
        <v>0</v>
      </c>
      <c r="E101" s="870">
        <v>0</v>
      </c>
      <c r="F101" s="871">
        <f t="shared" si="1"/>
        <v>0</v>
      </c>
    </row>
    <row r="102" spans="1:6" s="17" customFormat="1" ht="30" customHeight="1" thickBot="1">
      <c r="A102" s="642" t="s">
        <v>644</v>
      </c>
      <c r="B102" s="643"/>
      <c r="C102" s="869" t="s">
        <v>645</v>
      </c>
      <c r="D102" s="459">
        <v>0</v>
      </c>
      <c r="E102" s="870">
        <v>0</v>
      </c>
      <c r="F102" s="871">
        <f t="shared" si="1"/>
        <v>0</v>
      </c>
    </row>
    <row r="103" spans="1:6" s="17" customFormat="1" ht="30" customHeight="1" thickBot="1">
      <c r="A103" s="945" t="s">
        <v>640</v>
      </c>
      <c r="B103" s="946"/>
      <c r="C103" s="1131">
        <v>73001</v>
      </c>
      <c r="D103" s="459">
        <v>0</v>
      </c>
      <c r="E103" s="1132">
        <v>0</v>
      </c>
      <c r="F103" s="1090">
        <f t="shared" si="1"/>
        <v>0</v>
      </c>
    </row>
    <row r="104" spans="1:6" s="17" customFormat="1" ht="30" customHeight="1" thickBot="1">
      <c r="A104" s="947" t="s">
        <v>641</v>
      </c>
      <c r="B104" s="948"/>
      <c r="C104" s="949">
        <v>73002</v>
      </c>
      <c r="D104" s="459">
        <v>0</v>
      </c>
      <c r="E104" s="968">
        <v>0</v>
      </c>
      <c r="F104" s="907">
        <f t="shared" si="1"/>
        <v>0</v>
      </c>
    </row>
    <row r="105" spans="1:6" s="17" customFormat="1" ht="30" customHeight="1" thickBot="1">
      <c r="A105" s="642" t="s">
        <v>642</v>
      </c>
      <c r="B105" s="643"/>
      <c r="C105" s="1133">
        <v>73050</v>
      </c>
      <c r="D105" s="459">
        <v>0</v>
      </c>
      <c r="E105" s="1134">
        <v>0</v>
      </c>
      <c r="F105" s="1135">
        <f>+D105+E105</f>
        <v>0</v>
      </c>
    </row>
    <row r="106" spans="1:6" s="17" customFormat="1" ht="30" customHeight="1" thickBot="1">
      <c r="A106" s="872" t="s">
        <v>643</v>
      </c>
      <c r="B106" s="643"/>
      <c r="C106" s="869">
        <v>73100</v>
      </c>
      <c r="D106" s="459">
        <v>0</v>
      </c>
      <c r="E106" s="870">
        <v>0</v>
      </c>
      <c r="F106" s="1135">
        <f>+D106+E106</f>
        <v>0</v>
      </c>
    </row>
    <row r="107" spans="1:6" s="17" customFormat="1" ht="47.25" customHeight="1" thickBot="1">
      <c r="A107" s="928" t="s">
        <v>703</v>
      </c>
      <c r="B107" s="929"/>
      <c r="C107" s="869" t="s">
        <v>647</v>
      </c>
      <c r="D107" s="459">
        <v>0</v>
      </c>
      <c r="E107" s="870">
        <v>0</v>
      </c>
      <c r="F107" s="871">
        <f t="shared" si="1"/>
        <v>0</v>
      </c>
    </row>
    <row r="108" spans="1:6" s="17" customFormat="1" ht="30" customHeight="1" thickBot="1">
      <c r="A108" s="642" t="s">
        <v>648</v>
      </c>
      <c r="B108" s="643"/>
      <c r="C108" s="869" t="s">
        <v>649</v>
      </c>
      <c r="D108" s="459">
        <v>0</v>
      </c>
      <c r="E108" s="870">
        <v>0</v>
      </c>
      <c r="F108" s="871">
        <f t="shared" si="1"/>
        <v>0</v>
      </c>
    </row>
    <row r="109" spans="1:6" s="17" customFormat="1" ht="30" customHeight="1">
      <c r="A109" s="642" t="s">
        <v>650</v>
      </c>
      <c r="B109" s="643"/>
      <c r="C109" s="869" t="s">
        <v>651</v>
      </c>
      <c r="D109" s="459">
        <v>0</v>
      </c>
      <c r="E109" s="870">
        <v>0</v>
      </c>
      <c r="F109" s="871">
        <f t="shared" si="1"/>
        <v>0</v>
      </c>
    </row>
    <row r="110" spans="1:6" s="17" customFormat="1" ht="30" customHeight="1" thickBot="1">
      <c r="A110" s="645" t="s">
        <v>652</v>
      </c>
      <c r="B110" s="646"/>
      <c r="C110" s="650" t="s">
        <v>653</v>
      </c>
      <c r="D110" s="648">
        <v>0</v>
      </c>
      <c r="E110" s="648">
        <v>0</v>
      </c>
      <c r="F110" s="649">
        <f t="shared" si="1"/>
        <v>0</v>
      </c>
    </row>
    <row r="111" spans="1:6" s="17" customFormat="1" ht="30" customHeight="1" thickBot="1">
      <c r="A111" s="268" t="s">
        <v>654</v>
      </c>
      <c r="B111" s="269"/>
      <c r="C111" s="269"/>
      <c r="D111" s="270">
        <f>SUM(D98:D110)</f>
        <v>0</v>
      </c>
      <c r="E111" s="270">
        <f>SUM(E98:E110)</f>
        <v>0</v>
      </c>
      <c r="F111" s="270">
        <f>SUM(D111:E111)</f>
        <v>0</v>
      </c>
    </row>
    <row r="112" spans="1:6" s="17" customFormat="1" ht="30" customHeight="1" thickBot="1">
      <c r="A112" s="274"/>
      <c r="B112" s="275"/>
      <c r="C112" s="271"/>
      <c r="D112" s="272"/>
      <c r="E112" s="272"/>
      <c r="F112" s="272"/>
    </row>
    <row r="113" spans="1:6" s="180" customFormat="1" ht="30" customHeight="1" thickBot="1">
      <c r="A113" s="734" t="s">
        <v>655</v>
      </c>
      <c r="B113" s="739"/>
      <c r="C113" s="258"/>
      <c r="D113" s="266">
        <f>+D57+D93+D111</f>
        <v>330929</v>
      </c>
      <c r="E113" s="266">
        <f>+E57+E93+E111</f>
        <v>0</v>
      </c>
      <c r="F113" s="266">
        <f>SUM(D113:E113)</f>
        <v>330929</v>
      </c>
    </row>
    <row r="114" spans="1:6" s="17" customFormat="1" ht="116.45" customHeight="1">
      <c r="F114" s="248"/>
    </row>
    <row r="115" spans="1:6" s="69" customFormat="1" ht="30" customHeight="1" thickBot="1">
      <c r="A115" s="17"/>
      <c r="B115" s="17"/>
      <c r="C115" s="17"/>
      <c r="D115" s="17"/>
      <c r="E115" s="17"/>
      <c r="F115" s="17"/>
    </row>
    <row r="116" spans="1:6" s="69" customFormat="1" ht="111.75" customHeight="1" thickBot="1">
      <c r="A116" s="845" t="s">
        <v>704</v>
      </c>
      <c r="B116" s="846"/>
      <c r="C116" s="233" t="s">
        <v>340</v>
      </c>
      <c r="D116" s="233" t="s">
        <v>691</v>
      </c>
      <c r="E116" s="233" t="s">
        <v>692</v>
      </c>
      <c r="F116" s="233" t="s">
        <v>693</v>
      </c>
    </row>
    <row r="117" spans="1:6" s="69" customFormat="1" ht="30" customHeight="1">
      <c r="A117" s="235" t="s">
        <v>705</v>
      </c>
      <c r="B117" s="262"/>
      <c r="C117" s="263"/>
      <c r="D117" s="459">
        <v>0</v>
      </c>
      <c r="E117" s="459">
        <v>0</v>
      </c>
      <c r="F117" s="236">
        <v>0</v>
      </c>
    </row>
    <row r="118" spans="1:6" s="69" customFormat="1" ht="30" customHeight="1">
      <c r="A118" s="642" t="s">
        <v>706</v>
      </c>
      <c r="B118" s="606"/>
      <c r="C118" s="1061"/>
      <c r="D118" s="1062">
        <f>'EXHIBIT C'!H10</f>
        <v>295564</v>
      </c>
      <c r="E118" s="870">
        <v>0</v>
      </c>
      <c r="F118" s="871">
        <f t="shared" ref="F118:F128" si="3">+D118+E118</f>
        <v>295564</v>
      </c>
    </row>
    <row r="119" spans="1:6" s="69" customFormat="1" ht="30" customHeight="1">
      <c r="A119" s="642" t="s">
        <v>707</v>
      </c>
      <c r="B119" s="606"/>
      <c r="C119" s="1061"/>
      <c r="D119" s="1062">
        <f>'EXHIBIT C'!F19</f>
        <v>1101</v>
      </c>
      <c r="E119" s="870">
        <v>0</v>
      </c>
      <c r="F119" s="871">
        <f t="shared" si="3"/>
        <v>1101</v>
      </c>
    </row>
    <row r="120" spans="1:6" s="69" customFormat="1" ht="50.25" customHeight="1">
      <c r="A120" s="642" t="s">
        <v>708</v>
      </c>
      <c r="B120" s="606"/>
      <c r="C120" s="1061"/>
      <c r="D120" s="870">
        <v>0</v>
      </c>
      <c r="E120" s="870">
        <v>0</v>
      </c>
      <c r="F120" s="871">
        <f t="shared" si="3"/>
        <v>0</v>
      </c>
    </row>
    <row r="121" spans="1:6" s="69" customFormat="1" ht="30" customHeight="1">
      <c r="A121" s="642" t="s">
        <v>709</v>
      </c>
      <c r="B121" s="606"/>
      <c r="C121" s="1061"/>
      <c r="D121" s="870">
        <v>0</v>
      </c>
      <c r="E121" s="870">
        <v>0</v>
      </c>
      <c r="F121" s="871">
        <f t="shared" si="3"/>
        <v>0</v>
      </c>
    </row>
    <row r="122" spans="1:6" s="69" customFormat="1" ht="30" customHeight="1">
      <c r="A122" s="849" t="s">
        <v>710</v>
      </c>
      <c r="B122" s="606"/>
      <c r="C122" s="1061"/>
      <c r="D122" s="870">
        <v>0</v>
      </c>
      <c r="E122" s="870">
        <v>0</v>
      </c>
      <c r="F122" s="871">
        <f t="shared" si="3"/>
        <v>0</v>
      </c>
    </row>
    <row r="123" spans="1:6" s="69" customFormat="1" ht="30" customHeight="1">
      <c r="A123" s="642" t="s">
        <v>711</v>
      </c>
      <c r="B123" s="606"/>
      <c r="C123" s="1061"/>
      <c r="D123" s="870">
        <v>34264</v>
      </c>
      <c r="E123" s="870">
        <v>0</v>
      </c>
      <c r="F123" s="871">
        <f t="shared" si="3"/>
        <v>34264</v>
      </c>
    </row>
    <row r="124" spans="1:6" s="69" customFormat="1" ht="30" customHeight="1">
      <c r="A124" s="642" t="s">
        <v>712</v>
      </c>
      <c r="B124" s="606"/>
      <c r="C124" s="1061"/>
      <c r="D124" s="870">
        <v>0</v>
      </c>
      <c r="E124" s="870">
        <v>0</v>
      </c>
      <c r="F124" s="871">
        <f t="shared" si="3"/>
        <v>0</v>
      </c>
    </row>
    <row r="125" spans="1:6" s="69" customFormat="1" ht="30" customHeight="1">
      <c r="A125" s="642" t="s">
        <v>713</v>
      </c>
      <c r="B125" s="606"/>
      <c r="C125" s="1061"/>
      <c r="D125" s="870">
        <v>0</v>
      </c>
      <c r="E125" s="870">
        <v>0</v>
      </c>
      <c r="F125" s="871">
        <f t="shared" si="3"/>
        <v>0</v>
      </c>
    </row>
    <row r="126" spans="1:6" s="69" customFormat="1" ht="30" customHeight="1">
      <c r="A126" s="642" t="s">
        <v>714</v>
      </c>
      <c r="B126" s="606"/>
      <c r="C126" s="1061"/>
      <c r="D126" s="870">
        <v>0</v>
      </c>
      <c r="E126" s="870">
        <v>0</v>
      </c>
      <c r="F126" s="871">
        <f t="shared" si="3"/>
        <v>0</v>
      </c>
    </row>
    <row r="127" spans="1:6" ht="24.75" customHeight="1">
      <c r="A127" s="642" t="s">
        <v>715</v>
      </c>
      <c r="B127" s="606"/>
      <c r="C127" s="1061"/>
      <c r="D127" s="870">
        <v>0</v>
      </c>
      <c r="E127" s="870">
        <v>0</v>
      </c>
      <c r="F127" s="871">
        <f t="shared" si="3"/>
        <v>0</v>
      </c>
    </row>
    <row r="128" spans="1:6" ht="22.5" customHeight="1" thickBot="1">
      <c r="A128" s="645" t="s">
        <v>716</v>
      </c>
      <c r="B128" s="651"/>
      <c r="C128" s="652"/>
      <c r="D128" s="648">
        <v>0</v>
      </c>
      <c r="E128" s="648">
        <v>0</v>
      </c>
      <c r="F128" s="649">
        <f t="shared" si="3"/>
        <v>0</v>
      </c>
    </row>
    <row r="129" spans="1:6" ht="110.1" customHeight="1" thickBot="1">
      <c r="A129" s="734" t="s">
        <v>717</v>
      </c>
      <c r="B129" s="735"/>
      <c r="C129" s="258"/>
      <c r="D129" s="259">
        <f>SUM(D117:D128)</f>
        <v>330929</v>
      </c>
      <c r="E129" s="260">
        <f>SUM(E117:E128)</f>
        <v>0</v>
      </c>
      <c r="F129" s="261">
        <f>SUM(F117:F128)</f>
        <v>330929</v>
      </c>
    </row>
    <row r="130" spans="1:6" ht="14.1" customHeight="1">
      <c r="A130" s="249"/>
      <c r="B130" s="249"/>
      <c r="C130" s="250"/>
      <c r="D130" s="251"/>
      <c r="E130" s="251"/>
      <c r="F130" s="251"/>
    </row>
    <row r="131" spans="1:6" ht="83.25" customHeight="1">
      <c r="A131" s="793" t="s">
        <v>718</v>
      </c>
      <c r="B131" s="793"/>
      <c r="C131" s="794"/>
      <c r="D131" s="252">
        <f>D129-D113</f>
        <v>0</v>
      </c>
      <c r="E131" s="252">
        <f t="shared" ref="E131:F131" si="4">E129-E113</f>
        <v>0</v>
      </c>
      <c r="F131" s="252">
        <f t="shared" si="4"/>
        <v>0</v>
      </c>
    </row>
    <row r="132" spans="1:6" ht="30" customHeight="1">
      <c r="A132" s="249"/>
      <c r="B132" s="249"/>
      <c r="C132" s="250"/>
      <c r="D132" s="251"/>
      <c r="E132" s="251"/>
      <c r="F132" s="251"/>
    </row>
    <row r="133" spans="1:6" ht="30" customHeight="1" thickBot="1">
      <c r="A133" s="464" t="s">
        <v>719</v>
      </c>
      <c r="B133" s="17"/>
      <c r="C133" s="17"/>
      <c r="D133" s="253"/>
      <c r="E133" s="253"/>
      <c r="F133" s="254"/>
    </row>
    <row r="134" spans="1:6" ht="238.5" customHeight="1" thickBot="1">
      <c r="A134" s="930"/>
      <c r="B134" s="931"/>
      <c r="C134" s="931"/>
      <c r="D134" s="931"/>
      <c r="E134" s="931"/>
      <c r="F134" s="932"/>
    </row>
    <row r="135" spans="1:6" ht="30" customHeight="1">
      <c r="A135" s="461"/>
      <c r="B135" s="461"/>
      <c r="C135" s="461"/>
      <c r="D135" s="461"/>
      <c r="E135" s="461"/>
      <c r="F135" s="461"/>
    </row>
    <row r="136" spans="1:6" ht="30" customHeight="1" thickBot="1">
      <c r="A136" s="464" t="s">
        <v>720</v>
      </c>
      <c r="B136" s="462"/>
      <c r="C136" s="462"/>
      <c r="D136" s="253"/>
      <c r="E136" s="253"/>
      <c r="F136" s="254"/>
    </row>
    <row r="137" spans="1:6" ht="207" customHeight="1" thickBot="1">
      <c r="A137" s="930"/>
      <c r="B137" s="931"/>
      <c r="C137" s="931"/>
      <c r="D137" s="931"/>
      <c r="E137" s="931"/>
      <c r="F137" s="932"/>
    </row>
    <row r="138" spans="1:6" ht="25.35" customHeight="1">
      <c r="F138" s="256"/>
    </row>
    <row r="139" spans="1:6" ht="25.35" customHeight="1">
      <c r="F139" s="256"/>
    </row>
    <row r="140" spans="1:6" ht="25.35" customHeight="1">
      <c r="F140" s="256"/>
    </row>
    <row r="141" spans="1:6" ht="25.35" customHeight="1">
      <c r="F141" s="256"/>
    </row>
    <row r="142" spans="1:6" ht="25.35" customHeight="1">
      <c r="F142" s="256"/>
    </row>
    <row r="143" spans="1:6" ht="25.35" customHeight="1">
      <c r="E143" s="257"/>
      <c r="F143" s="256"/>
    </row>
    <row r="144" spans="1:6" ht="25.35" customHeight="1">
      <c r="E144" s="257"/>
      <c r="F144" s="256"/>
    </row>
    <row r="145" spans="5:6" ht="25.35" customHeight="1">
      <c r="E145" s="257"/>
      <c r="F145" s="256"/>
    </row>
    <row r="146" spans="5:6" ht="25.35" customHeight="1">
      <c r="F146" s="256"/>
    </row>
    <row r="147" spans="5:6" ht="25.35" customHeight="1">
      <c r="F147" s="256"/>
    </row>
    <row r="148" spans="5:6" ht="25.35" customHeight="1">
      <c r="F148" s="256"/>
    </row>
    <row r="149" spans="5:6" ht="25.35" customHeight="1">
      <c r="F149" s="256"/>
    </row>
    <row r="150" spans="5:6" ht="25.35" customHeight="1">
      <c r="F150" s="256"/>
    </row>
    <row r="151" spans="5:6" ht="25.35" customHeight="1">
      <c r="F151" s="256"/>
    </row>
    <row r="152" spans="5:6" ht="25.35" customHeight="1">
      <c r="F152" s="256"/>
    </row>
    <row r="153" spans="5:6" ht="25.35" customHeight="1">
      <c r="F153" s="256"/>
    </row>
    <row r="154" spans="5:6" ht="25.35" customHeight="1">
      <c r="F154" s="256"/>
    </row>
    <row r="155" spans="5:6" ht="25.35" customHeight="1">
      <c r="F155" s="256"/>
    </row>
    <row r="156" spans="5:6" ht="25.35" customHeight="1">
      <c r="F156" s="256"/>
    </row>
    <row r="157" spans="5:6" ht="25.35" customHeight="1">
      <c r="F157" s="256"/>
    </row>
    <row r="158" spans="5:6" ht="25.35" customHeight="1">
      <c r="F158" s="256"/>
    </row>
    <row r="159" spans="5:6" ht="25.35" customHeight="1">
      <c r="F159" s="256"/>
    </row>
    <row r="160" spans="5:6" ht="25.35" customHeight="1">
      <c r="F160" s="256"/>
    </row>
    <row r="161" spans="6:6" ht="25.35" customHeight="1">
      <c r="F161" s="256"/>
    </row>
    <row r="162" spans="6:6" ht="25.35" customHeight="1">
      <c r="F162" s="256"/>
    </row>
    <row r="163" spans="6:6" ht="25.35" customHeight="1">
      <c r="F163" s="256"/>
    </row>
    <row r="164" spans="6:6" ht="25.35" customHeight="1">
      <c r="F164" s="256"/>
    </row>
    <row r="165" spans="6:6" ht="25.35" customHeight="1">
      <c r="F165" s="256"/>
    </row>
    <row r="166" spans="6:6" ht="25.35" customHeight="1">
      <c r="F166" s="256"/>
    </row>
    <row r="167" spans="6:6" ht="25.35" customHeight="1">
      <c r="F167" s="256"/>
    </row>
    <row r="168" spans="6:6" ht="25.35" customHeight="1">
      <c r="F168" s="256"/>
    </row>
    <row r="169" spans="6:6" ht="25.35" customHeight="1">
      <c r="F169" s="256"/>
    </row>
    <row r="170" spans="6:6" ht="25.35" customHeight="1">
      <c r="F170" s="256"/>
    </row>
    <row r="171" spans="6:6" ht="25.35" customHeight="1">
      <c r="F171" s="256"/>
    </row>
    <row r="172" spans="6:6" ht="25.35" customHeight="1">
      <c r="F172" s="256"/>
    </row>
    <row r="173" spans="6:6" ht="25.35" customHeight="1">
      <c r="F173" s="256"/>
    </row>
    <row r="174" spans="6:6" ht="25.35" customHeight="1">
      <c r="F174" s="256"/>
    </row>
    <row r="175" spans="6:6" ht="25.35" customHeight="1">
      <c r="F175" s="256"/>
    </row>
    <row r="176" spans="6:6" ht="25.35" customHeight="1">
      <c r="F176" s="256"/>
    </row>
    <row r="177" spans="6:6" ht="25.35" customHeight="1">
      <c r="F177" s="256"/>
    </row>
    <row r="178" spans="6:6" ht="25.35" customHeight="1">
      <c r="F178" s="256"/>
    </row>
    <row r="179" spans="6:6" ht="25.35" customHeight="1">
      <c r="F179" s="256"/>
    </row>
    <row r="180" spans="6:6" ht="25.35" customHeight="1">
      <c r="F180" s="256"/>
    </row>
    <row r="181" spans="6:6" ht="25.35" customHeight="1">
      <c r="F181" s="256"/>
    </row>
    <row r="182" spans="6:6" ht="25.35" customHeight="1">
      <c r="F182" s="256"/>
    </row>
    <row r="183" spans="6:6" ht="25.35" customHeight="1">
      <c r="F183" s="256"/>
    </row>
    <row r="184" spans="6:6" ht="25.35" customHeight="1">
      <c r="F184" s="256"/>
    </row>
    <row r="185" spans="6:6" ht="25.35" customHeight="1">
      <c r="F185" s="256"/>
    </row>
    <row r="186" spans="6:6" ht="25.35" customHeight="1">
      <c r="F186" s="256"/>
    </row>
    <row r="187" spans="6:6" ht="25.35" customHeight="1">
      <c r="F187" s="256"/>
    </row>
    <row r="188" spans="6:6" ht="25.35" customHeight="1">
      <c r="F188" s="256"/>
    </row>
    <row r="189" spans="6:6" ht="25.35" customHeight="1">
      <c r="F189" s="256"/>
    </row>
    <row r="190" spans="6:6" ht="25.35" customHeight="1">
      <c r="F190" s="256"/>
    </row>
    <row r="191" spans="6:6" ht="25.35" customHeight="1">
      <c r="F191" s="256"/>
    </row>
    <row r="192" spans="6:6" ht="25.35" customHeight="1">
      <c r="F192" s="256"/>
    </row>
    <row r="193" spans="6:6" ht="25.35" customHeight="1">
      <c r="F193" s="256"/>
    </row>
    <row r="194" spans="6:6" ht="25.35" customHeight="1">
      <c r="F194" s="256"/>
    </row>
    <row r="195" spans="6:6" ht="25.35" customHeight="1">
      <c r="F195" s="256"/>
    </row>
    <row r="196" spans="6:6" ht="25.35" customHeight="1">
      <c r="F196" s="256"/>
    </row>
    <row r="197" spans="6:6" ht="25.35" customHeight="1">
      <c r="F197" s="256"/>
    </row>
    <row r="198" spans="6:6" ht="25.35" customHeight="1">
      <c r="F198" s="256"/>
    </row>
    <row r="199" spans="6:6" ht="25.35" customHeight="1">
      <c r="F199" s="256"/>
    </row>
    <row r="200" spans="6:6" ht="25.35" customHeight="1">
      <c r="F200" s="256"/>
    </row>
    <row r="201" spans="6:6" ht="25.35" customHeight="1">
      <c r="F201" s="256"/>
    </row>
    <row r="202" spans="6:6" ht="25.35" customHeight="1">
      <c r="F202" s="256"/>
    </row>
    <row r="203" spans="6:6" ht="25.35" customHeight="1">
      <c r="F203" s="256"/>
    </row>
    <row r="204" spans="6:6" ht="25.35" customHeight="1">
      <c r="F204" s="256"/>
    </row>
    <row r="205" spans="6:6" ht="25.35" customHeight="1">
      <c r="F205" s="256"/>
    </row>
    <row r="206" spans="6:6" ht="25.35" customHeight="1">
      <c r="F206" s="256"/>
    </row>
    <row r="207" spans="6:6" ht="25.35" customHeight="1">
      <c r="F207" s="256"/>
    </row>
    <row r="208" spans="6:6" ht="25.35" customHeight="1">
      <c r="F208" s="256"/>
    </row>
    <row r="209" spans="6:6" ht="25.35" customHeight="1">
      <c r="F209" s="256"/>
    </row>
    <row r="210" spans="6:6" ht="25.35" customHeight="1">
      <c r="F210" s="256"/>
    </row>
    <row r="211" spans="6:6" ht="25.35" customHeight="1">
      <c r="F211" s="256"/>
    </row>
    <row r="212" spans="6:6" ht="25.35" customHeight="1">
      <c r="F212" s="256"/>
    </row>
    <row r="213" spans="6:6" ht="25.35" customHeight="1">
      <c r="F213" s="256"/>
    </row>
    <row r="214" spans="6:6" ht="25.35" customHeight="1">
      <c r="F214" s="256"/>
    </row>
    <row r="215" spans="6:6" ht="25.35" customHeight="1">
      <c r="F215" s="256"/>
    </row>
    <row r="216" spans="6:6" ht="25.35" customHeight="1">
      <c r="F216" s="256"/>
    </row>
    <row r="217" spans="6:6" ht="25.35" customHeight="1">
      <c r="F217" s="256"/>
    </row>
    <row r="218" spans="6:6" ht="25.35" customHeight="1">
      <c r="F218" s="256"/>
    </row>
    <row r="219" spans="6:6" ht="25.35" customHeight="1">
      <c r="F219" s="256"/>
    </row>
    <row r="220" spans="6:6" ht="25.35" customHeight="1">
      <c r="F220" s="256"/>
    </row>
    <row r="221" spans="6:6" ht="25.35" customHeight="1">
      <c r="F221" s="256"/>
    </row>
    <row r="222" spans="6:6" ht="25.35" customHeight="1">
      <c r="F222" s="256"/>
    </row>
    <row r="223" spans="6:6" ht="25.35" customHeight="1">
      <c r="F223" s="256"/>
    </row>
    <row r="224" spans="6:6" ht="25.35" customHeight="1">
      <c r="F224" s="256"/>
    </row>
    <row r="225" spans="6:6" ht="25.35" customHeight="1">
      <c r="F225" s="256"/>
    </row>
    <row r="226" spans="6:6" ht="25.35" customHeight="1">
      <c r="F226" s="256"/>
    </row>
    <row r="227" spans="6:6" ht="25.35" customHeight="1">
      <c r="F227" s="256"/>
    </row>
    <row r="228" spans="6:6" ht="25.35" customHeight="1">
      <c r="F228" s="256"/>
    </row>
    <row r="229" spans="6:6" ht="25.35" customHeight="1">
      <c r="F229" s="256"/>
    </row>
    <row r="230" spans="6:6" ht="25.35" customHeight="1">
      <c r="F230" s="256"/>
    </row>
    <row r="231" spans="6:6" ht="25.35" customHeight="1">
      <c r="F231" s="256"/>
    </row>
    <row r="232" spans="6:6" ht="25.35" customHeight="1">
      <c r="F232" s="256"/>
    </row>
    <row r="233" spans="6:6" ht="25.35" customHeight="1">
      <c r="F233" s="256"/>
    </row>
    <row r="234" spans="6:6" ht="25.35" customHeight="1">
      <c r="F234" s="256"/>
    </row>
    <row r="235" spans="6:6" ht="25.35" customHeight="1">
      <c r="F235" s="256"/>
    </row>
    <row r="236" spans="6:6" ht="25.35" customHeight="1">
      <c r="F236" s="256"/>
    </row>
    <row r="237" spans="6:6" ht="25.35" customHeight="1">
      <c r="F237" s="256"/>
    </row>
    <row r="238" spans="6:6" ht="25.35" customHeight="1">
      <c r="F238" s="256"/>
    </row>
    <row r="239" spans="6:6" ht="25.35" customHeight="1">
      <c r="F239" s="256"/>
    </row>
    <row r="240" spans="6:6" ht="25.35" customHeight="1">
      <c r="F240" s="256"/>
    </row>
    <row r="241" spans="6:6" ht="25.35" customHeight="1">
      <c r="F241" s="256"/>
    </row>
    <row r="242" spans="6:6" ht="25.35" customHeight="1">
      <c r="F242" s="256"/>
    </row>
    <row r="243" spans="6:6" ht="25.35" customHeight="1">
      <c r="F243" s="256"/>
    </row>
    <row r="244" spans="6:6" ht="25.35" customHeight="1">
      <c r="F244" s="256"/>
    </row>
    <row r="245" spans="6:6" ht="25.35" customHeight="1">
      <c r="F245" s="256"/>
    </row>
    <row r="246" spans="6:6" ht="25.35" customHeight="1">
      <c r="F246" s="256"/>
    </row>
    <row r="247" spans="6:6" ht="25.35" customHeight="1">
      <c r="F247" s="256"/>
    </row>
    <row r="248" spans="6:6" ht="25.35" customHeight="1">
      <c r="F248" s="256"/>
    </row>
    <row r="249" spans="6:6" ht="25.35" customHeight="1">
      <c r="F249" s="256"/>
    </row>
    <row r="250" spans="6:6" ht="25.35" customHeight="1">
      <c r="F250" s="256"/>
    </row>
    <row r="251" spans="6:6" ht="25.35" customHeight="1">
      <c r="F251" s="256"/>
    </row>
    <row r="252" spans="6:6" ht="25.35" customHeight="1">
      <c r="F252" s="256"/>
    </row>
    <row r="253" spans="6:6" ht="25.35" customHeight="1">
      <c r="F253" s="256"/>
    </row>
    <row r="254" spans="6:6" ht="25.35" customHeight="1">
      <c r="F254" s="256"/>
    </row>
    <row r="255" spans="6:6" ht="25.35" customHeight="1">
      <c r="F255" s="256"/>
    </row>
    <row r="256" spans="6:6" ht="25.35" customHeight="1">
      <c r="F256" s="256"/>
    </row>
    <row r="257" spans="6:6" ht="25.35" customHeight="1">
      <c r="F257" s="256"/>
    </row>
    <row r="258" spans="6:6" ht="25.35" customHeight="1">
      <c r="F258" s="256"/>
    </row>
    <row r="259" spans="6:6" ht="25.35" customHeight="1">
      <c r="F259" s="256"/>
    </row>
    <row r="260" spans="6:6" ht="25.35" customHeight="1">
      <c r="F260" s="256"/>
    </row>
    <row r="261" spans="6:6" ht="25.35" customHeight="1">
      <c r="F261" s="256"/>
    </row>
    <row r="262" spans="6:6" ht="25.35" customHeight="1">
      <c r="F262" s="256"/>
    </row>
    <row r="263" spans="6:6" ht="25.35" customHeight="1">
      <c r="F263" s="256"/>
    </row>
    <row r="264" spans="6:6" ht="25.35" customHeight="1">
      <c r="F264" s="256"/>
    </row>
    <row r="265" spans="6:6" ht="25.35" customHeight="1">
      <c r="F265" s="256"/>
    </row>
    <row r="266" spans="6:6" ht="25.35" customHeight="1">
      <c r="F266" s="256"/>
    </row>
    <row r="267" spans="6:6" ht="25.35" customHeight="1">
      <c r="F267" s="256"/>
    </row>
    <row r="268" spans="6:6" ht="25.35" customHeight="1">
      <c r="F268" s="256"/>
    </row>
    <row r="269" spans="6:6" ht="25.35" customHeight="1">
      <c r="F269" s="256"/>
    </row>
    <row r="270" spans="6:6" ht="25.35" customHeight="1">
      <c r="F270" s="256"/>
    </row>
    <row r="271" spans="6:6" ht="25.35" customHeight="1">
      <c r="F271" s="256"/>
    </row>
    <row r="272" spans="6:6" ht="25.35" customHeight="1">
      <c r="F272" s="256"/>
    </row>
    <row r="273" spans="6:6" ht="25.35" customHeight="1">
      <c r="F273" s="256"/>
    </row>
    <row r="274" spans="6:6" ht="25.35" customHeight="1">
      <c r="F274" s="256"/>
    </row>
    <row r="275" spans="6:6" ht="25.35" customHeight="1">
      <c r="F275" s="256"/>
    </row>
    <row r="276" spans="6:6" ht="25.35" customHeight="1">
      <c r="F276" s="256"/>
    </row>
    <row r="277" spans="6:6" ht="25.35" customHeight="1">
      <c r="F277" s="256"/>
    </row>
    <row r="278" spans="6:6" ht="25.35" customHeight="1">
      <c r="F278" s="256"/>
    </row>
    <row r="279" spans="6:6" ht="25.35" customHeight="1">
      <c r="F279" s="256"/>
    </row>
    <row r="280" spans="6:6" ht="25.35" customHeight="1">
      <c r="F280" s="256"/>
    </row>
    <row r="281" spans="6:6" ht="25.35" customHeight="1">
      <c r="F281" s="256"/>
    </row>
    <row r="282" spans="6:6" ht="25.35" customHeight="1">
      <c r="F282" s="256"/>
    </row>
    <row r="283" spans="6:6" ht="25.35" customHeight="1">
      <c r="F283" s="256"/>
    </row>
    <row r="284" spans="6:6" ht="25.35" customHeight="1">
      <c r="F284" s="256"/>
    </row>
    <row r="285" spans="6:6" ht="25.35" customHeight="1">
      <c r="F285" s="256"/>
    </row>
    <row r="286" spans="6:6" ht="25.35" customHeight="1">
      <c r="F286" s="256"/>
    </row>
    <row r="287" spans="6:6" ht="25.35" customHeight="1">
      <c r="F287" s="256"/>
    </row>
    <row r="288" spans="6:6" ht="25.35" customHeight="1">
      <c r="F288" s="256"/>
    </row>
    <row r="289" spans="6:6" ht="25.35" customHeight="1">
      <c r="F289" s="256"/>
    </row>
    <row r="290" spans="6:6" ht="25.35" customHeight="1">
      <c r="F290" s="256"/>
    </row>
    <row r="291" spans="6:6" ht="25.35" customHeight="1">
      <c r="F291" s="256"/>
    </row>
    <row r="292" spans="6:6" ht="25.35" customHeight="1">
      <c r="F292" s="256"/>
    </row>
    <row r="293" spans="6:6" ht="25.35" customHeight="1">
      <c r="F293" s="256"/>
    </row>
    <row r="294" spans="6:6" ht="25.35" customHeight="1">
      <c r="F294" s="256"/>
    </row>
    <row r="295" spans="6:6" ht="25.35" customHeight="1">
      <c r="F295" s="256"/>
    </row>
    <row r="296" spans="6:6" ht="25.35" customHeight="1">
      <c r="F296" s="256"/>
    </row>
    <row r="297" spans="6:6" ht="25.35" customHeight="1">
      <c r="F297" s="256"/>
    </row>
    <row r="298" spans="6:6" ht="25.35" customHeight="1">
      <c r="F298" s="256"/>
    </row>
    <row r="299" spans="6:6" ht="25.35" customHeight="1">
      <c r="F299" s="256"/>
    </row>
    <row r="300" spans="6:6" ht="25.35" customHeight="1">
      <c r="F300" s="256"/>
    </row>
    <row r="301" spans="6:6" ht="25.35" customHeight="1">
      <c r="F301" s="256"/>
    </row>
    <row r="302" spans="6:6" ht="25.35" customHeight="1">
      <c r="F302" s="256"/>
    </row>
    <row r="303" spans="6:6" ht="25.35" customHeight="1">
      <c r="F303" s="256"/>
    </row>
    <row r="304" spans="6:6" ht="25.35" customHeight="1">
      <c r="F304" s="256"/>
    </row>
    <row r="305" spans="6:6" ht="25.35" customHeight="1">
      <c r="F305" s="256"/>
    </row>
    <row r="306" spans="6:6" ht="25.35" customHeight="1">
      <c r="F306" s="256"/>
    </row>
    <row r="307" spans="6:6" ht="25.35" customHeight="1">
      <c r="F307" s="256"/>
    </row>
    <row r="308" spans="6:6" ht="25.35" customHeight="1">
      <c r="F308" s="256"/>
    </row>
    <row r="309" spans="6:6" ht="25.35" customHeight="1">
      <c r="F309" s="256"/>
    </row>
    <row r="310" spans="6:6" ht="25.35" customHeight="1">
      <c r="F310" s="256"/>
    </row>
    <row r="311" spans="6:6" ht="25.35" customHeight="1">
      <c r="F311" s="256"/>
    </row>
    <row r="312" spans="6:6" ht="25.35" customHeight="1">
      <c r="F312" s="256"/>
    </row>
    <row r="313" spans="6:6" ht="25.35" customHeight="1">
      <c r="F313" s="256"/>
    </row>
    <row r="314" spans="6:6" ht="25.35" customHeight="1">
      <c r="F314" s="256"/>
    </row>
    <row r="315" spans="6:6" ht="25.35" customHeight="1">
      <c r="F315" s="256"/>
    </row>
    <row r="316" spans="6:6" ht="25.35" customHeight="1">
      <c r="F316" s="256"/>
    </row>
    <row r="317" spans="6:6" ht="25.35" customHeight="1">
      <c r="F317" s="256"/>
    </row>
    <row r="318" spans="6:6" ht="25.35" customHeight="1">
      <c r="F318" s="256"/>
    </row>
    <row r="319" spans="6:6" ht="25.35" customHeight="1">
      <c r="F319" s="256"/>
    </row>
    <row r="320" spans="6:6" ht="25.35" customHeight="1">
      <c r="F320" s="256"/>
    </row>
    <row r="321" spans="6:6" ht="25.35" customHeight="1">
      <c r="F321" s="256"/>
    </row>
    <row r="322" spans="6:6" ht="25.35" customHeight="1">
      <c r="F322" s="256"/>
    </row>
    <row r="323" spans="6:6" ht="25.35" customHeight="1">
      <c r="F323" s="256"/>
    </row>
    <row r="324" spans="6:6" ht="25.35" customHeight="1">
      <c r="F324" s="256"/>
    </row>
    <row r="325" spans="6:6" ht="25.35" customHeight="1">
      <c r="F325" s="256"/>
    </row>
    <row r="326" spans="6:6" ht="25.35" customHeight="1">
      <c r="F326" s="256"/>
    </row>
    <row r="327" spans="6:6" ht="25.35" customHeight="1">
      <c r="F327" s="256"/>
    </row>
    <row r="328" spans="6:6" ht="25.35" customHeight="1">
      <c r="F328" s="256"/>
    </row>
    <row r="329" spans="6:6" ht="25.35" customHeight="1">
      <c r="F329" s="256"/>
    </row>
    <row r="330" spans="6:6" ht="25.35" customHeight="1">
      <c r="F330" s="256"/>
    </row>
    <row r="331" spans="6:6" ht="25.35" customHeight="1">
      <c r="F331" s="256"/>
    </row>
    <row r="332" spans="6:6" ht="25.35" customHeight="1">
      <c r="F332" s="256"/>
    </row>
    <row r="333" spans="6:6" ht="25.35" customHeight="1">
      <c r="F333" s="256"/>
    </row>
    <row r="334" spans="6:6" ht="25.35" customHeight="1">
      <c r="F334" s="256"/>
    </row>
    <row r="335" spans="6:6" ht="25.35" customHeight="1">
      <c r="F335" s="256"/>
    </row>
    <row r="336" spans="6:6" ht="25.35" customHeight="1">
      <c r="F336" s="256"/>
    </row>
    <row r="337" spans="6:6" ht="25.35" customHeight="1">
      <c r="F337" s="256"/>
    </row>
    <row r="338" spans="6:6" ht="25.35" customHeight="1">
      <c r="F338" s="256"/>
    </row>
    <row r="339" spans="6:6" ht="25.35" customHeight="1">
      <c r="F339" s="256"/>
    </row>
    <row r="340" spans="6:6" ht="25.35" customHeight="1">
      <c r="F340" s="256"/>
    </row>
    <row r="341" spans="6:6" ht="25.35" customHeight="1">
      <c r="F341" s="256"/>
    </row>
    <row r="342" spans="6:6" ht="25.35" customHeight="1">
      <c r="F342" s="256"/>
    </row>
    <row r="343" spans="6:6" ht="25.35" customHeight="1">
      <c r="F343" s="256"/>
    </row>
    <row r="344" spans="6:6" ht="25.35" customHeight="1">
      <c r="F344" s="256"/>
    </row>
    <row r="345" spans="6:6" ht="25.35" customHeight="1">
      <c r="F345" s="256"/>
    </row>
    <row r="346" spans="6:6" ht="25.35" customHeight="1">
      <c r="F346" s="256"/>
    </row>
    <row r="347" spans="6:6" ht="25.35" customHeight="1">
      <c r="F347" s="256"/>
    </row>
    <row r="348" spans="6:6" ht="25.35" customHeight="1">
      <c r="F348" s="256"/>
    </row>
    <row r="349" spans="6:6" ht="25.35" customHeight="1">
      <c r="F349" s="256"/>
    </row>
    <row r="350" spans="6:6" ht="25.35" customHeight="1">
      <c r="F350" s="256"/>
    </row>
    <row r="351" spans="6:6" ht="25.35" customHeight="1">
      <c r="F351" s="256"/>
    </row>
    <row r="352" spans="6:6" ht="25.35" customHeight="1">
      <c r="F352" s="256"/>
    </row>
    <row r="353" spans="6:6" ht="25.35" customHeight="1">
      <c r="F353" s="256"/>
    </row>
    <row r="354" spans="6:6" ht="25.35" customHeight="1">
      <c r="F354" s="256"/>
    </row>
    <row r="355" spans="6:6" ht="25.35" customHeight="1">
      <c r="F355" s="256"/>
    </row>
    <row r="356" spans="6:6" ht="25.35" customHeight="1">
      <c r="F356" s="256"/>
    </row>
    <row r="357" spans="6:6" ht="25.35" customHeight="1">
      <c r="F357" s="256"/>
    </row>
    <row r="358" spans="6:6" ht="25.35" customHeight="1">
      <c r="F358" s="256"/>
    </row>
    <row r="359" spans="6:6" ht="25.35" customHeight="1">
      <c r="F359" s="256"/>
    </row>
    <row r="360" spans="6:6" ht="25.35" customHeight="1">
      <c r="F360" s="256"/>
    </row>
    <row r="361" spans="6:6" ht="25.35" customHeight="1">
      <c r="F361" s="256"/>
    </row>
    <row r="362" spans="6:6" ht="25.35" customHeight="1">
      <c r="F362" s="256"/>
    </row>
    <row r="363" spans="6:6" ht="25.35" customHeight="1">
      <c r="F363" s="256"/>
    </row>
    <row r="364" spans="6:6" ht="25.35" customHeight="1">
      <c r="F364" s="256"/>
    </row>
    <row r="365" spans="6:6" ht="25.35" customHeight="1">
      <c r="F365" s="256"/>
    </row>
    <row r="366" spans="6:6" ht="25.35" customHeight="1">
      <c r="F366" s="256"/>
    </row>
    <row r="367" spans="6:6" ht="25.35" customHeight="1">
      <c r="F367" s="256"/>
    </row>
    <row r="368" spans="6:6" ht="25.35" customHeight="1">
      <c r="F368" s="256"/>
    </row>
    <row r="369" spans="6:6" ht="25.35" customHeight="1">
      <c r="F369" s="256"/>
    </row>
    <row r="370" spans="6:6" ht="25.35" customHeight="1">
      <c r="F370" s="256"/>
    </row>
    <row r="371" spans="6:6" ht="25.35" customHeight="1">
      <c r="F371" s="256"/>
    </row>
    <row r="372" spans="6:6" ht="25.35" customHeight="1">
      <c r="F372" s="256"/>
    </row>
    <row r="373" spans="6:6" ht="25.35" customHeight="1">
      <c r="F373" s="256"/>
    </row>
    <row r="374" spans="6:6" ht="25.35" customHeight="1">
      <c r="F374" s="256"/>
    </row>
    <row r="375" spans="6:6" ht="25.35" customHeight="1">
      <c r="F375" s="256"/>
    </row>
    <row r="376" spans="6:6" ht="25.35" customHeight="1">
      <c r="F376" s="256"/>
    </row>
    <row r="377" spans="6:6" ht="25.35" customHeight="1">
      <c r="F377" s="256"/>
    </row>
    <row r="378" spans="6:6" ht="25.35" customHeight="1">
      <c r="F378" s="256"/>
    </row>
    <row r="379" spans="6:6" ht="25.35" customHeight="1">
      <c r="F379" s="256"/>
    </row>
    <row r="380" spans="6:6" ht="25.35" customHeight="1">
      <c r="F380" s="256"/>
    </row>
    <row r="381" spans="6:6" ht="25.35" customHeight="1">
      <c r="F381" s="256"/>
    </row>
    <row r="382" spans="6:6" ht="25.35" customHeight="1">
      <c r="F382" s="256"/>
    </row>
    <row r="383" spans="6:6" ht="25.35" customHeight="1">
      <c r="F383" s="256"/>
    </row>
    <row r="384" spans="6:6" ht="25.35" customHeight="1">
      <c r="F384" s="256"/>
    </row>
    <row r="385" spans="6:6" ht="25.35" customHeight="1">
      <c r="F385" s="256"/>
    </row>
    <row r="386" spans="6:6" ht="25.35" customHeight="1">
      <c r="F386" s="256"/>
    </row>
    <row r="387" spans="6:6" ht="25.35" customHeight="1">
      <c r="F387" s="256"/>
    </row>
    <row r="388" spans="6:6" ht="25.35" customHeight="1">
      <c r="F388" s="256"/>
    </row>
    <row r="389" spans="6:6" ht="25.35" customHeight="1">
      <c r="F389" s="256"/>
    </row>
    <row r="390" spans="6:6" ht="25.35" customHeight="1">
      <c r="F390" s="256"/>
    </row>
    <row r="391" spans="6:6" ht="25.35" customHeight="1">
      <c r="F391" s="256"/>
    </row>
    <row r="392" spans="6:6" ht="25.35" customHeight="1">
      <c r="F392" s="256"/>
    </row>
    <row r="393" spans="6:6" ht="25.35" customHeight="1">
      <c r="F393" s="256"/>
    </row>
    <row r="394" spans="6:6" ht="25.35" customHeight="1">
      <c r="F394" s="256"/>
    </row>
    <row r="395" spans="6:6" ht="25.35" customHeight="1">
      <c r="F395" s="256"/>
    </row>
    <row r="396" spans="6:6" ht="25.35" customHeight="1">
      <c r="F396" s="256"/>
    </row>
    <row r="397" spans="6:6" ht="25.35" customHeight="1">
      <c r="F397" s="256"/>
    </row>
    <row r="398" spans="6:6" ht="25.35" customHeight="1">
      <c r="F398" s="256"/>
    </row>
    <row r="399" spans="6:6" ht="25.35" customHeight="1">
      <c r="F399" s="256"/>
    </row>
    <row r="400" spans="6:6" ht="25.35" customHeight="1">
      <c r="F400" s="256"/>
    </row>
    <row r="401" spans="6:6" ht="25.35" customHeight="1">
      <c r="F401" s="256"/>
    </row>
    <row r="402" spans="6:6" ht="25.35" customHeight="1">
      <c r="F402" s="256"/>
    </row>
    <row r="403" spans="6:6" ht="25.35" customHeight="1">
      <c r="F403" s="256"/>
    </row>
    <row r="404" spans="6:6" ht="25.35" customHeight="1">
      <c r="F404" s="256"/>
    </row>
    <row r="405" spans="6:6" ht="25.35" customHeight="1">
      <c r="F405" s="256"/>
    </row>
    <row r="406" spans="6:6" ht="25.35" customHeight="1">
      <c r="F406" s="256"/>
    </row>
    <row r="407" spans="6:6" ht="25.35" customHeight="1">
      <c r="F407" s="256"/>
    </row>
    <row r="408" spans="6:6" ht="25.35" customHeight="1">
      <c r="F408" s="256"/>
    </row>
    <row r="409" spans="6:6" ht="25.35" customHeight="1">
      <c r="F409" s="256"/>
    </row>
    <row r="410" spans="6:6" ht="25.35" customHeight="1">
      <c r="F410" s="256"/>
    </row>
    <row r="411" spans="6:6" ht="25.35" customHeight="1">
      <c r="F411" s="256"/>
    </row>
    <row r="412" spans="6:6" ht="25.35" customHeight="1">
      <c r="F412" s="256"/>
    </row>
    <row r="413" spans="6:6" ht="25.35" customHeight="1">
      <c r="F413" s="256"/>
    </row>
    <row r="414" spans="6:6" ht="25.35" customHeight="1">
      <c r="F414" s="256"/>
    </row>
    <row r="415" spans="6:6" ht="25.35" customHeight="1">
      <c r="F415" s="256"/>
    </row>
    <row r="416" spans="6:6" ht="25.35" customHeight="1">
      <c r="F416" s="256"/>
    </row>
    <row r="417" spans="6:6" ht="25.35" customHeight="1">
      <c r="F417" s="256"/>
    </row>
    <row r="418" spans="6:6" ht="25.35" customHeight="1">
      <c r="F418" s="256"/>
    </row>
    <row r="419" spans="6:6" ht="25.35" customHeight="1">
      <c r="F419" s="256"/>
    </row>
    <row r="420" spans="6:6" ht="25.35" customHeight="1">
      <c r="F420" s="256"/>
    </row>
    <row r="421" spans="6:6" ht="25.35" customHeight="1">
      <c r="F421" s="256"/>
    </row>
    <row r="422" spans="6:6" ht="25.35" customHeight="1">
      <c r="F422" s="256"/>
    </row>
    <row r="423" spans="6:6" ht="25.35" customHeight="1">
      <c r="F423" s="256"/>
    </row>
    <row r="424" spans="6:6" ht="25.35" customHeight="1">
      <c r="F424" s="256"/>
    </row>
    <row r="425" spans="6:6" ht="25.35" customHeight="1">
      <c r="F425" s="256"/>
    </row>
    <row r="426" spans="6:6" ht="25.35" customHeight="1">
      <c r="F426" s="256"/>
    </row>
    <row r="427" spans="6:6" ht="25.35" customHeight="1">
      <c r="F427" s="256"/>
    </row>
    <row r="428" spans="6:6" ht="25.35" customHeight="1">
      <c r="F428" s="256"/>
    </row>
    <row r="429" spans="6:6" ht="25.35" customHeight="1">
      <c r="F429" s="256"/>
    </row>
    <row r="430" spans="6:6" ht="25.35" customHeight="1">
      <c r="F430" s="256"/>
    </row>
    <row r="431" spans="6:6" ht="25.35" customHeight="1">
      <c r="F431" s="256"/>
    </row>
    <row r="432" spans="6:6" ht="25.35" customHeight="1">
      <c r="F432" s="256"/>
    </row>
    <row r="433" spans="6:6" ht="25.35" customHeight="1">
      <c r="F433" s="256"/>
    </row>
    <row r="434" spans="6:6" ht="25.35" customHeight="1">
      <c r="F434" s="256"/>
    </row>
    <row r="435" spans="6:6" ht="25.35" customHeight="1">
      <c r="F435" s="256"/>
    </row>
    <row r="436" spans="6:6" ht="25.35" customHeight="1">
      <c r="F436" s="256"/>
    </row>
    <row r="437" spans="6:6">
      <c r="F437" s="256"/>
    </row>
    <row r="438" spans="6:6">
      <c r="F438" s="256"/>
    </row>
    <row r="439" spans="6:6">
      <c r="F439" s="256"/>
    </row>
    <row r="440" spans="6:6">
      <c r="F440" s="256"/>
    </row>
    <row r="441" spans="6:6">
      <c r="F441" s="256"/>
    </row>
    <row r="442" spans="6:6">
      <c r="F442" s="256"/>
    </row>
    <row r="443" spans="6:6">
      <c r="F443" s="256"/>
    </row>
    <row r="444" spans="6:6">
      <c r="F444" s="256"/>
    </row>
    <row r="445" spans="6:6">
      <c r="F445" s="256"/>
    </row>
    <row r="446" spans="6:6">
      <c r="F446" s="256"/>
    </row>
    <row r="447" spans="6:6">
      <c r="F447" s="256"/>
    </row>
    <row r="448" spans="6:6">
      <c r="F448" s="256"/>
    </row>
    <row r="449" spans="6:6">
      <c r="F449" s="256"/>
    </row>
    <row r="450" spans="6:6">
      <c r="F450" s="256"/>
    </row>
    <row r="451" spans="6:6">
      <c r="F451" s="256"/>
    </row>
    <row r="452" spans="6:6">
      <c r="F452" s="256"/>
    </row>
    <row r="453" spans="6:6">
      <c r="F453" s="256"/>
    </row>
    <row r="454" spans="6:6">
      <c r="F454" s="256"/>
    </row>
    <row r="455" spans="6:6">
      <c r="F455" s="256"/>
    </row>
    <row r="456" spans="6:6">
      <c r="F456" s="256"/>
    </row>
    <row r="457" spans="6:6">
      <c r="F457" s="256"/>
    </row>
    <row r="458" spans="6:6">
      <c r="F458" s="256"/>
    </row>
    <row r="459" spans="6:6">
      <c r="F459" s="256"/>
    </row>
    <row r="460" spans="6:6">
      <c r="F460" s="256"/>
    </row>
    <row r="461" spans="6:6">
      <c r="F461" s="256"/>
    </row>
    <row r="462" spans="6:6">
      <c r="F462" s="256"/>
    </row>
    <row r="463" spans="6:6">
      <c r="F463" s="256"/>
    </row>
    <row r="464" spans="6:6">
      <c r="F464" s="256"/>
    </row>
    <row r="465" spans="6:6">
      <c r="F465" s="256"/>
    </row>
    <row r="466" spans="6:6">
      <c r="F466" s="256"/>
    </row>
    <row r="467" spans="6:6">
      <c r="F467" s="256"/>
    </row>
    <row r="468" spans="6:6">
      <c r="F468" s="256"/>
    </row>
    <row r="469" spans="6:6">
      <c r="F469" s="256"/>
    </row>
    <row r="470" spans="6:6">
      <c r="F470" s="256"/>
    </row>
    <row r="471" spans="6:6">
      <c r="F471" s="256"/>
    </row>
    <row r="472" spans="6:6">
      <c r="F472" s="256"/>
    </row>
    <row r="473" spans="6:6">
      <c r="F473" s="256"/>
    </row>
    <row r="474" spans="6:6">
      <c r="F474" s="256"/>
    </row>
    <row r="475" spans="6:6">
      <c r="F475" s="256"/>
    </row>
    <row r="476" spans="6:6">
      <c r="F476" s="256"/>
    </row>
    <row r="477" spans="6:6">
      <c r="F477" s="256"/>
    </row>
    <row r="478" spans="6:6">
      <c r="F478" s="256"/>
    </row>
    <row r="479" spans="6:6">
      <c r="F479" s="256"/>
    </row>
    <row r="480" spans="6:6">
      <c r="F480" s="256"/>
    </row>
    <row r="481" spans="6:6">
      <c r="F481" s="256"/>
    </row>
    <row r="482" spans="6:6">
      <c r="F482" s="256"/>
    </row>
    <row r="483" spans="6:6">
      <c r="F483" s="256"/>
    </row>
    <row r="484" spans="6:6">
      <c r="F484" s="256"/>
    </row>
    <row r="485" spans="6:6">
      <c r="F485" s="256"/>
    </row>
    <row r="486" spans="6:6">
      <c r="F486" s="256"/>
    </row>
    <row r="487" spans="6:6">
      <c r="F487" s="256"/>
    </row>
    <row r="488" spans="6:6">
      <c r="F488" s="256"/>
    </row>
    <row r="489" spans="6:6">
      <c r="F489" s="256"/>
    </row>
    <row r="490" spans="6:6">
      <c r="F490" s="256"/>
    </row>
    <row r="491" spans="6:6">
      <c r="F491" s="256"/>
    </row>
    <row r="492" spans="6:6">
      <c r="F492" s="256"/>
    </row>
    <row r="493" spans="6:6">
      <c r="F493" s="256"/>
    </row>
    <row r="494" spans="6:6">
      <c r="F494" s="256"/>
    </row>
    <row r="495" spans="6:6">
      <c r="F495" s="256"/>
    </row>
    <row r="496" spans="6:6">
      <c r="F496" s="256"/>
    </row>
    <row r="497" spans="6:6">
      <c r="F497" s="256"/>
    </row>
    <row r="498" spans="6:6">
      <c r="F498" s="256"/>
    </row>
    <row r="499" spans="6:6">
      <c r="F499" s="256"/>
    </row>
    <row r="500" spans="6:6">
      <c r="F500" s="256"/>
    </row>
    <row r="501" spans="6:6">
      <c r="F501" s="256"/>
    </row>
    <row r="502" spans="6:6">
      <c r="F502" s="256"/>
    </row>
    <row r="503" spans="6:6">
      <c r="F503" s="256"/>
    </row>
    <row r="504" spans="6:6">
      <c r="F504" s="256"/>
    </row>
    <row r="505" spans="6:6">
      <c r="F505" s="256"/>
    </row>
    <row r="506" spans="6:6">
      <c r="F506" s="256"/>
    </row>
    <row r="507" spans="6:6">
      <c r="F507" s="256"/>
    </row>
    <row r="508" spans="6:6">
      <c r="F508" s="256"/>
    </row>
    <row r="509" spans="6:6">
      <c r="F509" s="256"/>
    </row>
    <row r="510" spans="6:6">
      <c r="F510" s="256"/>
    </row>
    <row r="511" spans="6:6">
      <c r="F511" s="256"/>
    </row>
    <row r="512" spans="6:6">
      <c r="F512" s="256"/>
    </row>
    <row r="513" spans="6:6">
      <c r="F513" s="256"/>
    </row>
    <row r="514" spans="6:6">
      <c r="F514" s="256"/>
    </row>
    <row r="515" spans="6:6">
      <c r="F515" s="256"/>
    </row>
    <row r="516" spans="6:6">
      <c r="F516" s="256"/>
    </row>
    <row r="517" spans="6:6">
      <c r="F517" s="256"/>
    </row>
    <row r="518" spans="6:6">
      <c r="F518" s="256"/>
    </row>
    <row r="519" spans="6:6">
      <c r="F519" s="256"/>
    </row>
    <row r="520" spans="6:6">
      <c r="F520" s="256"/>
    </row>
    <row r="521" spans="6:6">
      <c r="F521" s="256"/>
    </row>
    <row r="522" spans="6:6">
      <c r="F522" s="256"/>
    </row>
    <row r="523" spans="6:6">
      <c r="F523" s="256"/>
    </row>
    <row r="524" spans="6:6">
      <c r="F524" s="256"/>
    </row>
    <row r="525" spans="6:6">
      <c r="F525" s="256"/>
    </row>
    <row r="526" spans="6:6">
      <c r="F526" s="256"/>
    </row>
    <row r="527" spans="6:6">
      <c r="F527" s="256"/>
    </row>
    <row r="528" spans="6:6">
      <c r="F528" s="256"/>
    </row>
    <row r="529" spans="6:6">
      <c r="F529" s="256"/>
    </row>
    <row r="530" spans="6:6">
      <c r="F530" s="256"/>
    </row>
    <row r="531" spans="6:6">
      <c r="F531" s="256"/>
    </row>
    <row r="532" spans="6:6">
      <c r="F532" s="256"/>
    </row>
    <row r="533" spans="6:6">
      <c r="F533" s="256"/>
    </row>
    <row r="534" spans="6:6">
      <c r="F534" s="256"/>
    </row>
    <row r="535" spans="6:6">
      <c r="F535" s="256"/>
    </row>
    <row r="536" spans="6:6">
      <c r="F536" s="256"/>
    </row>
    <row r="537" spans="6:6">
      <c r="F537" s="256"/>
    </row>
    <row r="538" spans="6:6">
      <c r="F538" s="256"/>
    </row>
    <row r="539" spans="6:6">
      <c r="F539" s="256"/>
    </row>
    <row r="540" spans="6:6">
      <c r="F540" s="256"/>
    </row>
    <row r="541" spans="6:6">
      <c r="F541" s="256"/>
    </row>
    <row r="542" spans="6:6">
      <c r="F542" s="256"/>
    </row>
    <row r="543" spans="6:6">
      <c r="F543" s="256"/>
    </row>
    <row r="544" spans="6:6">
      <c r="F544" s="256"/>
    </row>
    <row r="545" spans="6:6">
      <c r="F545" s="256"/>
    </row>
    <row r="546" spans="6:6">
      <c r="F546" s="256"/>
    </row>
    <row r="547" spans="6:6">
      <c r="F547" s="256"/>
    </row>
    <row r="548" spans="6:6">
      <c r="F548" s="256"/>
    </row>
    <row r="549" spans="6:6">
      <c r="F549" s="256"/>
    </row>
    <row r="550" spans="6:6">
      <c r="F550" s="256"/>
    </row>
    <row r="551" spans="6:6">
      <c r="F551" s="256"/>
    </row>
    <row r="552" spans="6:6">
      <c r="F552" s="256"/>
    </row>
    <row r="553" spans="6:6">
      <c r="F553" s="256"/>
    </row>
    <row r="554" spans="6:6">
      <c r="F554" s="256"/>
    </row>
    <row r="555" spans="6:6">
      <c r="F555" s="256"/>
    </row>
    <row r="556" spans="6:6">
      <c r="F556" s="256"/>
    </row>
    <row r="557" spans="6:6">
      <c r="F557" s="256"/>
    </row>
    <row r="558" spans="6:6">
      <c r="F558" s="256"/>
    </row>
    <row r="559" spans="6:6">
      <c r="F559" s="256"/>
    </row>
    <row r="560" spans="6:6">
      <c r="F560" s="256"/>
    </row>
    <row r="561" spans="6:6">
      <c r="F561" s="256"/>
    </row>
    <row r="562" spans="6:6">
      <c r="F562" s="256"/>
    </row>
    <row r="563" spans="6:6">
      <c r="F563" s="256"/>
    </row>
    <row r="564" spans="6:6">
      <c r="F564" s="256"/>
    </row>
    <row r="565" spans="6:6">
      <c r="F565" s="256"/>
    </row>
    <row r="566" spans="6:6">
      <c r="F566" s="256"/>
    </row>
    <row r="567" spans="6:6">
      <c r="F567" s="256"/>
    </row>
    <row r="568" spans="6:6">
      <c r="F568" s="256"/>
    </row>
    <row r="569" spans="6:6">
      <c r="F569" s="256"/>
    </row>
    <row r="570" spans="6:6">
      <c r="F570" s="256"/>
    </row>
    <row r="571" spans="6:6">
      <c r="F571" s="256"/>
    </row>
    <row r="572" spans="6:6">
      <c r="F572" s="256"/>
    </row>
    <row r="573" spans="6:6">
      <c r="F573" s="256"/>
    </row>
    <row r="574" spans="6:6">
      <c r="F574" s="256"/>
    </row>
    <row r="575" spans="6:6">
      <c r="F575" s="256"/>
    </row>
    <row r="576" spans="6:6">
      <c r="F576" s="256"/>
    </row>
    <row r="577" spans="6:6">
      <c r="F577" s="256"/>
    </row>
    <row r="578" spans="6:6">
      <c r="F578" s="256"/>
    </row>
    <row r="579" spans="6:6">
      <c r="F579" s="256"/>
    </row>
    <row r="580" spans="6:6">
      <c r="F580" s="256"/>
    </row>
    <row r="581" spans="6:6">
      <c r="F581" s="256"/>
    </row>
    <row r="582" spans="6:6">
      <c r="F582" s="256"/>
    </row>
    <row r="583" spans="6:6">
      <c r="F583" s="256"/>
    </row>
    <row r="584" spans="6:6">
      <c r="F584" s="256"/>
    </row>
    <row r="585" spans="6:6">
      <c r="F585" s="256"/>
    </row>
    <row r="586" spans="6:6">
      <c r="F586" s="256"/>
    </row>
    <row r="587" spans="6:6">
      <c r="F587" s="256"/>
    </row>
    <row r="588" spans="6:6">
      <c r="F588" s="256"/>
    </row>
    <row r="589" spans="6:6">
      <c r="F589" s="256"/>
    </row>
    <row r="590" spans="6:6">
      <c r="F590" s="256"/>
    </row>
    <row r="591" spans="6:6">
      <c r="F591" s="256"/>
    </row>
    <row r="592" spans="6:6">
      <c r="F592" s="256"/>
    </row>
    <row r="593" spans="6:6">
      <c r="F593" s="256"/>
    </row>
    <row r="594" spans="6:6">
      <c r="F594" s="256"/>
    </row>
    <row r="595" spans="6:6">
      <c r="F595" s="256"/>
    </row>
    <row r="596" spans="6:6">
      <c r="F596" s="256"/>
    </row>
    <row r="597" spans="6:6">
      <c r="F597" s="256"/>
    </row>
    <row r="598" spans="6:6">
      <c r="F598" s="256"/>
    </row>
    <row r="599" spans="6:6">
      <c r="F599" s="256"/>
    </row>
    <row r="600" spans="6:6">
      <c r="F600" s="256"/>
    </row>
    <row r="601" spans="6:6">
      <c r="F601" s="256"/>
    </row>
    <row r="602" spans="6:6">
      <c r="F602" s="256"/>
    </row>
    <row r="603" spans="6:6">
      <c r="F603" s="256"/>
    </row>
    <row r="604" spans="6:6">
      <c r="F604" s="256"/>
    </row>
    <row r="605" spans="6:6">
      <c r="F605" s="256"/>
    </row>
    <row r="606" spans="6:6">
      <c r="F606" s="256"/>
    </row>
    <row r="607" spans="6:6">
      <c r="F607" s="256"/>
    </row>
    <row r="608" spans="6:6">
      <c r="F608" s="256"/>
    </row>
    <row r="609" spans="6:6">
      <c r="F609" s="256"/>
    </row>
    <row r="610" spans="6:6">
      <c r="F610" s="256"/>
    </row>
    <row r="611" spans="6:6">
      <c r="F611" s="256"/>
    </row>
    <row r="612" spans="6:6">
      <c r="F612" s="256"/>
    </row>
    <row r="613" spans="6:6">
      <c r="F613" s="256"/>
    </row>
    <row r="614" spans="6:6">
      <c r="F614" s="256"/>
    </row>
    <row r="615" spans="6:6">
      <c r="F615" s="256"/>
    </row>
    <row r="616" spans="6:6">
      <c r="F616" s="256"/>
    </row>
    <row r="617" spans="6:6">
      <c r="F617" s="256"/>
    </row>
    <row r="618" spans="6:6">
      <c r="F618" s="256"/>
    </row>
    <row r="619" spans="6:6">
      <c r="F619" s="256"/>
    </row>
    <row r="620" spans="6:6">
      <c r="F620" s="256"/>
    </row>
    <row r="621" spans="6:6">
      <c r="F621" s="256"/>
    </row>
    <row r="622" spans="6:6">
      <c r="F622" s="256"/>
    </row>
    <row r="623" spans="6:6">
      <c r="F623" s="256"/>
    </row>
    <row r="624" spans="6:6">
      <c r="F624" s="256"/>
    </row>
    <row r="625" spans="6:6">
      <c r="F625" s="256"/>
    </row>
    <row r="626" spans="6:6">
      <c r="F626" s="256"/>
    </row>
    <row r="627" spans="6:6">
      <c r="F627" s="256"/>
    </row>
    <row r="628" spans="6:6">
      <c r="F628" s="256"/>
    </row>
    <row r="629" spans="6:6">
      <c r="F629" s="256"/>
    </row>
    <row r="630" spans="6:6">
      <c r="F630" s="256"/>
    </row>
    <row r="631" spans="6:6">
      <c r="F631" s="256"/>
    </row>
    <row r="632" spans="6:6">
      <c r="F632" s="256"/>
    </row>
    <row r="633" spans="6:6">
      <c r="F633" s="256"/>
    </row>
    <row r="634" spans="6:6">
      <c r="F634" s="256"/>
    </row>
    <row r="635" spans="6:6">
      <c r="F635" s="256"/>
    </row>
    <row r="636" spans="6:6">
      <c r="F636" s="256"/>
    </row>
    <row r="637" spans="6:6">
      <c r="F637" s="256"/>
    </row>
    <row r="638" spans="6:6">
      <c r="F638" s="256"/>
    </row>
    <row r="639" spans="6:6">
      <c r="F639" s="256"/>
    </row>
    <row r="640" spans="6:6">
      <c r="F640" s="256"/>
    </row>
    <row r="641" spans="6:6">
      <c r="F641" s="256"/>
    </row>
    <row r="642" spans="6:6">
      <c r="F642" s="256"/>
    </row>
    <row r="643" spans="6:6">
      <c r="F643" s="256"/>
    </row>
    <row r="644" spans="6:6">
      <c r="F644" s="256"/>
    </row>
    <row r="645" spans="6:6">
      <c r="F645" s="256"/>
    </row>
    <row r="646" spans="6:6">
      <c r="F646" s="256"/>
    </row>
    <row r="647" spans="6:6">
      <c r="F647" s="256"/>
    </row>
    <row r="648" spans="6:6">
      <c r="F648" s="256"/>
    </row>
    <row r="649" spans="6:6">
      <c r="F649" s="256"/>
    </row>
    <row r="650" spans="6:6">
      <c r="F650" s="256"/>
    </row>
    <row r="651" spans="6:6">
      <c r="F651" s="256"/>
    </row>
    <row r="652" spans="6:6">
      <c r="F652" s="256"/>
    </row>
    <row r="653" spans="6:6">
      <c r="F653" s="256"/>
    </row>
    <row r="654" spans="6:6">
      <c r="F654" s="256"/>
    </row>
    <row r="655" spans="6:6">
      <c r="F655" s="256"/>
    </row>
    <row r="656" spans="6:6">
      <c r="F656" s="256"/>
    </row>
    <row r="657" spans="6:6">
      <c r="F657" s="256"/>
    </row>
    <row r="658" spans="6:6">
      <c r="F658" s="256"/>
    </row>
    <row r="659" spans="6:6">
      <c r="F659" s="256"/>
    </row>
    <row r="660" spans="6:6">
      <c r="F660" s="256"/>
    </row>
    <row r="661" spans="6:6">
      <c r="F661" s="256"/>
    </row>
    <row r="662" spans="6:6">
      <c r="F662" s="256"/>
    </row>
    <row r="663" spans="6:6">
      <c r="F663" s="256"/>
    </row>
    <row r="664" spans="6:6">
      <c r="F664" s="256"/>
    </row>
    <row r="665" spans="6:6">
      <c r="F665" s="256"/>
    </row>
    <row r="666" spans="6:6">
      <c r="F666" s="256"/>
    </row>
    <row r="667" spans="6:6">
      <c r="F667" s="256"/>
    </row>
    <row r="668" spans="6:6">
      <c r="F668" s="256"/>
    </row>
    <row r="669" spans="6:6">
      <c r="F669" s="256"/>
    </row>
    <row r="670" spans="6:6">
      <c r="F670" s="256"/>
    </row>
    <row r="671" spans="6:6">
      <c r="F671" s="256"/>
    </row>
    <row r="672" spans="6:6">
      <c r="F672" s="256"/>
    </row>
    <row r="673" spans="6:6">
      <c r="F673" s="256"/>
    </row>
    <row r="674" spans="6:6">
      <c r="F674" s="256"/>
    </row>
    <row r="675" spans="6:6">
      <c r="F675" s="256"/>
    </row>
    <row r="676" spans="6:6">
      <c r="F676" s="256"/>
    </row>
    <row r="677" spans="6:6">
      <c r="F677" s="256"/>
    </row>
    <row r="678" spans="6:6">
      <c r="F678" s="256"/>
    </row>
    <row r="679" spans="6:6">
      <c r="F679" s="256"/>
    </row>
    <row r="680" spans="6:6">
      <c r="F680" s="256"/>
    </row>
    <row r="681" spans="6:6">
      <c r="F681" s="256"/>
    </row>
    <row r="682" spans="6:6">
      <c r="F682" s="256"/>
    </row>
    <row r="683" spans="6:6">
      <c r="F683" s="256"/>
    </row>
    <row r="684" spans="6:6">
      <c r="F684" s="256"/>
    </row>
    <row r="685" spans="6:6">
      <c r="F685" s="256"/>
    </row>
    <row r="686" spans="6:6">
      <c r="F686" s="256"/>
    </row>
    <row r="687" spans="6:6">
      <c r="F687" s="256"/>
    </row>
    <row r="688" spans="6:6">
      <c r="F688" s="256"/>
    </row>
    <row r="689" spans="6:6">
      <c r="F689" s="256"/>
    </row>
    <row r="690" spans="6:6">
      <c r="F690" s="256"/>
    </row>
    <row r="691" spans="6:6">
      <c r="F691" s="256"/>
    </row>
    <row r="692" spans="6:6">
      <c r="F692" s="256"/>
    </row>
    <row r="693" spans="6:6">
      <c r="F693" s="256"/>
    </row>
    <row r="694" spans="6:6">
      <c r="F694" s="256"/>
    </row>
    <row r="695" spans="6:6">
      <c r="F695" s="256"/>
    </row>
    <row r="696" spans="6:6">
      <c r="F696" s="256"/>
    </row>
    <row r="697" spans="6:6">
      <c r="F697" s="256"/>
    </row>
    <row r="698" spans="6:6">
      <c r="F698" s="256"/>
    </row>
    <row r="699" spans="6:6">
      <c r="F699" s="256"/>
    </row>
    <row r="700" spans="6:6">
      <c r="F700" s="256"/>
    </row>
    <row r="701" spans="6:6">
      <c r="F701" s="256"/>
    </row>
    <row r="702" spans="6:6">
      <c r="F702" s="256"/>
    </row>
    <row r="703" spans="6:6">
      <c r="F703" s="256"/>
    </row>
    <row r="704" spans="6:6">
      <c r="F704" s="256"/>
    </row>
    <row r="705" spans="6:6">
      <c r="F705" s="256"/>
    </row>
    <row r="706" spans="6:6">
      <c r="F706" s="256"/>
    </row>
    <row r="707" spans="6:6">
      <c r="F707" s="256"/>
    </row>
    <row r="708" spans="6:6">
      <c r="F708" s="256"/>
    </row>
    <row r="709" spans="6:6">
      <c r="F709" s="256"/>
    </row>
    <row r="710" spans="6:6">
      <c r="F710" s="256"/>
    </row>
    <row r="711" spans="6:6">
      <c r="F711" s="256"/>
    </row>
    <row r="712" spans="6:6">
      <c r="F712" s="256"/>
    </row>
    <row r="713" spans="6:6">
      <c r="F713" s="256"/>
    </row>
    <row r="714" spans="6:6">
      <c r="F714" s="256"/>
    </row>
    <row r="715" spans="6:6">
      <c r="F715" s="256"/>
    </row>
    <row r="716" spans="6:6">
      <c r="F716" s="256"/>
    </row>
    <row r="717" spans="6:6">
      <c r="F717" s="256"/>
    </row>
    <row r="718" spans="6:6">
      <c r="F718" s="256"/>
    </row>
    <row r="719" spans="6:6">
      <c r="F719" s="256"/>
    </row>
    <row r="720" spans="6:6">
      <c r="F720" s="256"/>
    </row>
    <row r="721" spans="6:6">
      <c r="F721" s="256"/>
    </row>
    <row r="722" spans="6:6">
      <c r="F722" s="256"/>
    </row>
    <row r="723" spans="6:6">
      <c r="F723" s="256"/>
    </row>
    <row r="724" spans="6:6">
      <c r="F724" s="256"/>
    </row>
    <row r="725" spans="6:6">
      <c r="F725" s="256"/>
    </row>
    <row r="726" spans="6:6">
      <c r="F726" s="256"/>
    </row>
    <row r="727" spans="6:6">
      <c r="F727" s="256"/>
    </row>
    <row r="728" spans="6:6">
      <c r="F728" s="256"/>
    </row>
    <row r="729" spans="6:6">
      <c r="F729" s="256"/>
    </row>
    <row r="730" spans="6:6">
      <c r="F730" s="256"/>
    </row>
    <row r="731" spans="6:6">
      <c r="F731" s="256"/>
    </row>
    <row r="732" spans="6:6">
      <c r="F732" s="256"/>
    </row>
    <row r="733" spans="6:6">
      <c r="F733" s="256"/>
    </row>
    <row r="734" spans="6:6">
      <c r="F734" s="256"/>
    </row>
    <row r="735" spans="6:6">
      <c r="F735" s="256"/>
    </row>
    <row r="736" spans="6:6">
      <c r="F736" s="256"/>
    </row>
    <row r="737" spans="6:6">
      <c r="F737" s="256"/>
    </row>
    <row r="738" spans="6:6">
      <c r="F738" s="256"/>
    </row>
    <row r="739" spans="6:6">
      <c r="F739" s="256"/>
    </row>
    <row r="740" spans="6:6">
      <c r="F740" s="256"/>
    </row>
    <row r="741" spans="6:6">
      <c r="F741" s="256"/>
    </row>
    <row r="742" spans="6:6">
      <c r="F742" s="256"/>
    </row>
    <row r="743" spans="6:6">
      <c r="F743" s="256"/>
    </row>
    <row r="744" spans="6:6">
      <c r="F744" s="256"/>
    </row>
    <row r="745" spans="6:6">
      <c r="F745" s="256"/>
    </row>
    <row r="746" spans="6:6">
      <c r="F746" s="256"/>
    </row>
    <row r="747" spans="6:6">
      <c r="F747" s="256"/>
    </row>
    <row r="748" spans="6:6">
      <c r="F748" s="256"/>
    </row>
    <row r="749" spans="6:6">
      <c r="F749" s="256"/>
    </row>
    <row r="750" spans="6:6">
      <c r="F750" s="256"/>
    </row>
    <row r="751" spans="6:6">
      <c r="F751" s="256"/>
    </row>
    <row r="752" spans="6:6">
      <c r="F752" s="256"/>
    </row>
    <row r="753" spans="6:6">
      <c r="F753" s="256"/>
    </row>
    <row r="754" spans="6:6">
      <c r="F754" s="256"/>
    </row>
    <row r="755" spans="6:6">
      <c r="F755" s="256"/>
    </row>
    <row r="756" spans="6:6">
      <c r="F756" s="256"/>
    </row>
    <row r="757" spans="6:6">
      <c r="F757" s="256"/>
    </row>
    <row r="758" spans="6:6">
      <c r="F758" s="256"/>
    </row>
    <row r="759" spans="6:6">
      <c r="F759" s="256"/>
    </row>
    <row r="760" spans="6:6">
      <c r="F760" s="256"/>
    </row>
    <row r="761" spans="6:6">
      <c r="F761" s="256"/>
    </row>
    <row r="762" spans="6:6">
      <c r="F762" s="256"/>
    </row>
    <row r="763" spans="6:6">
      <c r="F763" s="256"/>
    </row>
    <row r="764" spans="6:6">
      <c r="F764" s="256"/>
    </row>
    <row r="765" spans="6:6">
      <c r="F765" s="256"/>
    </row>
    <row r="766" spans="6:6">
      <c r="F766" s="256"/>
    </row>
    <row r="767" spans="6:6">
      <c r="F767" s="256"/>
    </row>
    <row r="768" spans="6:6">
      <c r="F768" s="256"/>
    </row>
    <row r="769" spans="6:6">
      <c r="F769" s="256"/>
    </row>
    <row r="770" spans="6:6">
      <c r="F770" s="256"/>
    </row>
    <row r="771" spans="6:6">
      <c r="F771" s="256"/>
    </row>
    <row r="772" spans="6:6">
      <c r="F772" s="256"/>
    </row>
    <row r="773" spans="6:6">
      <c r="F773" s="256"/>
    </row>
    <row r="774" spans="6:6">
      <c r="F774" s="256"/>
    </row>
    <row r="775" spans="6:6">
      <c r="F775" s="256"/>
    </row>
    <row r="776" spans="6:6">
      <c r="F776" s="256"/>
    </row>
    <row r="777" spans="6:6">
      <c r="F777" s="256"/>
    </row>
    <row r="778" spans="6:6">
      <c r="F778" s="256"/>
    </row>
    <row r="779" spans="6:6">
      <c r="F779" s="256"/>
    </row>
    <row r="780" spans="6:6">
      <c r="F780" s="256"/>
    </row>
    <row r="781" spans="6:6">
      <c r="F781" s="256"/>
    </row>
    <row r="782" spans="6:6">
      <c r="F782" s="256"/>
    </row>
    <row r="783" spans="6:6">
      <c r="F783" s="256"/>
    </row>
    <row r="784" spans="6:6">
      <c r="F784" s="256"/>
    </row>
    <row r="785" spans="6:6">
      <c r="F785" s="256"/>
    </row>
    <row r="786" spans="6:6">
      <c r="F786" s="256"/>
    </row>
    <row r="787" spans="6:6">
      <c r="F787" s="256"/>
    </row>
    <row r="788" spans="6:6">
      <c r="F788" s="256"/>
    </row>
    <row r="789" spans="6:6">
      <c r="F789" s="256"/>
    </row>
    <row r="790" spans="6:6">
      <c r="F790" s="256"/>
    </row>
    <row r="791" spans="6:6">
      <c r="F791" s="256"/>
    </row>
    <row r="792" spans="6:6">
      <c r="F792" s="256"/>
    </row>
    <row r="793" spans="6:6">
      <c r="F793" s="256"/>
    </row>
    <row r="794" spans="6:6">
      <c r="F794" s="256"/>
    </row>
    <row r="795" spans="6:6">
      <c r="F795" s="256"/>
    </row>
    <row r="796" spans="6:6">
      <c r="F796" s="256"/>
    </row>
    <row r="797" spans="6:6">
      <c r="F797" s="256"/>
    </row>
    <row r="798" spans="6:6">
      <c r="F798" s="256"/>
    </row>
    <row r="799" spans="6:6">
      <c r="F799" s="256"/>
    </row>
    <row r="800" spans="6:6">
      <c r="F800" s="256"/>
    </row>
    <row r="801" spans="6:6">
      <c r="F801" s="256"/>
    </row>
    <row r="802" spans="6:6">
      <c r="F802" s="256"/>
    </row>
    <row r="803" spans="6:6">
      <c r="F803" s="256"/>
    </row>
    <row r="804" spans="6:6">
      <c r="F804" s="256"/>
    </row>
    <row r="805" spans="6:6">
      <c r="F805" s="256"/>
    </row>
    <row r="806" spans="6:6">
      <c r="F806" s="256"/>
    </row>
    <row r="807" spans="6:6">
      <c r="F807" s="256"/>
    </row>
    <row r="808" spans="6:6">
      <c r="F808" s="256"/>
    </row>
    <row r="809" spans="6:6">
      <c r="F809" s="256"/>
    </row>
    <row r="810" spans="6:6">
      <c r="F810" s="256"/>
    </row>
    <row r="811" spans="6:6">
      <c r="F811" s="256"/>
    </row>
    <row r="812" spans="6:6">
      <c r="F812" s="256"/>
    </row>
    <row r="813" spans="6:6">
      <c r="F813" s="256"/>
    </row>
    <row r="814" spans="6:6">
      <c r="F814" s="256"/>
    </row>
    <row r="815" spans="6:6">
      <c r="F815" s="256"/>
    </row>
    <row r="816" spans="6:6">
      <c r="F816" s="256"/>
    </row>
    <row r="817" spans="6:6">
      <c r="F817" s="256"/>
    </row>
    <row r="818" spans="6:6">
      <c r="F818" s="256"/>
    </row>
    <row r="819" spans="6:6">
      <c r="F819" s="256"/>
    </row>
    <row r="820" spans="6:6">
      <c r="F820" s="256"/>
    </row>
    <row r="821" spans="6:6">
      <c r="F821" s="256"/>
    </row>
    <row r="822" spans="6:6">
      <c r="F822" s="256"/>
    </row>
    <row r="823" spans="6:6">
      <c r="F823" s="256"/>
    </row>
    <row r="824" spans="6:6">
      <c r="F824" s="256"/>
    </row>
    <row r="825" spans="6:6">
      <c r="F825" s="256"/>
    </row>
    <row r="826" spans="6:6">
      <c r="F826" s="256"/>
    </row>
    <row r="827" spans="6:6">
      <c r="F827" s="256"/>
    </row>
    <row r="828" spans="6:6">
      <c r="F828" s="256"/>
    </row>
    <row r="829" spans="6:6">
      <c r="F829" s="256"/>
    </row>
    <row r="830" spans="6:6">
      <c r="F830" s="256"/>
    </row>
    <row r="831" spans="6:6">
      <c r="F831" s="256"/>
    </row>
    <row r="832" spans="6:6">
      <c r="F832" s="256"/>
    </row>
    <row r="833" spans="6:6">
      <c r="F833" s="256"/>
    </row>
    <row r="834" spans="6:6">
      <c r="F834" s="256"/>
    </row>
    <row r="835" spans="6:6">
      <c r="F835" s="256"/>
    </row>
    <row r="836" spans="6:6">
      <c r="F836" s="256"/>
    </row>
    <row r="837" spans="6:6">
      <c r="F837" s="256"/>
    </row>
    <row r="838" spans="6:6">
      <c r="F838" s="256"/>
    </row>
    <row r="839" spans="6:6">
      <c r="F839" s="256"/>
    </row>
    <row r="840" spans="6:6">
      <c r="F840" s="256"/>
    </row>
    <row r="841" spans="6:6">
      <c r="F841" s="256"/>
    </row>
    <row r="842" spans="6:6">
      <c r="F842" s="256"/>
    </row>
    <row r="843" spans="6:6">
      <c r="F843" s="256"/>
    </row>
    <row r="844" spans="6:6">
      <c r="F844" s="256"/>
    </row>
    <row r="845" spans="6:6">
      <c r="F845" s="256"/>
    </row>
    <row r="846" spans="6:6">
      <c r="F846" s="256"/>
    </row>
    <row r="847" spans="6:6">
      <c r="F847" s="256"/>
    </row>
    <row r="848" spans="6:6">
      <c r="F848" s="256"/>
    </row>
    <row r="849" spans="6:6">
      <c r="F849" s="256"/>
    </row>
    <row r="850" spans="6:6">
      <c r="F850" s="256"/>
    </row>
    <row r="851" spans="6:6">
      <c r="F851" s="256"/>
    </row>
    <row r="852" spans="6:6">
      <c r="F852" s="256"/>
    </row>
    <row r="853" spans="6:6">
      <c r="F853" s="256"/>
    </row>
    <row r="854" spans="6:6">
      <c r="F854" s="256"/>
    </row>
    <row r="855" spans="6:6">
      <c r="F855" s="256"/>
    </row>
    <row r="856" spans="6:6">
      <c r="F856" s="256"/>
    </row>
    <row r="857" spans="6:6">
      <c r="F857" s="256"/>
    </row>
    <row r="858" spans="6:6">
      <c r="F858" s="256"/>
    </row>
    <row r="859" spans="6:6">
      <c r="F859" s="256"/>
    </row>
    <row r="860" spans="6:6">
      <c r="F860" s="256"/>
    </row>
    <row r="861" spans="6:6">
      <c r="F861" s="256"/>
    </row>
    <row r="862" spans="6:6">
      <c r="F862" s="256"/>
    </row>
    <row r="863" spans="6:6">
      <c r="F863" s="256"/>
    </row>
    <row r="864" spans="6:6">
      <c r="F864" s="256"/>
    </row>
    <row r="865" spans="6:6">
      <c r="F865" s="256"/>
    </row>
    <row r="866" spans="6:6">
      <c r="F866" s="256"/>
    </row>
    <row r="867" spans="6:6">
      <c r="F867" s="256"/>
    </row>
    <row r="868" spans="6:6">
      <c r="F868" s="256"/>
    </row>
    <row r="869" spans="6:6">
      <c r="F869" s="256"/>
    </row>
    <row r="870" spans="6:6">
      <c r="F870" s="256"/>
    </row>
    <row r="871" spans="6:6">
      <c r="F871" s="256"/>
    </row>
    <row r="872" spans="6:6">
      <c r="F872" s="256"/>
    </row>
    <row r="873" spans="6:6">
      <c r="F873" s="256"/>
    </row>
    <row r="874" spans="6:6">
      <c r="F874" s="256"/>
    </row>
    <row r="875" spans="6:6">
      <c r="F875" s="256"/>
    </row>
    <row r="876" spans="6:6">
      <c r="F876" s="256"/>
    </row>
    <row r="877" spans="6:6">
      <c r="F877" s="256"/>
    </row>
    <row r="878" spans="6:6">
      <c r="F878" s="256"/>
    </row>
    <row r="879" spans="6:6">
      <c r="F879" s="256"/>
    </row>
    <row r="880" spans="6:6">
      <c r="F880" s="256"/>
    </row>
    <row r="881" spans="6:6">
      <c r="F881" s="256"/>
    </row>
    <row r="882" spans="6:6">
      <c r="F882" s="256"/>
    </row>
    <row r="883" spans="6:6">
      <c r="F883" s="256"/>
    </row>
    <row r="884" spans="6:6">
      <c r="F884" s="256"/>
    </row>
    <row r="885" spans="6:6">
      <c r="F885" s="256"/>
    </row>
    <row r="886" spans="6:6">
      <c r="F886" s="256"/>
    </row>
    <row r="887" spans="6:6">
      <c r="F887" s="256"/>
    </row>
    <row r="888" spans="6:6">
      <c r="F888" s="256"/>
    </row>
    <row r="889" spans="6:6">
      <c r="F889" s="256"/>
    </row>
    <row r="890" spans="6:6">
      <c r="F890" s="256"/>
    </row>
    <row r="891" spans="6:6">
      <c r="F891" s="256"/>
    </row>
    <row r="892" spans="6:6">
      <c r="F892" s="256"/>
    </row>
    <row r="893" spans="6:6">
      <c r="F893" s="256"/>
    </row>
    <row r="894" spans="6:6">
      <c r="F894" s="256"/>
    </row>
    <row r="895" spans="6:6">
      <c r="F895" s="256"/>
    </row>
    <row r="896" spans="6:6">
      <c r="F896" s="256"/>
    </row>
    <row r="897" spans="6:6">
      <c r="F897" s="256"/>
    </row>
    <row r="898" spans="6:6">
      <c r="F898" s="256"/>
    </row>
    <row r="899" spans="6:6">
      <c r="F899" s="256"/>
    </row>
    <row r="900" spans="6:6">
      <c r="F900" s="256"/>
    </row>
    <row r="901" spans="6:6">
      <c r="F901" s="256"/>
    </row>
    <row r="902" spans="6:6">
      <c r="F902" s="256"/>
    </row>
    <row r="903" spans="6:6">
      <c r="F903" s="256"/>
    </row>
    <row r="904" spans="6:6">
      <c r="F904" s="256"/>
    </row>
    <row r="905" spans="6:6">
      <c r="F905" s="256"/>
    </row>
    <row r="906" spans="6:6">
      <c r="F906" s="256"/>
    </row>
    <row r="907" spans="6:6">
      <c r="F907" s="256"/>
    </row>
    <row r="908" spans="6:6">
      <c r="F908" s="256"/>
    </row>
    <row r="909" spans="6:6">
      <c r="F909" s="256"/>
    </row>
    <row r="910" spans="6:6">
      <c r="F910" s="256"/>
    </row>
    <row r="911" spans="6:6">
      <c r="F911" s="256"/>
    </row>
    <row r="912" spans="6:6">
      <c r="F912" s="256"/>
    </row>
    <row r="913" spans="6:6">
      <c r="F913" s="256"/>
    </row>
    <row r="914" spans="6:6">
      <c r="F914" s="256"/>
    </row>
    <row r="915" spans="6:6">
      <c r="F915" s="256"/>
    </row>
    <row r="916" spans="6:6">
      <c r="F916" s="256"/>
    </row>
    <row r="917" spans="6:6">
      <c r="F917" s="256"/>
    </row>
    <row r="918" spans="6:6">
      <c r="F918" s="256"/>
    </row>
    <row r="919" spans="6:6">
      <c r="F919" s="256"/>
    </row>
    <row r="920" spans="6:6">
      <c r="F920" s="256"/>
    </row>
    <row r="921" spans="6:6">
      <c r="F921" s="256"/>
    </row>
    <row r="922" spans="6:6">
      <c r="F922" s="256"/>
    </row>
    <row r="923" spans="6:6">
      <c r="F923" s="256"/>
    </row>
    <row r="924" spans="6:6">
      <c r="F924" s="256"/>
    </row>
    <row r="925" spans="6:6">
      <c r="F925" s="256"/>
    </row>
    <row r="926" spans="6:6">
      <c r="F926" s="256"/>
    </row>
    <row r="927" spans="6:6">
      <c r="F927" s="256"/>
    </row>
    <row r="928" spans="6:6">
      <c r="F928" s="256"/>
    </row>
    <row r="929" spans="6:6">
      <c r="F929" s="256"/>
    </row>
    <row r="930" spans="6:6">
      <c r="F930" s="256"/>
    </row>
    <row r="931" spans="6:6">
      <c r="F931" s="256"/>
    </row>
    <row r="932" spans="6:6">
      <c r="F932" s="256"/>
    </row>
    <row r="933" spans="6:6">
      <c r="F933" s="256"/>
    </row>
    <row r="934" spans="6:6">
      <c r="F934" s="256"/>
    </row>
    <row r="935" spans="6:6">
      <c r="F935" s="256"/>
    </row>
    <row r="936" spans="6:6">
      <c r="F936" s="256"/>
    </row>
    <row r="937" spans="6:6">
      <c r="F937" s="256"/>
    </row>
    <row r="938" spans="6:6">
      <c r="F938" s="256"/>
    </row>
    <row r="939" spans="6:6">
      <c r="F939" s="256"/>
    </row>
    <row r="940" spans="6:6">
      <c r="F940" s="256"/>
    </row>
    <row r="941" spans="6:6">
      <c r="F941" s="256"/>
    </row>
    <row r="942" spans="6:6">
      <c r="F942" s="256"/>
    </row>
    <row r="943" spans="6:6">
      <c r="F943" s="256"/>
    </row>
    <row r="944" spans="6:6">
      <c r="F944" s="256"/>
    </row>
    <row r="945" spans="6:6">
      <c r="F945" s="256"/>
    </row>
    <row r="946" spans="6:6">
      <c r="F946" s="256"/>
    </row>
    <row r="947" spans="6:6">
      <c r="F947" s="256"/>
    </row>
    <row r="948" spans="6:6">
      <c r="F948" s="256"/>
    </row>
    <row r="949" spans="6:6">
      <c r="F949" s="256"/>
    </row>
    <row r="950" spans="6:6">
      <c r="F950" s="256"/>
    </row>
    <row r="951" spans="6:6">
      <c r="F951" s="256"/>
    </row>
    <row r="952" spans="6:6">
      <c r="F952" s="256"/>
    </row>
    <row r="953" spans="6:6">
      <c r="F953" s="256"/>
    </row>
    <row r="954" spans="6:6">
      <c r="F954" s="256"/>
    </row>
    <row r="955" spans="6:6">
      <c r="F955" s="256"/>
    </row>
    <row r="956" spans="6:6">
      <c r="F956" s="256"/>
    </row>
    <row r="957" spans="6:6">
      <c r="F957" s="256"/>
    </row>
    <row r="958" spans="6:6">
      <c r="F958" s="256"/>
    </row>
    <row r="959" spans="6:6">
      <c r="F959" s="256"/>
    </row>
    <row r="960" spans="6:6">
      <c r="F960" s="256"/>
    </row>
    <row r="961" spans="6:6">
      <c r="F961" s="256"/>
    </row>
    <row r="962" spans="6:6">
      <c r="F962" s="256"/>
    </row>
    <row r="963" spans="6:6">
      <c r="F963" s="256"/>
    </row>
    <row r="964" spans="6:6">
      <c r="F964" s="256"/>
    </row>
    <row r="965" spans="6:6">
      <c r="F965" s="256"/>
    </row>
    <row r="966" spans="6:6">
      <c r="F966" s="256"/>
    </row>
    <row r="967" spans="6:6">
      <c r="F967" s="256"/>
    </row>
    <row r="968" spans="6:6">
      <c r="F968" s="256"/>
    </row>
    <row r="969" spans="6:6">
      <c r="F969" s="256"/>
    </row>
    <row r="970" spans="6:6">
      <c r="F970" s="256"/>
    </row>
    <row r="971" spans="6:6">
      <c r="F971" s="256"/>
    </row>
    <row r="972" spans="6:6">
      <c r="F972" s="256"/>
    </row>
    <row r="973" spans="6:6">
      <c r="F973" s="256"/>
    </row>
    <row r="974" spans="6:6">
      <c r="F974" s="256"/>
    </row>
    <row r="975" spans="6:6">
      <c r="F975" s="256"/>
    </row>
    <row r="976" spans="6:6">
      <c r="F976" s="256"/>
    </row>
    <row r="977" spans="6:6">
      <c r="F977" s="256"/>
    </row>
    <row r="978" spans="6:6">
      <c r="F978" s="256"/>
    </row>
    <row r="979" spans="6:6">
      <c r="F979" s="256"/>
    </row>
    <row r="980" spans="6:6">
      <c r="F980" s="256"/>
    </row>
    <row r="981" spans="6:6">
      <c r="F981" s="256"/>
    </row>
    <row r="982" spans="6:6">
      <c r="F982" s="256"/>
    </row>
    <row r="983" spans="6:6">
      <c r="F983" s="256"/>
    </row>
    <row r="984" spans="6:6">
      <c r="F984" s="256"/>
    </row>
    <row r="985" spans="6:6">
      <c r="F985" s="256"/>
    </row>
    <row r="986" spans="6:6">
      <c r="F986" s="256"/>
    </row>
    <row r="987" spans="6:6">
      <c r="F987" s="256"/>
    </row>
    <row r="988" spans="6:6">
      <c r="F988" s="256"/>
    </row>
    <row r="989" spans="6:6">
      <c r="F989" s="256"/>
    </row>
    <row r="990" spans="6:6">
      <c r="F990" s="256"/>
    </row>
    <row r="991" spans="6:6">
      <c r="F991" s="256"/>
    </row>
    <row r="992" spans="6:6">
      <c r="F992" s="256"/>
    </row>
    <row r="993" spans="6:6">
      <c r="F993" s="256"/>
    </row>
    <row r="994" spans="6:6">
      <c r="F994" s="256"/>
    </row>
    <row r="995" spans="6:6">
      <c r="F995" s="256"/>
    </row>
    <row r="996" spans="6:6">
      <c r="F996" s="256"/>
    </row>
    <row r="997" spans="6:6">
      <c r="F997" s="256"/>
    </row>
    <row r="998" spans="6:6">
      <c r="F998" s="256"/>
    </row>
    <row r="999" spans="6:6">
      <c r="F999" s="256"/>
    </row>
    <row r="1000" spans="6:6">
      <c r="F1000" s="256"/>
    </row>
    <row r="1001" spans="6:6">
      <c r="F1001" s="256"/>
    </row>
    <row r="1002" spans="6:6">
      <c r="F1002" s="256"/>
    </row>
    <row r="1003" spans="6:6">
      <c r="F1003" s="256"/>
    </row>
    <row r="1004" spans="6:6">
      <c r="F1004" s="256"/>
    </row>
    <row r="1005" spans="6:6">
      <c r="F1005" s="256"/>
    </row>
    <row r="1006" spans="6:6">
      <c r="F1006" s="256"/>
    </row>
    <row r="1007" spans="6:6">
      <c r="F1007" s="256"/>
    </row>
    <row r="1008" spans="6:6">
      <c r="F1008" s="256"/>
    </row>
    <row r="1009" spans="6:6">
      <c r="F1009" s="256"/>
    </row>
    <row r="1010" spans="6:6">
      <c r="F1010" s="256"/>
    </row>
    <row r="1011" spans="6:6">
      <c r="F1011" s="256"/>
    </row>
    <row r="1012" spans="6:6">
      <c r="F1012" s="256"/>
    </row>
    <row r="1013" spans="6:6">
      <c r="F1013" s="256"/>
    </row>
    <row r="1014" spans="6:6">
      <c r="F1014" s="256"/>
    </row>
    <row r="1015" spans="6:6">
      <c r="F1015" s="256"/>
    </row>
    <row r="1016" spans="6:6">
      <c r="F1016" s="256"/>
    </row>
    <row r="1017" spans="6:6">
      <c r="F1017" s="256"/>
    </row>
    <row r="1018" spans="6:6">
      <c r="F1018" s="256"/>
    </row>
    <row r="1019" spans="6:6">
      <c r="F1019" s="256"/>
    </row>
    <row r="1020" spans="6:6">
      <c r="F1020" s="256"/>
    </row>
    <row r="1021" spans="6:6">
      <c r="F1021" s="256"/>
    </row>
    <row r="1022" spans="6:6">
      <c r="F1022" s="256"/>
    </row>
    <row r="1023" spans="6:6">
      <c r="F1023" s="256"/>
    </row>
    <row r="1024" spans="6:6">
      <c r="F1024" s="256"/>
    </row>
    <row r="1025" spans="6:6">
      <c r="F1025" s="256"/>
    </row>
    <row r="1026" spans="6:6">
      <c r="F1026" s="256"/>
    </row>
    <row r="1027" spans="6:6">
      <c r="F1027" s="256"/>
    </row>
    <row r="1028" spans="6:6">
      <c r="F1028" s="256"/>
    </row>
    <row r="1029" spans="6:6">
      <c r="F1029" s="256"/>
    </row>
    <row r="1030" spans="6:6">
      <c r="F1030" s="256"/>
    </row>
    <row r="1031" spans="6:6">
      <c r="F1031" s="256"/>
    </row>
    <row r="1032" spans="6:6">
      <c r="F1032" s="256"/>
    </row>
    <row r="1033" spans="6:6">
      <c r="F1033" s="256"/>
    </row>
    <row r="1034" spans="6:6">
      <c r="F1034" s="256"/>
    </row>
    <row r="1035" spans="6:6">
      <c r="F1035" s="256"/>
    </row>
    <row r="1036" spans="6:6">
      <c r="F1036" s="256"/>
    </row>
    <row r="1037" spans="6:6">
      <c r="F1037" s="256"/>
    </row>
    <row r="1038" spans="6:6">
      <c r="F1038" s="256"/>
    </row>
    <row r="1039" spans="6:6">
      <c r="F1039" s="256"/>
    </row>
    <row r="1040" spans="6:6">
      <c r="F1040" s="256"/>
    </row>
    <row r="1041" spans="6:6">
      <c r="F1041" s="256"/>
    </row>
    <row r="1042" spans="6:6">
      <c r="F1042" s="256"/>
    </row>
    <row r="1043" spans="6:6">
      <c r="F1043" s="256"/>
    </row>
    <row r="1044" spans="6:6">
      <c r="F1044" s="256"/>
    </row>
    <row r="1045" spans="6:6">
      <c r="F1045" s="256"/>
    </row>
    <row r="1046" spans="6:6">
      <c r="F1046" s="256"/>
    </row>
    <row r="1047" spans="6:6">
      <c r="F1047" s="256"/>
    </row>
    <row r="1048" spans="6:6">
      <c r="F1048" s="256"/>
    </row>
    <row r="1049" spans="6:6">
      <c r="F1049" s="256"/>
    </row>
    <row r="1050" spans="6:6">
      <c r="F1050" s="256"/>
    </row>
    <row r="1051" spans="6:6">
      <c r="F1051" s="256"/>
    </row>
    <row r="1052" spans="6:6">
      <c r="F1052" s="256"/>
    </row>
    <row r="1053" spans="6:6">
      <c r="F1053" s="256"/>
    </row>
    <row r="1054" spans="6:6">
      <c r="F1054" s="256"/>
    </row>
    <row r="1055" spans="6:6">
      <c r="F1055" s="256"/>
    </row>
    <row r="1056" spans="6:6">
      <c r="F1056" s="256"/>
    </row>
    <row r="1057" spans="6:6">
      <c r="F1057" s="256"/>
    </row>
    <row r="1058" spans="6:6">
      <c r="F1058" s="256"/>
    </row>
    <row r="1059" spans="6:6">
      <c r="F1059" s="256"/>
    </row>
    <row r="1060" spans="6:6">
      <c r="F1060" s="256"/>
    </row>
    <row r="1061" spans="6:6">
      <c r="F1061" s="256"/>
    </row>
    <row r="1062" spans="6:6">
      <c r="F1062" s="256"/>
    </row>
    <row r="1063" spans="6:6">
      <c r="F1063" s="256"/>
    </row>
    <row r="1064" spans="6:6">
      <c r="F1064" s="256"/>
    </row>
    <row r="1065" spans="6:6">
      <c r="F1065" s="256"/>
    </row>
    <row r="1066" spans="6:6">
      <c r="F1066" s="256"/>
    </row>
    <row r="1067" spans="6:6">
      <c r="F1067" s="256"/>
    </row>
    <row r="1068" spans="6:6">
      <c r="F1068" s="256"/>
    </row>
    <row r="1069" spans="6:6">
      <c r="F1069" s="256"/>
    </row>
    <row r="1070" spans="6:6">
      <c r="F1070" s="256"/>
    </row>
    <row r="1071" spans="6:6">
      <c r="F1071" s="256"/>
    </row>
    <row r="1072" spans="6:6">
      <c r="F1072" s="256"/>
    </row>
    <row r="1073" spans="6:6">
      <c r="F1073" s="256"/>
    </row>
    <row r="1074" spans="6:6">
      <c r="F1074" s="256"/>
    </row>
    <row r="1075" spans="6:6">
      <c r="F1075" s="256"/>
    </row>
    <row r="1076" spans="6:6">
      <c r="F1076" s="256"/>
    </row>
    <row r="1077" spans="6:6">
      <c r="F1077" s="256"/>
    </row>
    <row r="1078" spans="6:6">
      <c r="F1078" s="256"/>
    </row>
    <row r="1079" spans="6:6">
      <c r="F1079" s="256"/>
    </row>
    <row r="1080" spans="6:6">
      <c r="F1080" s="256"/>
    </row>
    <row r="1081" spans="6:6">
      <c r="F1081" s="256"/>
    </row>
    <row r="1082" spans="6:6">
      <c r="F1082" s="256"/>
    </row>
    <row r="1083" spans="6:6">
      <c r="F1083" s="256"/>
    </row>
    <row r="1084" spans="6:6">
      <c r="F1084" s="256"/>
    </row>
    <row r="1085" spans="6:6">
      <c r="F1085" s="256"/>
    </row>
    <row r="1086" spans="6:6">
      <c r="F1086" s="256"/>
    </row>
    <row r="1087" spans="6:6">
      <c r="F1087" s="256"/>
    </row>
    <row r="1088" spans="6:6">
      <c r="F1088" s="256"/>
    </row>
    <row r="1089" spans="6:6">
      <c r="F1089" s="256"/>
    </row>
    <row r="1090" spans="6:6">
      <c r="F1090" s="256"/>
    </row>
    <row r="1091" spans="6:6">
      <c r="F1091" s="256"/>
    </row>
    <row r="1092" spans="6:6">
      <c r="F1092" s="256"/>
    </row>
    <row r="1093" spans="6:6">
      <c r="F1093" s="256"/>
    </row>
    <row r="1094" spans="6:6">
      <c r="F1094" s="256"/>
    </row>
    <row r="1095" spans="6:6">
      <c r="F1095" s="256"/>
    </row>
    <row r="1096" spans="6:6">
      <c r="F1096" s="256"/>
    </row>
    <row r="1097" spans="6:6">
      <c r="F1097" s="256"/>
    </row>
    <row r="1098" spans="6:6">
      <c r="F1098" s="256"/>
    </row>
    <row r="1099" spans="6:6">
      <c r="F1099" s="256"/>
    </row>
    <row r="1100" spans="6:6">
      <c r="F1100" s="256"/>
    </row>
    <row r="1101" spans="6:6">
      <c r="F1101" s="256"/>
    </row>
    <row r="1102" spans="6:6">
      <c r="F1102" s="256"/>
    </row>
    <row r="1103" spans="6:6">
      <c r="F1103" s="256"/>
    </row>
    <row r="1104" spans="6:6">
      <c r="F1104" s="256"/>
    </row>
    <row r="1105" spans="6:6">
      <c r="F1105" s="256"/>
    </row>
    <row r="1106" spans="6:6">
      <c r="F1106" s="256"/>
    </row>
    <row r="1107" spans="6:6">
      <c r="F1107" s="256"/>
    </row>
    <row r="1108" spans="6:6">
      <c r="F1108" s="256"/>
    </row>
    <row r="1109" spans="6:6">
      <c r="F1109" s="256"/>
    </row>
    <row r="1110" spans="6:6">
      <c r="F1110" s="256"/>
    </row>
    <row r="1111" spans="6:6">
      <c r="F1111" s="256"/>
    </row>
    <row r="1112" spans="6:6">
      <c r="F1112" s="256"/>
    </row>
    <row r="1113" spans="6:6">
      <c r="F1113" s="256"/>
    </row>
    <row r="1114" spans="6:6">
      <c r="F1114" s="256"/>
    </row>
    <row r="1115" spans="6:6">
      <c r="F1115" s="256"/>
    </row>
    <row r="1116" spans="6:6">
      <c r="F1116" s="256"/>
    </row>
    <row r="1117" spans="6:6">
      <c r="F1117" s="256"/>
    </row>
    <row r="1118" spans="6:6">
      <c r="F1118" s="256"/>
    </row>
    <row r="1119" spans="6:6">
      <c r="F1119" s="256"/>
    </row>
    <row r="1120" spans="6:6">
      <c r="F1120" s="256"/>
    </row>
    <row r="1121" spans="6:6">
      <c r="F1121" s="256"/>
    </row>
    <row r="1122" spans="6:6">
      <c r="F1122" s="256"/>
    </row>
    <row r="1123" spans="6:6">
      <c r="F1123" s="256"/>
    </row>
    <row r="1124" spans="6:6">
      <c r="F1124" s="256"/>
    </row>
    <row r="1125" spans="6:6">
      <c r="F1125" s="256"/>
    </row>
    <row r="1126" spans="6:6">
      <c r="F1126" s="256"/>
    </row>
    <row r="1127" spans="6:6">
      <c r="F1127" s="256"/>
    </row>
    <row r="1128" spans="6:6">
      <c r="F1128" s="256"/>
    </row>
    <row r="1129" spans="6:6">
      <c r="F1129" s="256"/>
    </row>
    <row r="1130" spans="6:6">
      <c r="F1130" s="256"/>
    </row>
    <row r="1131" spans="6:6">
      <c r="F1131" s="256"/>
    </row>
    <row r="1132" spans="6:6">
      <c r="F1132" s="256"/>
    </row>
    <row r="1133" spans="6:6">
      <c r="F1133" s="256"/>
    </row>
    <row r="1134" spans="6:6">
      <c r="F1134" s="256"/>
    </row>
    <row r="1135" spans="6:6">
      <c r="F1135" s="256"/>
    </row>
    <row r="1136" spans="6:6">
      <c r="F1136" s="256"/>
    </row>
    <row r="1137" spans="6:6">
      <c r="F1137" s="256"/>
    </row>
    <row r="1138" spans="6:6">
      <c r="F1138" s="256"/>
    </row>
    <row r="1139" spans="6:6">
      <c r="F1139" s="256"/>
    </row>
    <row r="1140" spans="6:6">
      <c r="F1140" s="256"/>
    </row>
    <row r="1141" spans="6:6">
      <c r="F1141" s="256"/>
    </row>
    <row r="1142" spans="6:6">
      <c r="F1142" s="256"/>
    </row>
    <row r="1143" spans="6:6">
      <c r="F1143" s="256"/>
    </row>
    <row r="1144" spans="6:6">
      <c r="F1144" s="256"/>
    </row>
    <row r="1145" spans="6:6">
      <c r="F1145" s="256"/>
    </row>
    <row r="1146" spans="6:6">
      <c r="F1146" s="256"/>
    </row>
    <row r="1147" spans="6:6">
      <c r="F1147" s="256"/>
    </row>
    <row r="1148" spans="6:6">
      <c r="F1148" s="256"/>
    </row>
    <row r="1149" spans="6:6">
      <c r="F1149" s="256"/>
    </row>
    <row r="1150" spans="6:6">
      <c r="F1150" s="256"/>
    </row>
    <row r="1151" spans="6:6">
      <c r="F1151" s="256"/>
    </row>
    <row r="1152" spans="6:6">
      <c r="F1152" s="256"/>
    </row>
    <row r="1153" spans="6:6">
      <c r="F1153" s="256"/>
    </row>
    <row r="1154" spans="6:6">
      <c r="F1154" s="256"/>
    </row>
    <row r="1155" spans="6:6">
      <c r="F1155" s="256"/>
    </row>
    <row r="1156" spans="6:6">
      <c r="F1156" s="256"/>
    </row>
    <row r="1157" spans="6:6">
      <c r="F1157" s="256"/>
    </row>
    <row r="1158" spans="6:6">
      <c r="F1158" s="256"/>
    </row>
    <row r="1159" spans="6:6">
      <c r="F1159" s="256"/>
    </row>
    <row r="1160" spans="6:6">
      <c r="F1160" s="256"/>
    </row>
    <row r="1161" spans="6:6">
      <c r="F1161" s="256"/>
    </row>
    <row r="1162" spans="6:6">
      <c r="F1162" s="256"/>
    </row>
    <row r="1163" spans="6:6">
      <c r="F1163" s="256"/>
    </row>
    <row r="1164" spans="6:6">
      <c r="F1164" s="256"/>
    </row>
    <row r="1165" spans="6:6">
      <c r="F1165" s="256"/>
    </row>
    <row r="1166" spans="6:6">
      <c r="F1166" s="256"/>
    </row>
    <row r="1167" spans="6:6">
      <c r="F1167" s="256"/>
    </row>
    <row r="1168" spans="6:6">
      <c r="F1168" s="256"/>
    </row>
    <row r="1169" spans="6:6">
      <c r="F1169" s="256"/>
    </row>
    <row r="1170" spans="6:6">
      <c r="F1170" s="256"/>
    </row>
    <row r="1171" spans="6:6">
      <c r="F1171" s="256"/>
    </row>
    <row r="1172" spans="6:6">
      <c r="F1172" s="256"/>
    </row>
    <row r="1173" spans="6:6">
      <c r="F1173" s="256"/>
    </row>
    <row r="1174" spans="6:6">
      <c r="F1174" s="256"/>
    </row>
    <row r="1175" spans="6:6">
      <c r="F1175" s="256"/>
    </row>
    <row r="1176" spans="6:6">
      <c r="F1176" s="256"/>
    </row>
    <row r="1177" spans="6:6">
      <c r="F1177" s="256"/>
    </row>
    <row r="1178" spans="6:6">
      <c r="F1178" s="256"/>
    </row>
    <row r="1179" spans="6:6">
      <c r="F1179" s="256"/>
    </row>
    <row r="1180" spans="6:6">
      <c r="F1180" s="256"/>
    </row>
    <row r="1181" spans="6:6">
      <c r="F1181" s="256"/>
    </row>
    <row r="1182" spans="6:6">
      <c r="F1182" s="256"/>
    </row>
    <row r="1183" spans="6:6">
      <c r="F1183" s="256"/>
    </row>
    <row r="1184" spans="6:6">
      <c r="F1184" s="256"/>
    </row>
  </sheetData>
  <sheetProtection algorithmName="SHA-512" hashValue="f8+tiv7pGzkFuHeATX7hRUK+vsjTTFt5xUB95pIfm6GFHhrtuDIeJqgIMrnhck6JpHYTkzfCBqnLsViuJKAHfQ==" saltValue="M42I1whZJS5xAiBNw2W6eA==" spinCount="100000" sheet="1" objects="1" scenarios="1"/>
  <protectedRanges>
    <protectedRange sqref="A7:D7 C96:D9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3" max="5" man="1"/>
  </rowBreaks>
  <ignoredErrors>
    <ignoredError sqref="C107:C113 C98:C102 C71:C72 C10:C58 C63:C69 C73:C87 C90:C92" numberStoredAsText="1"/>
    <ignoredError sqref="F118:F128 F107:F110 F71:F72 F54:F56 F10:F52 F98:F102 F64:F69 F73:F88 F89 F90:F92"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zoomScale="70" zoomScaleNormal="70" zoomScaleSheetLayoutView="90" zoomScalePageLayoutView="70" workbookViewId="0">
      <selection activeCell="K12" sqref="K12"/>
    </sheetView>
  </sheetViews>
  <sheetFormatPr defaultColWidth="9.140625" defaultRowHeight="15.75"/>
  <cols>
    <col min="1" max="1" width="5.28515625" style="277" customWidth="1"/>
    <col min="2" max="2" width="84.42578125" style="277" customWidth="1"/>
    <col min="3" max="3" width="14.85546875" style="277" customWidth="1"/>
    <col min="4" max="4" width="14" style="277" customWidth="1"/>
    <col min="5" max="5" width="15.42578125" style="277" customWidth="1"/>
    <col min="6" max="6" width="9.140625" style="277"/>
    <col min="7" max="7" width="10.85546875" style="277" customWidth="1"/>
    <col min="8" max="16384" width="9.140625" style="277"/>
  </cols>
  <sheetData>
    <row r="1" spans="2:7" ht="26.25">
      <c r="B1" s="773" t="s">
        <v>10</v>
      </c>
      <c r="C1" s="773"/>
      <c r="D1" s="773"/>
      <c r="E1" s="773"/>
      <c r="F1" s="276"/>
      <c r="G1" s="276"/>
    </row>
    <row r="2" spans="2:7" ht="26.25">
      <c r="B2" s="773" t="s">
        <v>721</v>
      </c>
      <c r="C2" s="773"/>
      <c r="D2" s="773"/>
      <c r="E2" s="773"/>
      <c r="F2" s="276"/>
      <c r="G2" s="276"/>
    </row>
    <row r="3" spans="2:7" ht="21">
      <c r="B3" s="762"/>
      <c r="C3" s="762"/>
      <c r="D3" s="762"/>
      <c r="E3" s="762"/>
      <c r="F3" s="276"/>
      <c r="G3" s="276"/>
    </row>
    <row r="4" spans="2:7" ht="21.75" thickBot="1">
      <c r="B4" s="868"/>
      <c r="C4" s="868"/>
      <c r="D4" s="868"/>
      <c r="E4" s="868"/>
      <c r="F4" s="276"/>
      <c r="G4" s="276"/>
    </row>
    <row r="5" spans="2:7" ht="48" customHeight="1">
      <c r="B5" s="757" t="s">
        <v>722</v>
      </c>
      <c r="C5" s="853" t="s">
        <v>723</v>
      </c>
      <c r="D5" s="854"/>
      <c r="E5" s="855"/>
    </row>
    <row r="6" spans="2:7">
      <c r="B6" s="758"/>
      <c r="C6" s="747" t="s">
        <v>724</v>
      </c>
      <c r="D6" s="653" t="s">
        <v>725</v>
      </c>
      <c r="E6" s="654" t="s">
        <v>726</v>
      </c>
    </row>
    <row r="7" spans="2:7" ht="29.25" customHeight="1">
      <c r="B7" s="1136"/>
      <c r="C7" s="748"/>
      <c r="D7" s="655">
        <v>-0.1</v>
      </c>
      <c r="E7" s="656">
        <v>0.15</v>
      </c>
    </row>
    <row r="8" spans="2:7" ht="15" customHeight="1">
      <c r="B8" s="657" t="s">
        <v>263</v>
      </c>
      <c r="C8" s="658">
        <v>71.975999999999999</v>
      </c>
      <c r="D8" s="658">
        <v>64.78</v>
      </c>
      <c r="E8" s="659">
        <v>82.78</v>
      </c>
    </row>
    <row r="9" spans="2:7" ht="15" customHeight="1">
      <c r="B9" s="660" t="s">
        <v>727</v>
      </c>
      <c r="C9" s="661">
        <v>3.6</v>
      </c>
      <c r="D9" s="661">
        <v>3.24</v>
      </c>
      <c r="E9" s="662">
        <v>4.1399999999999997</v>
      </c>
    </row>
    <row r="10" spans="2:7" ht="15" customHeight="1">
      <c r="B10" s="660" t="s">
        <v>728</v>
      </c>
      <c r="C10" s="661">
        <v>3.6</v>
      </c>
      <c r="D10" s="661">
        <v>3.24</v>
      </c>
      <c r="E10" s="662">
        <v>4.1399999999999997</v>
      </c>
    </row>
    <row r="11" spans="2:7" ht="15" customHeight="1">
      <c r="B11" s="663" t="s">
        <v>729</v>
      </c>
      <c r="C11" s="661">
        <v>7.2</v>
      </c>
      <c r="D11" s="661">
        <v>6.48</v>
      </c>
      <c r="E11" s="662">
        <v>8.2799999999999994</v>
      </c>
      <c r="F11" s="180"/>
    </row>
    <row r="12" spans="2:7" ht="15" customHeight="1">
      <c r="B12" s="664" t="s">
        <v>730</v>
      </c>
      <c r="C12" s="665"/>
      <c r="D12" s="665"/>
      <c r="E12" s="666"/>
    </row>
    <row r="13" spans="2:7" ht="42.6" customHeight="1">
      <c r="B13" s="759" t="s">
        <v>731</v>
      </c>
      <c r="C13" s="850" t="s">
        <v>723</v>
      </c>
      <c r="D13" s="851"/>
      <c r="E13" s="852"/>
    </row>
    <row r="14" spans="2:7">
      <c r="B14" s="758"/>
      <c r="C14" s="747" t="s">
        <v>724</v>
      </c>
      <c r="D14" s="667" t="s">
        <v>725</v>
      </c>
      <c r="E14" s="668" t="s">
        <v>726</v>
      </c>
    </row>
    <row r="15" spans="2:7">
      <c r="B15" s="1136"/>
      <c r="C15" s="748"/>
      <c r="D15" s="655">
        <f>D7</f>
        <v>-0.1</v>
      </c>
      <c r="E15" s="656">
        <f>E7</f>
        <v>0.15</v>
      </c>
    </row>
    <row r="16" spans="2:7" ht="15" customHeight="1">
      <c r="B16" s="669" t="s">
        <v>263</v>
      </c>
      <c r="C16" s="661">
        <v>71.975999999999999</v>
      </c>
      <c r="D16" s="661">
        <v>64.78</v>
      </c>
      <c r="E16" s="662">
        <v>82.78</v>
      </c>
    </row>
    <row r="17" spans="2:5" ht="15" customHeight="1">
      <c r="B17" s="669" t="s">
        <v>732</v>
      </c>
      <c r="C17" s="661">
        <v>215.93799999999999</v>
      </c>
      <c r="D17" s="661">
        <v>194.35</v>
      </c>
      <c r="E17" s="662">
        <v>248.33</v>
      </c>
    </row>
    <row r="18" spans="2:5" ht="15" customHeight="1">
      <c r="B18" s="664" t="s">
        <v>733</v>
      </c>
      <c r="C18" s="661">
        <v>14.4</v>
      </c>
      <c r="D18" s="661">
        <v>12.96</v>
      </c>
      <c r="E18" s="662">
        <v>16.559999999999999</v>
      </c>
    </row>
    <row r="19" spans="2:5" ht="15" customHeight="1">
      <c r="B19" s="664" t="s">
        <v>734</v>
      </c>
      <c r="C19" s="661">
        <v>14.4</v>
      </c>
      <c r="D19" s="661">
        <v>12.96</v>
      </c>
      <c r="E19" s="662">
        <v>16.559999999999999</v>
      </c>
    </row>
    <row r="20" spans="2:5" ht="15" customHeight="1">
      <c r="B20" s="670" t="s">
        <v>735</v>
      </c>
      <c r="C20" s="661">
        <v>7.2</v>
      </c>
      <c r="D20" s="661">
        <v>6.48</v>
      </c>
      <c r="E20" s="662">
        <v>8.2799999999999994</v>
      </c>
    </row>
    <row r="21" spans="2:5" ht="15" customHeight="1" thickBot="1">
      <c r="B21" s="1063" t="s">
        <v>736</v>
      </c>
      <c r="C21" s="1064">
        <v>57.58</v>
      </c>
      <c r="D21" s="1064">
        <v>51.83</v>
      </c>
      <c r="E21" s="1065">
        <v>66.22</v>
      </c>
    </row>
    <row r="22" spans="2:5" ht="16.5" thickBot="1">
      <c r="B22" s="278"/>
    </row>
    <row r="23" spans="2:5" ht="34.35" customHeight="1">
      <c r="B23" s="760" t="s">
        <v>737</v>
      </c>
      <c r="C23" s="856" t="s">
        <v>723</v>
      </c>
      <c r="D23" s="857"/>
      <c r="E23" s="858"/>
    </row>
    <row r="24" spans="2:5">
      <c r="B24" s="761"/>
      <c r="C24" s="747" t="s">
        <v>724</v>
      </c>
      <c r="D24" s="653" t="s">
        <v>725</v>
      </c>
      <c r="E24" s="671" t="s">
        <v>726</v>
      </c>
    </row>
    <row r="25" spans="2:5">
      <c r="B25" s="1137"/>
      <c r="C25" s="748"/>
      <c r="D25" s="655">
        <v>0</v>
      </c>
      <c r="E25" s="672">
        <v>0</v>
      </c>
    </row>
    <row r="26" spans="2:5" ht="15" customHeight="1">
      <c r="B26" s="673" t="s">
        <v>263</v>
      </c>
      <c r="C26" s="661">
        <v>91.79</v>
      </c>
      <c r="D26" s="661">
        <f>ROUND(C26*(1+D25),2)</f>
        <v>91.79</v>
      </c>
      <c r="E26" s="674">
        <f>ROUND(C26*(1+E25),2)</f>
        <v>91.79</v>
      </c>
    </row>
    <row r="27" spans="2:5" ht="15" customHeight="1">
      <c r="B27" s="675" t="s">
        <v>727</v>
      </c>
      <c r="C27" s="661">
        <v>4.59</v>
      </c>
      <c r="D27" s="661">
        <v>4.59</v>
      </c>
      <c r="E27" s="674">
        <v>4.59</v>
      </c>
    </row>
    <row r="28" spans="2:5" ht="15" customHeight="1">
      <c r="B28" s="675" t="s">
        <v>728</v>
      </c>
      <c r="C28" s="661">
        <v>4.59</v>
      </c>
      <c r="D28" s="661">
        <v>4.59</v>
      </c>
      <c r="E28" s="674">
        <v>4.59</v>
      </c>
    </row>
    <row r="29" spans="2:5" ht="15" customHeight="1">
      <c r="B29" s="676" t="s">
        <v>729</v>
      </c>
      <c r="C29" s="661">
        <v>9.18</v>
      </c>
      <c r="D29" s="661">
        <v>9.18</v>
      </c>
      <c r="E29" s="674">
        <v>9.18</v>
      </c>
    </row>
    <row r="30" spans="2:5" ht="15" customHeight="1">
      <c r="B30" s="675" t="s">
        <v>738</v>
      </c>
      <c r="C30" s="665"/>
      <c r="D30" s="665"/>
      <c r="E30" s="677"/>
    </row>
    <row r="31" spans="2:5" ht="41.45" customHeight="1">
      <c r="B31" s="753" t="s">
        <v>739</v>
      </c>
      <c r="C31" s="850" t="s">
        <v>723</v>
      </c>
      <c r="D31" s="851"/>
      <c r="E31" s="859"/>
    </row>
    <row r="32" spans="2:5">
      <c r="B32" s="754"/>
      <c r="C32" s="747" t="s">
        <v>724</v>
      </c>
      <c r="D32" s="653" t="s">
        <v>725</v>
      </c>
      <c r="E32" s="671" t="s">
        <v>726</v>
      </c>
    </row>
    <row r="33" spans="2:7">
      <c r="B33" s="1138"/>
      <c r="C33" s="748"/>
      <c r="D33" s="655">
        <f>D25</f>
        <v>0</v>
      </c>
      <c r="E33" s="672">
        <f>E25</f>
        <v>0</v>
      </c>
    </row>
    <row r="34" spans="2:7" ht="15" customHeight="1">
      <c r="B34" s="673" t="s">
        <v>263</v>
      </c>
      <c r="C34" s="661">
        <v>91.79</v>
      </c>
      <c r="D34" s="661">
        <f>ROUND(C34*(1+D33),2)</f>
        <v>91.79</v>
      </c>
      <c r="E34" s="674">
        <f>ROUND(C34*(1+E33),2)</f>
        <v>91.79</v>
      </c>
    </row>
    <row r="35" spans="2:7" ht="15" customHeight="1">
      <c r="B35" s="673" t="s">
        <v>732</v>
      </c>
      <c r="C35" s="678" t="s">
        <v>740</v>
      </c>
      <c r="D35" s="678" t="s">
        <v>740</v>
      </c>
      <c r="E35" s="679" t="s">
        <v>740</v>
      </c>
    </row>
    <row r="36" spans="2:7" ht="15" customHeight="1">
      <c r="B36" s="675" t="s">
        <v>733</v>
      </c>
      <c r="C36" s="678" t="s">
        <v>740</v>
      </c>
      <c r="D36" s="678" t="s">
        <v>740</v>
      </c>
      <c r="E36" s="679" t="s">
        <v>740</v>
      </c>
    </row>
    <row r="37" spans="2:7" ht="15" customHeight="1">
      <c r="B37" s="675" t="s">
        <v>734</v>
      </c>
      <c r="C37" s="678" t="s">
        <v>740</v>
      </c>
      <c r="D37" s="678" t="s">
        <v>740</v>
      </c>
      <c r="E37" s="679" t="s">
        <v>740</v>
      </c>
    </row>
    <row r="38" spans="2:7" ht="15" customHeight="1">
      <c r="B38" s="676" t="s">
        <v>735</v>
      </c>
      <c r="C38" s="661">
        <f>C29</f>
        <v>9.18</v>
      </c>
      <c r="D38" s="661">
        <f>D29</f>
        <v>9.18</v>
      </c>
      <c r="E38" s="674">
        <f>E29</f>
        <v>9.18</v>
      </c>
    </row>
    <row r="39" spans="2:7" ht="15" customHeight="1" thickBot="1">
      <c r="B39" s="680" t="s">
        <v>736</v>
      </c>
      <c r="C39" s="681" t="s">
        <v>740</v>
      </c>
      <c r="D39" s="681" t="s">
        <v>740</v>
      </c>
      <c r="E39" s="682" t="s">
        <v>740</v>
      </c>
    </row>
    <row r="40" spans="2:7">
      <c r="B40" s="278"/>
      <c r="C40" s="279"/>
      <c r="D40" s="279"/>
      <c r="E40" s="279"/>
    </row>
    <row r="41" spans="2:7">
      <c r="B41" s="280" t="s">
        <v>741</v>
      </c>
      <c r="C41" s="281"/>
      <c r="D41" s="281"/>
      <c r="E41" s="281"/>
    </row>
    <row r="42" spans="2:7" ht="48" customHeight="1">
      <c r="B42" s="755" t="s">
        <v>742</v>
      </c>
      <c r="C42" s="755"/>
      <c r="D42" s="755"/>
      <c r="E42" s="755"/>
    </row>
    <row r="43" spans="2:7">
      <c r="B43" s="755"/>
      <c r="C43" s="755"/>
      <c r="D43" s="755"/>
      <c r="E43" s="755"/>
    </row>
    <row r="44" spans="2:7">
      <c r="B44" s="282"/>
      <c r="C44" s="282"/>
      <c r="D44" s="282"/>
      <c r="E44" s="282"/>
    </row>
    <row r="45" spans="2:7">
      <c r="B45" s="277" t="s">
        <v>743</v>
      </c>
      <c r="C45" s="282"/>
      <c r="D45" s="282"/>
      <c r="E45" s="282"/>
    </row>
    <row r="46" spans="2:7">
      <c r="B46" s="283" t="str">
        <f>"the maximum tuition rate.  Maximum credit tuition rate = "&amp;TEXT(E16,"$0.00")</f>
        <v>the maximum tuition rate.  Maximum credit tuition rate = $82.78</v>
      </c>
      <c r="C46" s="795"/>
    </row>
    <row r="47" spans="2:7">
      <c r="B47" s="283" t="s">
        <v>744</v>
      </c>
      <c r="G47" s="796"/>
    </row>
    <row r="49" spans="2:5" ht="15" customHeight="1">
      <c r="B49" s="755"/>
      <c r="C49" s="755"/>
      <c r="D49" s="755"/>
      <c r="E49" s="755"/>
    </row>
    <row r="50" spans="2:5">
      <c r="B50" s="755"/>
      <c r="C50" s="755"/>
      <c r="D50" s="755"/>
      <c r="E50" s="755"/>
    </row>
    <row r="51" spans="2:5">
      <c r="B51" s="755"/>
      <c r="C51" s="755"/>
      <c r="D51" s="755"/>
      <c r="E51" s="755"/>
    </row>
    <row r="52" spans="2:5" ht="21">
      <c r="B52" s="762" t="str">
        <f>B1</f>
        <v>THE FLORIDA COLLEGE SYSTEM</v>
      </c>
      <c r="C52" s="762"/>
      <c r="D52" s="762"/>
      <c r="E52" s="762"/>
    </row>
    <row r="53" spans="2:5" ht="21">
      <c r="B53" s="762" t="str">
        <f>B2&amp;" , cont."</f>
        <v>FALL 2023-24 TUITION INCREASED BY 0% , cont.</v>
      </c>
      <c r="C53" s="762"/>
      <c r="D53" s="762"/>
      <c r="E53" s="762"/>
    </row>
    <row r="54" spans="2:5" ht="21">
      <c r="B54" s="762"/>
      <c r="C54" s="762"/>
      <c r="D54" s="762"/>
      <c r="E54" s="762"/>
    </row>
    <row r="55" spans="2:5" ht="16.5" thickBot="1">
      <c r="B55" s="278"/>
      <c r="C55" s="279"/>
      <c r="D55" s="279"/>
      <c r="E55" s="279"/>
    </row>
    <row r="56" spans="2:5" ht="33" customHeight="1">
      <c r="B56" s="749" t="s">
        <v>745</v>
      </c>
      <c r="C56" s="856" t="s">
        <v>723</v>
      </c>
      <c r="D56" s="857"/>
      <c r="E56" s="858"/>
    </row>
    <row r="57" spans="2:5">
      <c r="B57" s="750"/>
      <c r="C57" s="747" t="s">
        <v>724</v>
      </c>
      <c r="D57" s="653" t="s">
        <v>725</v>
      </c>
      <c r="E57" s="671" t="s">
        <v>726</v>
      </c>
    </row>
    <row r="58" spans="2:5">
      <c r="B58" s="1139"/>
      <c r="C58" s="748"/>
      <c r="D58" s="655">
        <v>-0.05</v>
      </c>
      <c r="E58" s="672">
        <v>0.05</v>
      </c>
    </row>
    <row r="59" spans="2:5" ht="15" customHeight="1">
      <c r="B59" s="673" t="s">
        <v>263</v>
      </c>
      <c r="C59" s="661">
        <v>69.900000000000006</v>
      </c>
      <c r="D59" s="661">
        <f>ROUND(C59*(1+D58),2)</f>
        <v>66.41</v>
      </c>
      <c r="E59" s="674">
        <f>ROUND(C59*(1+E58),2)</f>
        <v>73.400000000000006</v>
      </c>
    </row>
    <row r="60" spans="2:5" ht="15" customHeight="1">
      <c r="B60" s="675" t="s">
        <v>746</v>
      </c>
      <c r="C60" s="661">
        <v>6.99</v>
      </c>
      <c r="D60" s="683">
        <f>ROUND(D59*'DISCRETIONARY FEE PERCENTAGES'!$B$6,2)</f>
        <v>6.64</v>
      </c>
      <c r="E60" s="674">
        <f>ROUND(E59*'DISCRETIONARY FEE PERCENTAGES'!$B$6,2)</f>
        <v>7.34</v>
      </c>
    </row>
    <row r="61" spans="2:5" ht="15" customHeight="1">
      <c r="B61" s="675" t="s">
        <v>728</v>
      </c>
      <c r="C61" s="661">
        <v>3.5</v>
      </c>
      <c r="D61" s="683">
        <f>ROUND(D59*'DISCRETIONARY FEE PERCENTAGES'!$B$25,2)</f>
        <v>3.32</v>
      </c>
      <c r="E61" s="674">
        <f>ROUND(E59*'DISCRETIONARY FEE PERCENTAGES'!$B$25,2)</f>
        <v>3.67</v>
      </c>
    </row>
    <row r="62" spans="2:5" ht="15" customHeight="1">
      <c r="B62" s="675" t="s">
        <v>747</v>
      </c>
      <c r="C62" s="661">
        <v>3.5</v>
      </c>
      <c r="D62" s="683">
        <f>ROUND(D59*'DISCRETIONARY FEE PERCENTAGES'!$B$19,2)</f>
        <v>3.32</v>
      </c>
      <c r="E62" s="674">
        <f>ROUND(E59*'DISCRETIONARY FEE PERCENTAGES'!$B$19,2)</f>
        <v>3.67</v>
      </c>
    </row>
    <row r="63" spans="2:5" ht="33" customHeight="1">
      <c r="B63" s="751" t="s">
        <v>748</v>
      </c>
      <c r="C63" s="850" t="s">
        <v>723</v>
      </c>
      <c r="D63" s="851"/>
      <c r="E63" s="859"/>
    </row>
    <row r="64" spans="2:5">
      <c r="B64" s="750"/>
      <c r="C64" s="747" t="s">
        <v>724</v>
      </c>
      <c r="D64" s="653" t="s">
        <v>725</v>
      </c>
      <c r="E64" s="671" t="s">
        <v>726</v>
      </c>
    </row>
    <row r="65" spans="2:16">
      <c r="B65" s="1139"/>
      <c r="C65" s="748"/>
      <c r="D65" s="655">
        <f>D58</f>
        <v>-0.05</v>
      </c>
      <c r="E65" s="672">
        <f>E58</f>
        <v>0.05</v>
      </c>
    </row>
    <row r="66" spans="2:16" ht="15" customHeight="1">
      <c r="B66" s="673" t="s">
        <v>263</v>
      </c>
      <c r="C66" s="661">
        <v>69.900000000000006</v>
      </c>
      <c r="D66" s="661">
        <f>ROUND(C66*(1+D65),2)</f>
        <v>66.41</v>
      </c>
      <c r="E66" s="674">
        <f>ROUND(C66*(1+E65),2)</f>
        <v>73.400000000000006</v>
      </c>
    </row>
    <row r="67" spans="2:16" ht="15" customHeight="1">
      <c r="B67" s="673" t="s">
        <v>732</v>
      </c>
      <c r="C67" s="661">
        <v>209.70000000000002</v>
      </c>
      <c r="D67" s="661">
        <f>ROUND(C67*(1+D65),2)</f>
        <v>199.22</v>
      </c>
      <c r="E67" s="674">
        <f>ROUND(C67*(1+E65),2)</f>
        <v>220.19</v>
      </c>
    </row>
    <row r="68" spans="2:16" ht="15" customHeight="1">
      <c r="B68" s="675" t="s">
        <v>749</v>
      </c>
      <c r="C68" s="661">
        <v>27.96</v>
      </c>
      <c r="D68" s="683">
        <f>ROUND((D66+D67)*'DISCRETIONARY FEE PERCENTAGES'!$B$10,2)</f>
        <v>26.56</v>
      </c>
      <c r="E68" s="674">
        <f>ROUND((E66+E67)*'DISCRETIONARY FEE PERCENTAGES'!$B$10,2)</f>
        <v>29.36</v>
      </c>
    </row>
    <row r="69" spans="2:16" ht="15" customHeight="1">
      <c r="B69" s="675" t="s">
        <v>734</v>
      </c>
      <c r="C69" s="661">
        <v>13.98</v>
      </c>
      <c r="D69" s="683">
        <f>ROUND((D66+D67)*'DISCRETIONARY FEE PERCENTAGES'!$B$28,2)</f>
        <v>13.28</v>
      </c>
      <c r="E69" s="674">
        <f>ROUND((E66+E67)*'DISCRETIONARY FEE PERCENTAGES'!$B$28,2)</f>
        <v>14.68</v>
      </c>
    </row>
    <row r="70" spans="2:16" ht="15" customHeight="1" thickBot="1">
      <c r="B70" s="680" t="s">
        <v>750</v>
      </c>
      <c r="C70" s="684">
        <v>13.98</v>
      </c>
      <c r="D70" s="685">
        <f>ROUND((D66+D67)*'DISCRETIONARY FEE PERCENTAGES'!$B$22,2)</f>
        <v>13.28</v>
      </c>
      <c r="E70" s="686">
        <f>ROUND((E66+E67)*'DISCRETIONARY FEE PERCENTAGES'!$B$22,2)</f>
        <v>14.68</v>
      </c>
    </row>
    <row r="71" spans="2:16" ht="16.5" thickBot="1">
      <c r="B71" s="278"/>
      <c r="C71" s="284"/>
      <c r="D71" s="284"/>
      <c r="E71" s="284"/>
    </row>
    <row r="72" spans="2:16" ht="32.25" customHeight="1">
      <c r="B72" s="745" t="s">
        <v>751</v>
      </c>
      <c r="C72" s="856" t="s">
        <v>752</v>
      </c>
      <c r="D72" s="857"/>
      <c r="E72" s="858"/>
    </row>
    <row r="73" spans="2:16">
      <c r="B73" s="746"/>
      <c r="C73" s="747" t="s">
        <v>724</v>
      </c>
      <c r="D73" s="653" t="s">
        <v>725</v>
      </c>
      <c r="E73" s="671" t="s">
        <v>726</v>
      </c>
    </row>
    <row r="74" spans="2:16">
      <c r="B74" s="1140"/>
      <c r="C74" s="748"/>
      <c r="D74" s="655">
        <v>-0.05</v>
      </c>
      <c r="E74" s="672">
        <v>0.05</v>
      </c>
    </row>
    <row r="75" spans="2:16" ht="15" customHeight="1">
      <c r="B75" s="673" t="s">
        <v>753</v>
      </c>
      <c r="C75" s="661">
        <v>30</v>
      </c>
      <c r="D75" s="661">
        <f>ROUND(C75*(1+D74),2)</f>
        <v>28.5</v>
      </c>
      <c r="E75" s="674">
        <f>ROUND(C75*(1+E74),2)</f>
        <v>31.5</v>
      </c>
    </row>
    <row r="76" spans="2:16" ht="15" customHeight="1">
      <c r="B76" s="673"/>
      <c r="C76" s="661"/>
      <c r="D76" s="661"/>
      <c r="E76" s="674"/>
      <c r="F76" s="756"/>
      <c r="G76" s="756"/>
      <c r="H76" s="756"/>
      <c r="I76" s="756"/>
      <c r="J76" s="756"/>
      <c r="K76" s="756"/>
      <c r="L76" s="756"/>
      <c r="M76" s="756"/>
      <c r="N76" s="756"/>
      <c r="O76" s="756"/>
      <c r="P76" s="756"/>
    </row>
    <row r="77" spans="2:16" ht="15" customHeight="1">
      <c r="B77" s="673" t="s">
        <v>754</v>
      </c>
      <c r="C77" s="661">
        <v>45</v>
      </c>
      <c r="D77" s="661">
        <f>ROUND(C77*(1+D74),2)</f>
        <v>42.75</v>
      </c>
      <c r="E77" s="687">
        <f>ROUND(C77*(1+E74),2)</f>
        <v>47.25</v>
      </c>
    </row>
    <row r="78" spans="2:16" ht="15" customHeight="1">
      <c r="C78" s="284"/>
      <c r="D78" s="284"/>
      <c r="E78" s="284"/>
      <c r="F78" s="756"/>
      <c r="G78" s="756"/>
      <c r="H78" s="756"/>
      <c r="I78" s="756"/>
      <c r="J78" s="756"/>
      <c r="K78" s="756"/>
      <c r="L78" s="756"/>
      <c r="M78" s="756"/>
      <c r="N78" s="756"/>
      <c r="O78" s="756"/>
      <c r="P78" s="756"/>
    </row>
    <row r="79" spans="2:16" ht="15" customHeight="1">
      <c r="B79" s="280" t="s">
        <v>755</v>
      </c>
      <c r="C79" s="281"/>
      <c r="D79" s="281"/>
      <c r="E79" s="281"/>
    </row>
    <row r="80" spans="2:16" ht="15" customHeight="1">
      <c r="B80" s="280"/>
      <c r="C80" s="281"/>
      <c r="D80" s="281"/>
      <c r="E80" s="281"/>
    </row>
    <row r="81" spans="2:5" ht="30.6" customHeight="1">
      <c r="B81" s="752" t="s">
        <v>756</v>
      </c>
      <c r="C81" s="752"/>
      <c r="D81" s="752"/>
      <c r="E81" s="752"/>
    </row>
    <row r="83" spans="2:5" ht="15" customHeight="1"/>
    <row r="85" spans="2:5">
      <c r="C85" s="797"/>
      <c r="D85" s="797"/>
      <c r="E85" s="797"/>
    </row>
    <row r="86" spans="2:5">
      <c r="C86" s="282"/>
      <c r="D86" s="282"/>
      <c r="E86" s="282"/>
    </row>
    <row r="87" spans="2:5">
      <c r="C87" s="795"/>
    </row>
    <row r="88" spans="2:5">
      <c r="C88" s="795"/>
    </row>
    <row r="91" spans="2:5">
      <c r="B91" s="180"/>
      <c r="C91" s="180"/>
      <c r="D91" s="180"/>
      <c r="E91" s="180"/>
    </row>
    <row r="92" spans="2:5">
      <c r="B92" s="180"/>
      <c r="C92" s="180"/>
      <c r="D92" s="180"/>
      <c r="E92" s="180"/>
    </row>
  </sheetData>
  <sheetProtection algorithmName="SHA-512" hashValue="0J/4yuVT6WHlWaCKnafSwE5/KvztvOIINK1eYRi8CnVQpZNGLFpjvxhhfLuhgomwG7B4mtUachq1DJZMgGJ3cA==" saltValue="PeNIkWALHEeECk70ySDfuQ=="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82" customWidth="1"/>
    <col min="2" max="2" width="8.42578125" style="82" customWidth="1"/>
    <col min="3" max="3" width="57.140625" style="82" customWidth="1"/>
    <col min="4" max="4" width="5" style="82" customWidth="1"/>
    <col min="5" max="16384" width="12.42578125" style="82"/>
  </cols>
  <sheetData>
    <row r="1" spans="1:3" s="85" customFormat="1" ht="26.25">
      <c r="A1" s="773" t="s">
        <v>10</v>
      </c>
      <c r="B1" s="773"/>
      <c r="C1" s="773"/>
    </row>
    <row r="2" spans="1:3" s="85" customFormat="1" ht="21" customHeight="1" thickBot="1">
      <c r="A2" s="773" t="s">
        <v>757</v>
      </c>
      <c r="B2" s="773"/>
      <c r="C2" s="773"/>
    </row>
    <row r="3" spans="1:3" s="85" customFormat="1" ht="26.45" customHeight="1">
      <c r="A3" s="867" t="s">
        <v>758</v>
      </c>
      <c r="B3" s="860"/>
      <c r="C3" s="861"/>
    </row>
    <row r="4" spans="1:3" s="85" customFormat="1" ht="42">
      <c r="A4" s="1066" t="s">
        <v>759</v>
      </c>
      <c r="B4" s="1067">
        <v>7.0000000000000007E-2</v>
      </c>
      <c r="C4" s="1068" t="s">
        <v>760</v>
      </c>
    </row>
    <row r="5" spans="1:3" s="85" customFormat="1" ht="42">
      <c r="A5" s="1066" t="s">
        <v>761</v>
      </c>
      <c r="B5" s="1067">
        <v>0.05</v>
      </c>
      <c r="C5" s="1068" t="s">
        <v>760</v>
      </c>
    </row>
    <row r="6" spans="1:3" s="85" customFormat="1" ht="30.95" customHeight="1">
      <c r="A6" s="1069" t="s">
        <v>762</v>
      </c>
      <c r="B6" s="1070">
        <v>0.1</v>
      </c>
      <c r="C6" s="1071" t="s">
        <v>760</v>
      </c>
    </row>
    <row r="7" spans="1:3" s="85" customFormat="1" ht="26.45" customHeight="1">
      <c r="A7" s="1072" t="s">
        <v>763</v>
      </c>
      <c r="B7" s="1073"/>
      <c r="C7" s="1074"/>
    </row>
    <row r="8" spans="1:3" s="85" customFormat="1" ht="42">
      <c r="A8" s="1066" t="s">
        <v>759</v>
      </c>
      <c r="B8" s="1067">
        <v>7.0000000000000007E-2</v>
      </c>
      <c r="C8" s="1068" t="s">
        <v>764</v>
      </c>
    </row>
    <row r="9" spans="1:3" s="85" customFormat="1" ht="42">
      <c r="A9" s="1066" t="s">
        <v>761</v>
      </c>
      <c r="B9" s="1067">
        <v>0.05</v>
      </c>
      <c r="C9" s="1068" t="s">
        <v>764</v>
      </c>
    </row>
    <row r="10" spans="1:3" s="85" customFormat="1" ht="29.1" customHeight="1">
      <c r="A10" s="1069" t="str">
        <f>A6</f>
        <v>CCATD</v>
      </c>
      <c r="B10" s="1070">
        <v>0.1</v>
      </c>
      <c r="C10" s="1071" t="s">
        <v>764</v>
      </c>
    </row>
    <row r="11" spans="1:3" s="85" customFormat="1" ht="26.45" customHeight="1">
      <c r="A11" s="1072" t="s">
        <v>765</v>
      </c>
      <c r="B11" s="1073"/>
      <c r="C11" s="1074"/>
    </row>
    <row r="12" spans="1:3" s="85" customFormat="1" ht="29.1" customHeight="1">
      <c r="A12" s="1066" t="s">
        <v>766</v>
      </c>
      <c r="B12" s="1067">
        <v>0.1</v>
      </c>
      <c r="C12" s="1068" t="s">
        <v>767</v>
      </c>
    </row>
    <row r="13" spans="1:3" s="85" customFormat="1" ht="30" customHeight="1">
      <c r="A13" s="1069" t="str">
        <f>A6</f>
        <v>CCATD</v>
      </c>
      <c r="B13" s="1070">
        <v>0</v>
      </c>
      <c r="C13" s="1071" t="s">
        <v>768</v>
      </c>
    </row>
    <row r="14" spans="1:3" s="85" customFormat="1" ht="26.45" customHeight="1">
      <c r="A14" s="866" t="s">
        <v>769</v>
      </c>
      <c r="B14" s="1075"/>
      <c r="C14" s="1076"/>
    </row>
    <row r="15" spans="1:3" s="85" customFormat="1" ht="27.95" customHeight="1">
      <c r="A15" s="1066" t="s">
        <v>766</v>
      </c>
      <c r="B15" s="1067">
        <v>0.1</v>
      </c>
      <c r="C15" s="1068" t="s">
        <v>770</v>
      </c>
    </row>
    <row r="16" spans="1:3" s="85" customFormat="1" ht="27.95" customHeight="1">
      <c r="A16" s="1069" t="str">
        <f>A6</f>
        <v>CCATD</v>
      </c>
      <c r="B16" s="1070">
        <v>0</v>
      </c>
      <c r="C16" s="1071" t="s">
        <v>768</v>
      </c>
    </row>
    <row r="17" spans="1:3" s="85" customFormat="1" ht="26.45" customHeight="1">
      <c r="A17" s="1072" t="s">
        <v>771</v>
      </c>
      <c r="B17" s="1073"/>
      <c r="C17" s="1074"/>
    </row>
    <row r="18" spans="1:3" s="85" customFormat="1" ht="42">
      <c r="A18" s="1077" t="s">
        <v>766</v>
      </c>
      <c r="B18" s="1067">
        <v>0.2</v>
      </c>
      <c r="C18" s="1078" t="s">
        <v>772</v>
      </c>
    </row>
    <row r="19" spans="1:3" s="85" customFormat="1" ht="30.95" customHeight="1">
      <c r="A19" s="1069" t="str">
        <f>A6</f>
        <v>CCATD</v>
      </c>
      <c r="B19" s="1070">
        <v>0.05</v>
      </c>
      <c r="C19" s="1071" t="s">
        <v>773</v>
      </c>
    </row>
    <row r="20" spans="1:3" s="85" customFormat="1" ht="26.45" customHeight="1">
      <c r="A20" s="1072" t="s">
        <v>774</v>
      </c>
      <c r="B20" s="1073"/>
      <c r="C20" s="1074"/>
    </row>
    <row r="21" spans="1:3" s="85" customFormat="1" ht="21">
      <c r="A21" s="1077" t="s">
        <v>766</v>
      </c>
      <c r="B21" s="1067">
        <v>0.2</v>
      </c>
      <c r="C21" s="1068" t="s">
        <v>764</v>
      </c>
    </row>
    <row r="22" spans="1:3" s="85" customFormat="1" ht="27.95" customHeight="1">
      <c r="A22" s="1069" t="str">
        <f>A6</f>
        <v>CCATD</v>
      </c>
      <c r="B22" s="1070">
        <v>0.05</v>
      </c>
      <c r="C22" s="1071" t="s">
        <v>764</v>
      </c>
    </row>
    <row r="23" spans="1:3" s="85" customFormat="1" ht="26.45" customHeight="1">
      <c r="A23" s="1072" t="s">
        <v>775</v>
      </c>
      <c r="B23" s="1073"/>
      <c r="C23" s="1074"/>
    </row>
    <row r="24" spans="1:3" s="85" customFormat="1" ht="21">
      <c r="A24" s="1077" t="s">
        <v>766</v>
      </c>
      <c r="B24" s="1067">
        <v>0.05</v>
      </c>
      <c r="C24" s="1068" t="s">
        <v>767</v>
      </c>
    </row>
    <row r="25" spans="1:3" s="85" customFormat="1" ht="27.95" customHeight="1">
      <c r="A25" s="1069" t="str">
        <f>A6</f>
        <v>CCATD</v>
      </c>
      <c r="B25" s="1070">
        <v>0.05</v>
      </c>
      <c r="C25" s="1079" t="s">
        <v>767</v>
      </c>
    </row>
    <row r="26" spans="1:3" s="85" customFormat="1" ht="26.45" customHeight="1">
      <c r="A26" s="1072" t="s">
        <v>776</v>
      </c>
      <c r="B26" s="1073"/>
      <c r="C26" s="1074"/>
    </row>
    <row r="27" spans="1:3" s="85" customFormat="1" ht="21">
      <c r="A27" s="1077" t="s">
        <v>766</v>
      </c>
      <c r="B27" s="1067">
        <v>0.05</v>
      </c>
      <c r="C27" s="1068" t="s">
        <v>764</v>
      </c>
    </row>
    <row r="28" spans="1:3" s="85" customFormat="1" ht="27.95" customHeight="1" thickBot="1">
      <c r="A28" s="1080" t="str">
        <f>A6</f>
        <v>CCATD</v>
      </c>
      <c r="B28" s="1081">
        <v>0.05</v>
      </c>
      <c r="C28" s="1082" t="s">
        <v>764</v>
      </c>
    </row>
    <row r="30" spans="1:3" ht="61.35" customHeight="1">
      <c r="A30" s="862" t="s">
        <v>777</v>
      </c>
      <c r="B30" s="862"/>
      <c r="C30" s="862"/>
    </row>
    <row r="31" spans="1:3" ht="14.45" customHeight="1">
      <c r="A31" s="863"/>
      <c r="B31" s="863"/>
      <c r="C31" s="863"/>
    </row>
    <row r="32" spans="1:3" ht="31.35" customHeight="1">
      <c r="A32" s="862" t="s">
        <v>778</v>
      </c>
      <c r="B32" s="862"/>
      <c r="C32" s="862"/>
    </row>
    <row r="33" spans="1:3" ht="14.45" customHeight="1">
      <c r="A33" s="863"/>
      <c r="B33" s="863"/>
      <c r="C33" s="863"/>
    </row>
    <row r="34" spans="1:3" ht="30" customHeight="1">
      <c r="A34" s="862" t="s">
        <v>779</v>
      </c>
      <c r="B34" s="862"/>
      <c r="C34" s="862"/>
    </row>
    <row r="35" spans="1:3" ht="14.45" customHeight="1">
      <c r="A35" s="863"/>
      <c r="B35" s="863"/>
      <c r="C35" s="863"/>
    </row>
    <row r="36" spans="1:3" ht="15" customHeight="1">
      <c r="A36" s="864" t="s">
        <v>780</v>
      </c>
      <c r="B36" s="863"/>
      <c r="C36" s="863"/>
    </row>
    <row r="37" spans="1:3" ht="15" customHeight="1">
      <c r="A37" s="83"/>
    </row>
    <row r="38" spans="1:3" ht="15" customHeight="1">
      <c r="A38" s="84"/>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610" t="s">
        <v>781</v>
      </c>
    </row>
    <row r="2" spans="1:1">
      <c r="A2" s="610" t="s">
        <v>782</v>
      </c>
    </row>
    <row r="3" spans="1:1">
      <c r="A3" s="610" t="s">
        <v>783</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topLeftCell="A19" zoomScale="70" zoomScaleNormal="70" zoomScalePageLayoutView="70" workbookViewId="0">
      <selection activeCell="A5" sqref="A5"/>
    </sheetView>
  </sheetViews>
  <sheetFormatPr defaultColWidth="8.85546875" defaultRowHeight="12.75"/>
  <cols>
    <col min="1" max="1" width="109" customWidth="1"/>
  </cols>
  <sheetData>
    <row r="1" spans="1:10" ht="22.35" customHeight="1">
      <c r="A1" s="615" t="s">
        <v>10</v>
      </c>
      <c r="B1" s="612"/>
      <c r="C1" s="612"/>
      <c r="D1" s="612"/>
      <c r="E1" s="612"/>
      <c r="F1" s="612"/>
      <c r="G1" s="612"/>
      <c r="H1" s="612"/>
      <c r="I1" s="612"/>
      <c r="J1" s="612"/>
    </row>
    <row r="2" spans="1:10" ht="22.35" customHeight="1">
      <c r="A2" s="615" t="s">
        <v>11</v>
      </c>
      <c r="B2" s="612"/>
      <c r="C2" s="612"/>
      <c r="D2" s="612"/>
      <c r="E2" s="612"/>
      <c r="F2" s="612"/>
      <c r="G2" s="612"/>
      <c r="H2" s="612"/>
      <c r="I2" s="612"/>
      <c r="J2" s="612"/>
    </row>
    <row r="3" spans="1:10" ht="22.35" customHeight="1">
      <c r="A3" s="615" t="s">
        <v>12</v>
      </c>
      <c r="B3" s="612"/>
      <c r="C3" s="612"/>
      <c r="D3" s="612"/>
      <c r="E3" s="612"/>
      <c r="F3" s="612"/>
      <c r="G3" s="612"/>
      <c r="H3" s="612"/>
      <c r="I3" s="612"/>
      <c r="J3" s="612"/>
    </row>
    <row r="4" spans="1:10" ht="26.45" customHeight="1">
      <c r="A4" s="616" t="s">
        <v>13</v>
      </c>
      <c r="B4" s="617"/>
      <c r="C4" s="617"/>
      <c r="D4" s="617"/>
      <c r="E4" s="617"/>
      <c r="F4" s="617"/>
      <c r="G4" s="617"/>
      <c r="H4" s="617"/>
      <c r="I4" s="617"/>
      <c r="J4" s="617"/>
    </row>
    <row r="11" spans="1:10" ht="34.5">
      <c r="E11" s="440"/>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25" r:id="rId4">
          <objectPr defaultSize="0" altText="Instructions for the 2023-24 Annual College Operating Budget Workbook" r:id="rId5">
            <anchor moveWithCells="1">
              <from>
                <xdr:col>0</xdr:col>
                <xdr:colOff>1104900</xdr:colOff>
                <xdr:row>10</xdr:row>
                <xdr:rowOff>38100</xdr:rowOff>
              </from>
              <to>
                <xdr:col>0</xdr:col>
                <xdr:colOff>6934200</xdr:colOff>
                <xdr:row>55</xdr:row>
                <xdr:rowOff>19050</xdr:rowOff>
              </to>
            </anchor>
          </objectPr>
        </oleObject>
      </mc:Choice>
      <mc:Fallback>
        <oleObject progId="Acrobat.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5"/>
  <sheetViews>
    <sheetView showGridLines="0" topLeftCell="A190" zoomScale="60" zoomScaleNormal="60" zoomScalePageLayoutView="80" workbookViewId="0"/>
  </sheetViews>
  <sheetFormatPr defaultColWidth="8.85546875" defaultRowHeight="21"/>
  <cols>
    <col min="1" max="1" width="57.42578125" style="17" customWidth="1"/>
    <col min="2" max="2" width="32.140625" style="17" customWidth="1"/>
    <col min="3" max="3" width="24.7109375" style="17" customWidth="1"/>
    <col min="4" max="4" width="26" style="17" bestFit="1" customWidth="1"/>
    <col min="5" max="5" width="23.42578125" style="17" customWidth="1"/>
    <col min="6" max="6" width="21.85546875" style="17" customWidth="1"/>
    <col min="7" max="7" width="22.28515625" style="17" customWidth="1"/>
    <col min="8" max="8" width="26.85546875" style="17" customWidth="1"/>
    <col min="9" max="9" width="14.85546875" style="17" customWidth="1"/>
    <col min="10" max="10" width="20.28515625" style="17" customWidth="1"/>
    <col min="11" max="11" width="17.85546875" style="17" bestFit="1" customWidth="1"/>
    <col min="12" max="12" width="13.7109375" style="17" customWidth="1"/>
    <col min="13" max="13" width="13.42578125" style="17" bestFit="1" customWidth="1"/>
    <col min="14" max="14" width="12.140625" style="17" bestFit="1" customWidth="1"/>
    <col min="15" max="15" width="13.28515625" style="17" customWidth="1"/>
    <col min="16" max="16" width="13" style="17" customWidth="1"/>
    <col min="17" max="17" width="15" style="17" customWidth="1"/>
    <col min="18" max="18" width="13.42578125" style="17" customWidth="1"/>
    <col min="19" max="19" width="13.7109375" style="17" customWidth="1"/>
    <col min="20" max="20" width="21.42578125" style="17" customWidth="1"/>
    <col min="21" max="21" width="8.85546875" style="17"/>
    <col min="22" max="22" width="12.140625" style="17" bestFit="1" customWidth="1"/>
    <col min="23" max="23" width="13.85546875" style="17" customWidth="1"/>
    <col min="24" max="24" width="9.28515625" style="17" bestFit="1" customWidth="1"/>
    <col min="25" max="25" width="2.42578125" style="17" customWidth="1"/>
    <col min="26" max="26" width="14.85546875" style="17" customWidth="1"/>
    <col min="27" max="27" width="15.28515625" style="17" customWidth="1"/>
    <col min="28" max="28" width="15.140625" style="17" customWidth="1"/>
    <col min="29" max="29" width="6.28515625" style="17" customWidth="1"/>
    <col min="30" max="30" width="64.85546875" style="17" customWidth="1"/>
    <col min="31" max="31" width="13.42578125" style="17" customWidth="1"/>
    <col min="32" max="32" width="14.7109375" style="17" customWidth="1"/>
    <col min="33" max="33" width="18" style="17" customWidth="1"/>
    <col min="34" max="34" width="4.7109375" style="17" customWidth="1"/>
    <col min="35" max="35" width="21.42578125" style="17" customWidth="1"/>
    <col min="36" max="39" width="8.85546875" style="17"/>
    <col min="40" max="40" width="46.85546875" style="17" customWidth="1"/>
    <col min="41" max="41" width="19.140625" style="17" customWidth="1"/>
    <col min="42" max="42" width="2.7109375" style="17" customWidth="1"/>
    <col min="43" max="44" width="20.140625" style="17" customWidth="1"/>
    <col min="45" max="16384" width="8.85546875" style="17"/>
  </cols>
  <sheetData>
    <row r="1" spans="1:10" ht="25.35" customHeight="1">
      <c r="A1" s="876" t="s">
        <v>14</v>
      </c>
      <c r="B1" s="876"/>
      <c r="C1" s="876"/>
      <c r="D1" s="876"/>
      <c r="E1" s="16"/>
    </row>
    <row r="2" spans="1:10" ht="33.6" customHeight="1" thickBot="1">
      <c r="A2" s="883" t="s">
        <v>15</v>
      </c>
      <c r="B2" s="883"/>
      <c r="C2" s="883"/>
      <c r="D2" s="883"/>
    </row>
    <row r="3" spans="1:10" ht="25.35" customHeight="1" thickBot="1">
      <c r="A3" s="62"/>
      <c r="B3" s="63" t="s">
        <v>16</v>
      </c>
      <c r="C3" s="64"/>
      <c r="D3" s="73"/>
      <c r="E3" s="72"/>
    </row>
    <row r="4" spans="1:10" ht="25.35" customHeight="1" thickBot="1">
      <c r="A4" s="62">
        <v>1</v>
      </c>
      <c r="B4" s="52">
        <v>2</v>
      </c>
      <c r="C4" s="52">
        <v>3</v>
      </c>
      <c r="D4" s="52">
        <v>4</v>
      </c>
      <c r="E4" s="19"/>
    </row>
    <row r="5" spans="1:10" ht="44.1" customHeight="1" thickBot="1">
      <c r="A5" s="38" t="s">
        <v>17</v>
      </c>
      <c r="B5" s="918" t="s">
        <v>18</v>
      </c>
      <c r="C5" s="919"/>
      <c r="D5" s="920"/>
      <c r="E5" s="594"/>
      <c r="F5" s="19"/>
    </row>
    <row r="6" spans="1:10" ht="89.1" customHeight="1" thickBot="1">
      <c r="A6" s="292" t="s">
        <v>19</v>
      </c>
      <c r="B6" s="61" t="s">
        <v>20</v>
      </c>
      <c r="C6" s="23" t="s">
        <v>21</v>
      </c>
      <c r="D6" s="76" t="s">
        <v>22</v>
      </c>
      <c r="F6" s="19"/>
    </row>
    <row r="7" spans="1:10" ht="25.35" customHeight="1">
      <c r="A7" s="410" t="s">
        <v>23</v>
      </c>
      <c r="B7" s="1083">
        <f>53283437-C7</f>
        <v>43041873</v>
      </c>
      <c r="C7" s="969">
        <v>10241564</v>
      </c>
      <c r="D7" s="81">
        <f t="shared" ref="D7:D34" si="0">SUM(B7:C7)</f>
        <v>53283437</v>
      </c>
      <c r="E7" s="437"/>
      <c r="F7" s="438"/>
      <c r="G7" s="48"/>
      <c r="I7" s="48"/>
      <c r="J7" s="48"/>
    </row>
    <row r="8" spans="1:10" ht="25.35" customHeight="1">
      <c r="A8" s="390" t="s">
        <v>24</v>
      </c>
      <c r="B8" s="1084">
        <f>109661903-C8</f>
        <v>89136073</v>
      </c>
      <c r="C8" s="970">
        <v>20525830</v>
      </c>
      <c r="D8" s="74">
        <f t="shared" si="0"/>
        <v>109661903</v>
      </c>
      <c r="E8" s="413"/>
      <c r="F8" s="48"/>
      <c r="G8" s="48"/>
      <c r="I8" s="48"/>
      <c r="J8" s="48"/>
    </row>
    <row r="9" spans="1:10" ht="25.35" customHeight="1">
      <c r="A9" s="390" t="s">
        <v>25</v>
      </c>
      <c r="B9" s="802">
        <f>40709150+1649800-C9</f>
        <v>36495661</v>
      </c>
      <c r="C9" s="970">
        <v>5863289</v>
      </c>
      <c r="D9" s="74">
        <f t="shared" si="0"/>
        <v>42358950</v>
      </c>
      <c r="E9" s="413"/>
      <c r="F9" s="48"/>
      <c r="G9" s="48"/>
      <c r="I9" s="48"/>
      <c r="J9" s="48"/>
    </row>
    <row r="10" spans="1:10" ht="25.35" customHeight="1">
      <c r="A10" s="390" t="s">
        <v>26</v>
      </c>
      <c r="B10" s="802">
        <f>15452951-C10</f>
        <v>12227907</v>
      </c>
      <c r="C10" s="970">
        <v>3225044</v>
      </c>
      <c r="D10" s="74">
        <f t="shared" si="0"/>
        <v>15452951</v>
      </c>
      <c r="E10" s="413"/>
      <c r="F10" s="48"/>
      <c r="G10" s="48"/>
      <c r="I10" s="48"/>
      <c r="J10" s="48"/>
    </row>
    <row r="11" spans="1:10" ht="25.35" customHeight="1">
      <c r="A11" s="390" t="s">
        <v>27</v>
      </c>
      <c r="B11" s="802">
        <f>60952010+650000-C11</f>
        <v>49278774</v>
      </c>
      <c r="C11" s="970">
        <v>12323236</v>
      </c>
      <c r="D11" s="74">
        <f t="shared" si="0"/>
        <v>61602010</v>
      </c>
      <c r="E11" s="413"/>
      <c r="F11" s="48"/>
      <c r="G11" s="48"/>
      <c r="I11" s="48"/>
      <c r="J11" s="48"/>
    </row>
    <row r="12" spans="1:10" ht="25.35" customHeight="1">
      <c r="A12" s="390" t="s">
        <v>28</v>
      </c>
      <c r="B12" s="802">
        <f>49896992+970000-C12</f>
        <v>43015397</v>
      </c>
      <c r="C12" s="970">
        <v>7851595</v>
      </c>
      <c r="D12" s="74">
        <f t="shared" si="0"/>
        <v>50866992</v>
      </c>
      <c r="E12" s="413"/>
      <c r="F12" s="48"/>
      <c r="G12" s="48"/>
      <c r="I12" s="48"/>
      <c r="J12" s="48"/>
    </row>
    <row r="13" spans="1:10" ht="25.35" customHeight="1">
      <c r="A13" s="390" t="s">
        <v>29</v>
      </c>
      <c r="B13" s="802">
        <f>87966155-C13</f>
        <v>69516327</v>
      </c>
      <c r="C13" s="970">
        <v>18449828</v>
      </c>
      <c r="D13" s="74">
        <f t="shared" si="0"/>
        <v>87966155</v>
      </c>
      <c r="E13" s="413"/>
      <c r="F13" s="48"/>
      <c r="G13" s="48"/>
      <c r="I13" s="48"/>
      <c r="J13" s="48"/>
    </row>
    <row r="14" spans="1:10" ht="25.35" customHeight="1">
      <c r="A14" s="390" t="s">
        <v>30</v>
      </c>
      <c r="B14" s="802">
        <f>10777267-C14</f>
        <v>9114843</v>
      </c>
      <c r="C14" s="970">
        <v>1662424</v>
      </c>
      <c r="D14" s="74">
        <f t="shared" si="0"/>
        <v>10777267</v>
      </c>
      <c r="E14" s="413"/>
      <c r="F14" s="48"/>
      <c r="G14" s="48"/>
      <c r="I14" s="48"/>
      <c r="J14" s="48"/>
    </row>
    <row r="15" spans="1:10" ht="25.35" customHeight="1">
      <c r="A15" s="390" t="s">
        <v>31</v>
      </c>
      <c r="B15" s="802">
        <f>27074121-C15</f>
        <v>21817302</v>
      </c>
      <c r="C15" s="970">
        <v>5256819</v>
      </c>
      <c r="D15" s="74">
        <f t="shared" si="0"/>
        <v>27074121</v>
      </c>
      <c r="E15" s="413"/>
      <c r="F15" s="48"/>
      <c r="G15" s="48"/>
      <c r="I15" s="48"/>
      <c r="J15" s="48"/>
    </row>
    <row r="16" spans="1:10" ht="25.35" customHeight="1">
      <c r="A16" s="390" t="s">
        <v>32</v>
      </c>
      <c r="B16" s="802">
        <f>84333300+500000-C16</f>
        <v>70892957</v>
      </c>
      <c r="C16" s="970">
        <v>13940343</v>
      </c>
      <c r="D16" s="74">
        <f t="shared" si="0"/>
        <v>84833300</v>
      </c>
      <c r="E16" s="413"/>
      <c r="F16" s="48"/>
      <c r="G16" s="48"/>
      <c r="I16" s="48"/>
      <c r="J16" s="48"/>
    </row>
    <row r="17" spans="1:10" ht="25.35" customHeight="1">
      <c r="A17" s="390" t="s">
        <v>33</v>
      </c>
      <c r="B17" s="802">
        <f>60019348+2200000-C17</f>
        <v>50922046</v>
      </c>
      <c r="C17" s="970">
        <v>11297302</v>
      </c>
      <c r="D17" s="74">
        <f t="shared" si="0"/>
        <v>62219348</v>
      </c>
      <c r="E17" s="413"/>
      <c r="F17" s="48"/>
      <c r="G17" s="48"/>
      <c r="I17" s="48"/>
      <c r="J17" s="48"/>
    </row>
    <row r="18" spans="1:10" ht="25.35" customHeight="1">
      <c r="A18" s="390" t="s">
        <v>34</v>
      </c>
      <c r="B18" s="802">
        <f>18336804-C18</f>
        <v>15047680</v>
      </c>
      <c r="C18" s="970">
        <v>3289124</v>
      </c>
      <c r="D18" s="74">
        <f t="shared" si="0"/>
        <v>18336804</v>
      </c>
      <c r="E18" s="413"/>
      <c r="F18" s="48"/>
      <c r="G18" s="48"/>
      <c r="I18" s="48"/>
      <c r="J18" s="48"/>
    </row>
    <row r="19" spans="1:10" ht="25.35" customHeight="1">
      <c r="A19" s="390" t="s">
        <v>35</v>
      </c>
      <c r="B19" s="802">
        <f>24190865-C19</f>
        <v>20958984</v>
      </c>
      <c r="C19" s="970">
        <v>3231881</v>
      </c>
      <c r="D19" s="74">
        <f t="shared" si="0"/>
        <v>24190865</v>
      </c>
      <c r="E19" s="413"/>
      <c r="F19" s="48"/>
      <c r="G19" s="48"/>
      <c r="I19" s="48"/>
      <c r="J19" s="48"/>
    </row>
    <row r="20" spans="1:10" ht="25.35" customHeight="1">
      <c r="A20" s="390" t="s">
        <v>36</v>
      </c>
      <c r="B20" s="802">
        <f>33434210+3850000-C20</f>
        <v>31838529</v>
      </c>
      <c r="C20" s="970">
        <v>5445681</v>
      </c>
      <c r="D20" s="74">
        <f t="shared" si="0"/>
        <v>37284210</v>
      </c>
      <c r="E20" s="413"/>
      <c r="F20" s="48"/>
      <c r="G20" s="48"/>
      <c r="H20" s="48"/>
      <c r="I20" s="48"/>
      <c r="J20" s="48"/>
    </row>
    <row r="21" spans="1:10" ht="25.35" customHeight="1">
      <c r="A21" s="390" t="s">
        <v>37</v>
      </c>
      <c r="B21" s="802">
        <f>202008901-C21</f>
        <v>160382392</v>
      </c>
      <c r="C21" s="970">
        <v>41626509</v>
      </c>
      <c r="D21" s="74">
        <f t="shared" si="0"/>
        <v>202008901</v>
      </c>
      <c r="E21" s="413"/>
      <c r="F21" s="48"/>
      <c r="G21" s="48"/>
      <c r="I21" s="48"/>
      <c r="J21" s="48"/>
    </row>
    <row r="22" spans="1:10" ht="25.35" customHeight="1">
      <c r="A22" s="390" t="s">
        <v>38</v>
      </c>
      <c r="B22" s="802">
        <f>10606679-C22</f>
        <v>8854398</v>
      </c>
      <c r="C22" s="970">
        <v>1752281</v>
      </c>
      <c r="D22" s="74">
        <f t="shared" si="0"/>
        <v>10606679</v>
      </c>
      <c r="E22" s="413"/>
      <c r="F22" s="48"/>
      <c r="G22" s="48"/>
      <c r="I22" s="48"/>
      <c r="J22" s="48"/>
    </row>
    <row r="23" spans="1:10" ht="25.35" customHeight="1">
      <c r="A23" s="390" t="s">
        <v>39</v>
      </c>
      <c r="B23" s="802">
        <f>29133735+990000-C23</f>
        <v>25493548</v>
      </c>
      <c r="C23" s="970">
        <v>4630187</v>
      </c>
      <c r="D23" s="74">
        <f t="shared" si="0"/>
        <v>30123735</v>
      </c>
      <c r="E23" s="413"/>
      <c r="F23" s="48"/>
      <c r="G23" s="48"/>
      <c r="I23" s="48"/>
      <c r="J23" s="48"/>
    </row>
    <row r="24" spans="1:10" ht="25.35" customHeight="1">
      <c r="A24" s="390" t="s">
        <v>40</v>
      </c>
      <c r="B24" s="802">
        <f>79008687-C24</f>
        <v>65047135</v>
      </c>
      <c r="C24" s="970">
        <v>13961552</v>
      </c>
      <c r="D24" s="74">
        <f t="shared" si="0"/>
        <v>79008687</v>
      </c>
      <c r="E24" s="413"/>
      <c r="F24" s="48"/>
      <c r="G24" s="48"/>
      <c r="I24" s="48"/>
      <c r="J24" s="48"/>
    </row>
    <row r="25" spans="1:10" ht="25.35" customHeight="1">
      <c r="A25" s="390" t="s">
        <v>41</v>
      </c>
      <c r="B25" s="802">
        <f>50017798-C25</f>
        <v>43276705</v>
      </c>
      <c r="C25" s="970">
        <v>6741093</v>
      </c>
      <c r="D25" s="74">
        <f t="shared" si="0"/>
        <v>50017798</v>
      </c>
      <c r="E25" s="413"/>
      <c r="F25" s="48"/>
      <c r="G25" s="48"/>
      <c r="I25" s="48"/>
      <c r="J25" s="48"/>
    </row>
    <row r="26" spans="1:10" ht="25.35" customHeight="1">
      <c r="A26" s="390" t="s">
        <v>42</v>
      </c>
      <c r="B26" s="802">
        <f>66736548-C26</f>
        <v>58376378</v>
      </c>
      <c r="C26" s="970">
        <v>8360170</v>
      </c>
      <c r="D26" s="74">
        <f t="shared" si="0"/>
        <v>66736548</v>
      </c>
      <c r="E26" s="413"/>
      <c r="F26" s="48"/>
      <c r="G26" s="48"/>
      <c r="I26" s="48"/>
      <c r="J26" s="48"/>
    </row>
    <row r="27" spans="1:10" ht="25.35" customHeight="1">
      <c r="A27" s="390" t="s">
        <v>43</v>
      </c>
      <c r="B27" s="802">
        <f>50059240-C27</f>
        <v>43206598</v>
      </c>
      <c r="C27" s="970">
        <v>6852642</v>
      </c>
      <c r="D27" s="74">
        <f t="shared" si="0"/>
        <v>50059240</v>
      </c>
      <c r="E27" s="413"/>
      <c r="F27" s="48"/>
      <c r="G27" s="48"/>
      <c r="I27" s="48"/>
      <c r="J27" s="48"/>
    </row>
    <row r="28" spans="1:10" ht="25.35" customHeight="1">
      <c r="A28" s="390" t="s">
        <v>44</v>
      </c>
      <c r="B28" s="802">
        <f>35352158-C28</f>
        <v>30677558</v>
      </c>
      <c r="C28" s="970">
        <v>4674600</v>
      </c>
      <c r="D28" s="74">
        <f t="shared" si="0"/>
        <v>35352158</v>
      </c>
      <c r="E28" s="413"/>
      <c r="F28" s="48"/>
      <c r="G28" s="48"/>
      <c r="I28" s="48"/>
      <c r="J28" s="48"/>
    </row>
    <row r="29" spans="1:10" ht="25.35" customHeight="1">
      <c r="A29" s="390" t="s">
        <v>45</v>
      </c>
      <c r="B29" s="802">
        <f>93333325+386940-C29</f>
        <v>76965923</v>
      </c>
      <c r="C29" s="970">
        <v>16754342</v>
      </c>
      <c r="D29" s="74">
        <f t="shared" si="0"/>
        <v>93720265</v>
      </c>
      <c r="E29" s="413"/>
      <c r="F29" s="48"/>
      <c r="G29" s="48"/>
      <c r="I29" s="48"/>
      <c r="J29" s="48"/>
    </row>
    <row r="30" spans="1:10" ht="25.35" customHeight="1">
      <c r="A30" s="390" t="s">
        <v>46</v>
      </c>
      <c r="B30" s="802">
        <f>53864947-C30</f>
        <v>45359068</v>
      </c>
      <c r="C30" s="970">
        <v>8505879</v>
      </c>
      <c r="D30" s="74">
        <f t="shared" si="0"/>
        <v>53864947</v>
      </c>
      <c r="E30" s="413"/>
      <c r="F30" s="48"/>
      <c r="G30" s="48"/>
      <c r="I30" s="48"/>
      <c r="J30" s="48"/>
    </row>
    <row r="31" spans="1:10" ht="25.35" customHeight="1">
      <c r="A31" s="390" t="s">
        <v>47</v>
      </c>
      <c r="B31" s="802">
        <f>56282435-C31</f>
        <v>47118829</v>
      </c>
      <c r="C31" s="970">
        <v>9163606</v>
      </c>
      <c r="D31" s="74">
        <f t="shared" si="0"/>
        <v>56282435</v>
      </c>
      <c r="E31" s="413"/>
      <c r="F31" s="48"/>
      <c r="G31" s="48"/>
      <c r="I31" s="48"/>
      <c r="J31" s="48"/>
    </row>
    <row r="32" spans="1:10" ht="25.35" customHeight="1">
      <c r="A32" s="390" t="s">
        <v>48</v>
      </c>
      <c r="B32" s="802">
        <f>27556204-C32</f>
        <v>23622370</v>
      </c>
      <c r="C32" s="970">
        <v>3933834</v>
      </c>
      <c r="D32" s="74">
        <f t="shared" si="0"/>
        <v>27556204</v>
      </c>
      <c r="E32" s="413"/>
      <c r="F32" s="48"/>
      <c r="G32" s="48"/>
      <c r="I32" s="48" t="s">
        <v>49</v>
      </c>
      <c r="J32" s="48"/>
    </row>
    <row r="33" spans="1:12" ht="25.35" customHeight="1">
      <c r="A33" s="390" t="s">
        <v>50</v>
      </c>
      <c r="B33" s="802">
        <f>41379691+750000-C33</f>
        <v>34477912</v>
      </c>
      <c r="C33" s="970">
        <v>7651779</v>
      </c>
      <c r="D33" s="74">
        <f t="shared" si="0"/>
        <v>42129691</v>
      </c>
      <c r="E33" s="413"/>
      <c r="F33" s="48"/>
      <c r="G33" s="48"/>
      <c r="I33" s="413"/>
      <c r="J33" s="48"/>
      <c r="K33" s="413"/>
    </row>
    <row r="34" spans="1:12" ht="25.35" customHeight="1" thickBot="1">
      <c r="A34" s="391" t="s">
        <v>51</v>
      </c>
      <c r="B34" s="802">
        <f>122831247-C34</f>
        <v>106185684</v>
      </c>
      <c r="C34" s="970">
        <v>16645563</v>
      </c>
      <c r="D34" s="75">
        <f t="shared" si="0"/>
        <v>122831247</v>
      </c>
      <c r="E34" s="413"/>
      <c r="F34" s="48"/>
      <c r="G34" s="48"/>
      <c r="I34" s="413"/>
      <c r="J34" s="48"/>
      <c r="K34" s="413"/>
    </row>
    <row r="35" spans="1:12" ht="25.35" customHeight="1" thickBot="1">
      <c r="A35" s="392" t="s">
        <v>52</v>
      </c>
      <c r="B35" s="434">
        <f>SUM(B7:B34)</f>
        <v>1332348851</v>
      </c>
      <c r="C35" s="434">
        <f>SUM(C7:C34)</f>
        <v>273857997</v>
      </c>
      <c r="D35" s="404">
        <f>SUM(D7:D34)</f>
        <v>1606206848</v>
      </c>
      <c r="E35" s="435"/>
      <c r="F35" s="48"/>
      <c r="G35" s="48"/>
      <c r="H35" s="48"/>
      <c r="I35" s="413"/>
      <c r="J35" s="48"/>
      <c r="K35" s="413"/>
      <c r="L35" s="414"/>
    </row>
    <row r="36" spans="1:12" ht="19.350000000000001" customHeight="1">
      <c r="A36" s="921" t="s">
        <v>53</v>
      </c>
      <c r="B36" s="921"/>
      <c r="C36" s="921"/>
      <c r="D36" s="921"/>
      <c r="E36" s="483"/>
      <c r="K36" s="413"/>
    </row>
    <row r="37" spans="1:12" ht="44.45" customHeight="1">
      <c r="A37" s="922" t="s">
        <v>54</v>
      </c>
      <c r="B37" s="922"/>
      <c r="C37" s="922"/>
      <c r="D37" s="922"/>
      <c r="E37" s="482"/>
      <c r="K37" s="413"/>
    </row>
    <row r="38" spans="1:12" ht="26.45" customHeight="1">
      <c r="A38" s="896"/>
      <c r="B38" s="896"/>
      <c r="C38" s="896"/>
      <c r="D38" s="896"/>
      <c r="E38" s="482"/>
      <c r="K38" s="413"/>
    </row>
    <row r="39" spans="1:12" ht="36.6" customHeight="1" thickBot="1">
      <c r="A39" s="477" t="s">
        <v>15</v>
      </c>
      <c r="B39" s="478"/>
      <c r="C39" s="478"/>
      <c r="K39" s="171"/>
    </row>
    <row r="40" spans="1:12" ht="24" customHeight="1" thickBot="1">
      <c r="A40" s="44" t="s">
        <v>55</v>
      </c>
      <c r="B40" s="798" t="s">
        <v>56</v>
      </c>
      <c r="C40" s="799"/>
      <c r="D40" s="799"/>
      <c r="E40" s="800"/>
      <c r="F40" s="17" t="s">
        <v>9</v>
      </c>
      <c r="K40" s="171"/>
    </row>
    <row r="41" spans="1:12" ht="22.35" customHeight="1" thickBot="1">
      <c r="A41" s="45">
        <v>1</v>
      </c>
      <c r="B41" s="52">
        <v>2</v>
      </c>
      <c r="C41" s="52">
        <v>3</v>
      </c>
      <c r="D41" s="52">
        <v>4</v>
      </c>
      <c r="E41" s="52">
        <v>5</v>
      </c>
    </row>
    <row r="42" spans="1:12" ht="24.6" customHeight="1" thickBot="1">
      <c r="A42" s="40" t="s">
        <v>19</v>
      </c>
      <c r="B42" s="49" t="s">
        <v>57</v>
      </c>
      <c r="C42" s="50" t="s">
        <v>58</v>
      </c>
      <c r="D42" s="51" t="s">
        <v>59</v>
      </c>
      <c r="E42" s="393" t="s">
        <v>60</v>
      </c>
    </row>
    <row r="43" spans="1:12" ht="42">
      <c r="A43" s="804" t="str">
        <f>A10</f>
        <v>Chipola College</v>
      </c>
      <c r="B43" s="1085" t="s">
        <v>61</v>
      </c>
      <c r="C43" s="874">
        <v>200000</v>
      </c>
      <c r="D43" s="874"/>
      <c r="E43" s="967">
        <f t="shared" ref="E43:E55" si="1">C43+D43</f>
        <v>200000</v>
      </c>
    </row>
    <row r="44" spans="1:12" ht="42">
      <c r="A44" s="1086" t="s">
        <v>25</v>
      </c>
      <c r="B44" s="1085" t="s">
        <v>62</v>
      </c>
      <c r="C44" s="874"/>
      <c r="D44" s="874">
        <v>1649800</v>
      </c>
      <c r="E44" s="967">
        <f t="shared" si="1"/>
        <v>1649800</v>
      </c>
    </row>
    <row r="45" spans="1:12" ht="42">
      <c r="A45" s="1086" t="str">
        <f>A11</f>
        <v>Daytona State College</v>
      </c>
      <c r="B45" s="873" t="s">
        <v>63</v>
      </c>
      <c r="C45" s="874">
        <v>500000</v>
      </c>
      <c r="D45" s="874"/>
      <c r="E45" s="967">
        <f t="shared" si="1"/>
        <v>500000</v>
      </c>
    </row>
    <row r="46" spans="1:12" ht="84.75" customHeight="1">
      <c r="A46" s="803" t="s">
        <v>27</v>
      </c>
      <c r="B46" s="873" t="s">
        <v>64</v>
      </c>
      <c r="C46" s="874"/>
      <c r="D46" s="874">
        <v>650000</v>
      </c>
      <c r="E46" s="967">
        <f t="shared" si="1"/>
        <v>650000</v>
      </c>
    </row>
    <row r="47" spans="1:12" ht="84.75" customHeight="1">
      <c r="A47" s="803" t="s">
        <v>65</v>
      </c>
      <c r="B47" s="873" t="s">
        <v>66</v>
      </c>
      <c r="C47" s="874"/>
      <c r="D47" s="874">
        <v>970000</v>
      </c>
      <c r="E47" s="967"/>
      <c r="G47" s="163" t="s">
        <v>9</v>
      </c>
    </row>
    <row r="48" spans="1:12" ht="62.45" customHeight="1">
      <c r="A48" s="803" t="s">
        <v>32</v>
      </c>
      <c r="B48" s="873" t="s">
        <v>67</v>
      </c>
      <c r="C48" s="874">
        <v>2500000</v>
      </c>
      <c r="D48" s="874"/>
      <c r="E48" s="967">
        <f t="shared" si="1"/>
        <v>2500000</v>
      </c>
    </row>
    <row r="49" spans="1:5" ht="62.45" customHeight="1">
      <c r="A49" s="803" t="s">
        <v>32</v>
      </c>
      <c r="B49" s="873" t="s">
        <v>68</v>
      </c>
      <c r="C49" s="874"/>
      <c r="D49" s="874">
        <v>500000</v>
      </c>
      <c r="E49" s="967">
        <f t="shared" si="1"/>
        <v>500000</v>
      </c>
    </row>
    <row r="50" spans="1:5" ht="62.45" customHeight="1">
      <c r="A50" s="803" t="s">
        <v>33</v>
      </c>
      <c r="B50" s="873" t="s">
        <v>69</v>
      </c>
      <c r="C50" s="874"/>
      <c r="D50" s="874">
        <v>2200000</v>
      </c>
      <c r="E50" s="967">
        <f t="shared" si="1"/>
        <v>2200000</v>
      </c>
    </row>
    <row r="51" spans="1:5" ht="62.45" customHeight="1">
      <c r="A51" s="803" t="s">
        <v>70</v>
      </c>
      <c r="B51" s="873" t="s">
        <v>71</v>
      </c>
      <c r="C51" s="874"/>
      <c r="D51" s="874">
        <v>3850000</v>
      </c>
      <c r="E51" s="967">
        <f t="shared" si="1"/>
        <v>3850000</v>
      </c>
    </row>
    <row r="52" spans="1:5" ht="62.45" customHeight="1">
      <c r="A52" s="803" t="s">
        <v>39</v>
      </c>
      <c r="B52" s="873" t="s">
        <v>72</v>
      </c>
      <c r="C52" s="874"/>
      <c r="D52" s="874">
        <v>990000</v>
      </c>
      <c r="E52" s="967">
        <f t="shared" si="1"/>
        <v>990000</v>
      </c>
    </row>
    <row r="53" spans="1:5">
      <c r="A53" s="803" t="str">
        <f>A25</f>
        <v>Pasco-Hernando State College</v>
      </c>
      <c r="B53" s="873" t="s">
        <v>73</v>
      </c>
      <c r="C53" s="874">
        <v>2306271</v>
      </c>
      <c r="D53" s="874"/>
      <c r="E53" s="967">
        <f t="shared" si="1"/>
        <v>2306271</v>
      </c>
    </row>
    <row r="54" spans="1:5" ht="42">
      <c r="A54" s="805" t="s">
        <v>45</v>
      </c>
      <c r="B54" s="873" t="s">
        <v>74</v>
      </c>
      <c r="C54" s="874"/>
      <c r="D54" s="874">
        <v>386940</v>
      </c>
      <c r="E54" s="967">
        <f t="shared" si="1"/>
        <v>386940</v>
      </c>
    </row>
    <row r="55" spans="1:5" ht="86.25" customHeight="1" thickBot="1">
      <c r="A55" s="805" t="s">
        <v>75</v>
      </c>
      <c r="B55" s="873" t="s">
        <v>76</v>
      </c>
      <c r="C55" s="874"/>
      <c r="D55" s="874">
        <v>750000</v>
      </c>
      <c r="E55" s="967">
        <f t="shared" si="1"/>
        <v>750000</v>
      </c>
    </row>
    <row r="56" spans="1:5" ht="24.6" customHeight="1" thickBot="1">
      <c r="A56" s="65" t="s">
        <v>60</v>
      </c>
      <c r="B56" s="389"/>
      <c r="C56" s="431">
        <f>SUM(C43:C55)</f>
        <v>5506271</v>
      </c>
      <c r="D56" s="431">
        <f>SUM(D43:D55)</f>
        <v>11946740</v>
      </c>
      <c r="E56" s="432">
        <f>SUM(E43:E55)</f>
        <v>16483011</v>
      </c>
    </row>
    <row r="57" spans="1:5" ht="25.35" customHeight="1">
      <c r="A57" s="17" t="s">
        <v>77</v>
      </c>
    </row>
    <row r="58" spans="1:5" ht="25.35" customHeight="1">
      <c r="D58" s="48"/>
    </row>
    <row r="59" spans="1:5" ht="30.6" customHeight="1" thickBot="1">
      <c r="A59" s="477" t="s">
        <v>15</v>
      </c>
      <c r="B59" s="478"/>
      <c r="C59" s="478"/>
    </row>
    <row r="60" spans="1:5" ht="41.1" customHeight="1" thickBot="1">
      <c r="A60" s="45" t="s">
        <v>78</v>
      </c>
      <c r="B60" s="394" t="s">
        <v>79</v>
      </c>
      <c r="C60" s="16" t="s">
        <v>9</v>
      </c>
      <c r="D60" s="16"/>
    </row>
    <row r="61" spans="1:5" ht="69" customHeight="1" thickBot="1">
      <c r="A61" s="891" t="s">
        <v>80</v>
      </c>
      <c r="B61" s="892"/>
      <c r="C61" s="148"/>
    </row>
    <row r="62" spans="1:5" ht="37.35" customHeight="1" thickBot="1">
      <c r="A62" s="359" t="s">
        <v>19</v>
      </c>
      <c r="B62" s="463" t="s">
        <v>52</v>
      </c>
      <c r="D62" s="22"/>
    </row>
    <row r="63" spans="1:5" ht="25.35" customHeight="1" thickBot="1">
      <c r="A63" s="412" t="str">
        <f>A33</f>
        <v>Tallahassee Community College</v>
      </c>
      <c r="B63" s="479">
        <v>25000</v>
      </c>
      <c r="C63" s="163"/>
    </row>
    <row r="64" spans="1:5" ht="25.35" customHeight="1" thickBot="1">
      <c r="A64" s="381" t="s">
        <v>52</v>
      </c>
      <c r="B64" s="480">
        <f>SUM(B63:B63)</f>
        <v>25000</v>
      </c>
      <c r="C64" s="395"/>
    </row>
    <row r="65" spans="1:7" ht="24.6" customHeight="1">
      <c r="A65" s="485"/>
      <c r="B65" s="484"/>
      <c r="C65" s="484"/>
    </row>
    <row r="66" spans="1:7" ht="32.1" customHeight="1" thickBot="1">
      <c r="A66" s="477" t="s">
        <v>81</v>
      </c>
      <c r="B66" s="478"/>
      <c r="C66" s="478"/>
    </row>
    <row r="67" spans="1:7" ht="44.45" customHeight="1" thickBot="1">
      <c r="A67" s="38" t="s">
        <v>82</v>
      </c>
      <c r="B67" s="893" t="s">
        <v>83</v>
      </c>
      <c r="C67" s="894"/>
      <c r="D67" s="894"/>
      <c r="E67" s="895"/>
      <c r="F67" s="18"/>
      <c r="G67" s="16"/>
    </row>
    <row r="68" spans="1:7" ht="87.6" customHeight="1" thickBot="1">
      <c r="A68" s="40" t="s">
        <v>19</v>
      </c>
      <c r="B68" s="24" t="s">
        <v>84</v>
      </c>
      <c r="C68" s="39" t="s">
        <v>85</v>
      </c>
      <c r="D68" s="25" t="s">
        <v>86</v>
      </c>
      <c r="E68" s="26" t="s">
        <v>87</v>
      </c>
      <c r="F68" s="24" t="s">
        <v>88</v>
      </c>
    </row>
    <row r="69" spans="1:7" ht="25.35" customHeight="1">
      <c r="A69" s="1087" t="str">
        <f t="shared" ref="A69:A96" si="2">A7</f>
        <v>Eastern Florida State College</v>
      </c>
      <c r="B69" s="415">
        <v>19419080.683654048</v>
      </c>
      <c r="C69" s="415">
        <f t="shared" ref="C69:C96" si="3">B69*0.05</f>
        <v>970954.03418270242</v>
      </c>
      <c r="D69" s="927">
        <f t="shared" ref="D69:D96" si="4">IF(C69&gt;500000,0,1)</f>
        <v>0</v>
      </c>
      <c r="E69" s="416">
        <f t="shared" ref="E69:E96" si="5">IF(D69&lt;1,0,B69*0.02)</f>
        <v>0</v>
      </c>
      <c r="F69" s="415">
        <f>C69+E69</f>
        <v>970954.03418270242</v>
      </c>
    </row>
    <row r="70" spans="1:7" ht="25.35" customHeight="1">
      <c r="A70" s="620" t="str">
        <f t="shared" si="2"/>
        <v>Broward College</v>
      </c>
      <c r="B70" s="20">
        <v>55634123.344564311</v>
      </c>
      <c r="C70" s="20">
        <f t="shared" si="3"/>
        <v>2781706.1672282158</v>
      </c>
      <c r="D70" s="20">
        <f t="shared" si="4"/>
        <v>0</v>
      </c>
      <c r="E70" s="20">
        <f t="shared" si="5"/>
        <v>0</v>
      </c>
      <c r="F70" s="20">
        <f t="shared" ref="F70:F96" si="6">C70+E70</f>
        <v>2781706.1672282158</v>
      </c>
    </row>
    <row r="71" spans="1:7" ht="25.35" customHeight="1">
      <c r="A71" s="621" t="str">
        <f t="shared" si="2"/>
        <v>College of Central Florida</v>
      </c>
      <c r="B71" s="379">
        <v>9685658.3398879822</v>
      </c>
      <c r="C71" s="379">
        <f t="shared" si="3"/>
        <v>484282.91699439916</v>
      </c>
      <c r="D71" s="379">
        <f t="shared" si="4"/>
        <v>1</v>
      </c>
      <c r="E71" s="379">
        <f t="shared" si="5"/>
        <v>193713.16679775965</v>
      </c>
      <c r="F71" s="379">
        <f t="shared" si="6"/>
        <v>677996.08379215887</v>
      </c>
    </row>
    <row r="72" spans="1:7" ht="25.35" customHeight="1">
      <c r="A72" s="621" t="str">
        <f t="shared" si="2"/>
        <v>Chipola College</v>
      </c>
      <c r="B72" s="379">
        <v>2672545.9274581135</v>
      </c>
      <c r="C72" s="379">
        <f t="shared" si="3"/>
        <v>133627.29637290569</v>
      </c>
      <c r="D72" s="379">
        <f t="shared" si="4"/>
        <v>1</v>
      </c>
      <c r="E72" s="379">
        <f t="shared" si="5"/>
        <v>53450.91854916227</v>
      </c>
      <c r="F72" s="379">
        <f t="shared" si="6"/>
        <v>187078.21492206797</v>
      </c>
    </row>
    <row r="73" spans="1:7" ht="25.35" customHeight="1">
      <c r="A73" s="620" t="str">
        <f t="shared" si="2"/>
        <v>Daytona State College</v>
      </c>
      <c r="B73" s="20">
        <v>21281786.133757833</v>
      </c>
      <c r="C73" s="20">
        <f t="shared" si="3"/>
        <v>1064089.3066878917</v>
      </c>
      <c r="D73" s="20">
        <f t="shared" si="4"/>
        <v>0</v>
      </c>
      <c r="E73" s="20">
        <f t="shared" si="5"/>
        <v>0</v>
      </c>
      <c r="F73" s="20">
        <f t="shared" si="6"/>
        <v>1064089.3066878917</v>
      </c>
    </row>
    <row r="74" spans="1:7" ht="25.35" customHeight="1">
      <c r="A74" s="620" t="str">
        <f t="shared" si="2"/>
        <v>Florida SouthWestern State College</v>
      </c>
      <c r="B74" s="20">
        <v>21202562.219761949</v>
      </c>
      <c r="C74" s="20">
        <f t="shared" si="3"/>
        <v>1060128.1109880975</v>
      </c>
      <c r="D74" s="20">
        <f t="shared" si="4"/>
        <v>0</v>
      </c>
      <c r="E74" s="20">
        <f t="shared" si="5"/>
        <v>0</v>
      </c>
      <c r="F74" s="20">
        <f t="shared" si="6"/>
        <v>1060128.1109880975</v>
      </c>
    </row>
    <row r="75" spans="1:7" ht="25.35" customHeight="1">
      <c r="A75" s="620" t="str">
        <f t="shared" si="2"/>
        <v>Florida State College at Jacksonville</v>
      </c>
      <c r="B75" s="20">
        <v>34785495.793719612</v>
      </c>
      <c r="C75" s="20">
        <f t="shared" si="3"/>
        <v>1739274.7896859806</v>
      </c>
      <c r="D75" s="20">
        <f t="shared" si="4"/>
        <v>0</v>
      </c>
      <c r="E75" s="20">
        <f t="shared" si="5"/>
        <v>0</v>
      </c>
      <c r="F75" s="20">
        <f t="shared" si="6"/>
        <v>1739274.7896859806</v>
      </c>
    </row>
    <row r="76" spans="1:7" ht="25.35" customHeight="1">
      <c r="A76" s="621" t="str">
        <f t="shared" si="2"/>
        <v>College of the Florida Keys</v>
      </c>
      <c r="B76" s="379">
        <v>2362899.7701305579</v>
      </c>
      <c r="C76" s="379">
        <f t="shared" si="3"/>
        <v>118144.98850652791</v>
      </c>
      <c r="D76" s="379">
        <f t="shared" si="4"/>
        <v>1</v>
      </c>
      <c r="E76" s="379">
        <f t="shared" si="5"/>
        <v>47257.995402611159</v>
      </c>
      <c r="F76" s="379">
        <f t="shared" si="6"/>
        <v>165402.98390913906</v>
      </c>
    </row>
    <row r="77" spans="1:7" ht="25.35" customHeight="1">
      <c r="A77" s="621" t="str">
        <f t="shared" si="2"/>
        <v>Gulf Coast State College</v>
      </c>
      <c r="B77" s="379">
        <v>6840533.4351812555</v>
      </c>
      <c r="C77" s="379">
        <f t="shared" si="3"/>
        <v>342026.6717590628</v>
      </c>
      <c r="D77" s="379">
        <f t="shared" si="4"/>
        <v>1</v>
      </c>
      <c r="E77" s="379">
        <f t="shared" si="5"/>
        <v>136810.66870362512</v>
      </c>
      <c r="F77" s="379">
        <f t="shared" si="6"/>
        <v>478837.34046268789</v>
      </c>
    </row>
    <row r="78" spans="1:7" ht="25.35" customHeight="1">
      <c r="A78" s="620" t="str">
        <f t="shared" si="2"/>
        <v>Hillsborough Community College</v>
      </c>
      <c r="B78" s="20">
        <v>43946232.650322378</v>
      </c>
      <c r="C78" s="20">
        <f>B78*0.05</f>
        <v>2197311.6325161192</v>
      </c>
      <c r="D78" s="20">
        <f t="shared" si="4"/>
        <v>0</v>
      </c>
      <c r="E78" s="20">
        <f t="shared" si="5"/>
        <v>0</v>
      </c>
      <c r="F78" s="20">
        <f t="shared" si="6"/>
        <v>2197311.6325161192</v>
      </c>
    </row>
    <row r="79" spans="1:7" ht="25.35" customHeight="1">
      <c r="A79" s="620" t="str">
        <f t="shared" si="2"/>
        <v>Indian River State College</v>
      </c>
      <c r="B79" s="20">
        <v>22182684.182127651</v>
      </c>
      <c r="C79" s="20">
        <f t="shared" si="3"/>
        <v>1109134.2091063827</v>
      </c>
      <c r="D79" s="20">
        <f t="shared" si="4"/>
        <v>0</v>
      </c>
      <c r="E79" s="20">
        <f t="shared" si="5"/>
        <v>0</v>
      </c>
      <c r="F79" s="20">
        <f t="shared" si="6"/>
        <v>1109134.2091063827</v>
      </c>
    </row>
    <row r="80" spans="1:7" ht="25.35" customHeight="1">
      <c r="A80" s="621" t="str">
        <f t="shared" si="2"/>
        <v>Florida Gateway College</v>
      </c>
      <c r="B80" s="379">
        <v>4274877.1533117993</v>
      </c>
      <c r="C80" s="379">
        <f t="shared" si="3"/>
        <v>213743.85766558998</v>
      </c>
      <c r="D80" s="379">
        <f t="shared" si="4"/>
        <v>1</v>
      </c>
      <c r="E80" s="379">
        <f t="shared" si="5"/>
        <v>85497.543066235987</v>
      </c>
      <c r="F80" s="379">
        <f t="shared" si="6"/>
        <v>299241.40073182597</v>
      </c>
    </row>
    <row r="81" spans="1:6" ht="25.35" customHeight="1">
      <c r="A81" s="621" t="str">
        <f t="shared" si="2"/>
        <v>Lake-Sumter State College</v>
      </c>
      <c r="B81" s="379">
        <v>6146568.3081806945</v>
      </c>
      <c r="C81" s="379">
        <f t="shared" si="3"/>
        <v>307328.41540903476</v>
      </c>
      <c r="D81" s="379">
        <f t="shared" si="4"/>
        <v>1</v>
      </c>
      <c r="E81" s="379">
        <f t="shared" si="5"/>
        <v>122931.36616361389</v>
      </c>
      <c r="F81" s="379">
        <f t="shared" si="6"/>
        <v>430259.78157264867</v>
      </c>
    </row>
    <row r="82" spans="1:6" ht="25.35" customHeight="1">
      <c r="A82" s="620" t="str">
        <f t="shared" si="2"/>
        <v>State College of Florida, Manatee-Sarasota</v>
      </c>
      <c r="B82" s="20">
        <v>15303454.377157696</v>
      </c>
      <c r="C82" s="20">
        <f t="shared" si="3"/>
        <v>765172.71885788487</v>
      </c>
      <c r="D82" s="20">
        <f t="shared" si="4"/>
        <v>0</v>
      </c>
      <c r="E82" s="20">
        <f t="shared" si="5"/>
        <v>0</v>
      </c>
      <c r="F82" s="20">
        <f t="shared" si="6"/>
        <v>765172.71885788487</v>
      </c>
    </row>
    <row r="83" spans="1:6" ht="25.35" customHeight="1">
      <c r="A83" s="620" t="str">
        <f t="shared" si="2"/>
        <v>Miami Dade College</v>
      </c>
      <c r="B83" s="20">
        <v>110180005.05224632</v>
      </c>
      <c r="C83" s="20">
        <f t="shared" si="3"/>
        <v>5509000.252612316</v>
      </c>
      <c r="D83" s="20">
        <f t="shared" si="4"/>
        <v>0</v>
      </c>
      <c r="E83" s="20">
        <f t="shared" si="5"/>
        <v>0</v>
      </c>
      <c r="F83" s="20">
        <f t="shared" si="6"/>
        <v>5509000.252612316</v>
      </c>
    </row>
    <row r="84" spans="1:6" ht="25.35" customHeight="1">
      <c r="A84" s="621" t="str">
        <f t="shared" si="2"/>
        <v>North Florida College</v>
      </c>
      <c r="B84" s="379">
        <v>1542213.3152823385</v>
      </c>
      <c r="C84" s="379">
        <f t="shared" si="3"/>
        <v>77110.665764116929</v>
      </c>
      <c r="D84" s="379">
        <f t="shared" si="4"/>
        <v>1</v>
      </c>
      <c r="E84" s="379">
        <f t="shared" si="5"/>
        <v>30844.266305646772</v>
      </c>
      <c r="F84" s="379">
        <f t="shared" si="6"/>
        <v>107954.9320697637</v>
      </c>
    </row>
    <row r="85" spans="1:6" ht="25.35" customHeight="1">
      <c r="A85" s="621" t="str">
        <f t="shared" si="2"/>
        <v>Northwest Florida State College</v>
      </c>
      <c r="B85" s="379">
        <v>7680492.4397385698</v>
      </c>
      <c r="C85" s="379">
        <f t="shared" si="3"/>
        <v>384024.62198692851</v>
      </c>
      <c r="D85" s="379">
        <f t="shared" si="4"/>
        <v>1</v>
      </c>
      <c r="E85" s="379">
        <f t="shared" si="5"/>
        <v>153609.84879477139</v>
      </c>
      <c r="F85" s="379">
        <f t="shared" si="6"/>
        <v>537634.47078169987</v>
      </c>
    </row>
    <row r="86" spans="1:6" ht="25.35" customHeight="1">
      <c r="A86" s="620" t="str">
        <f t="shared" si="2"/>
        <v>Palm Beach State College</v>
      </c>
      <c r="B86" s="20">
        <v>40988318.525037706</v>
      </c>
      <c r="C86" s="20">
        <f t="shared" si="3"/>
        <v>2049415.9262518855</v>
      </c>
      <c r="D86" s="20">
        <f t="shared" si="4"/>
        <v>0</v>
      </c>
      <c r="E86" s="20">
        <f t="shared" si="5"/>
        <v>0</v>
      </c>
      <c r="F86" s="20">
        <f t="shared" si="6"/>
        <v>2049415.9262518855</v>
      </c>
    </row>
    <row r="87" spans="1:6" ht="25.35" customHeight="1">
      <c r="A87" s="620" t="str">
        <f t="shared" si="2"/>
        <v>Pasco-Hernando State College</v>
      </c>
      <c r="B87" s="20">
        <v>12395463.323035011</v>
      </c>
      <c r="C87" s="20">
        <f t="shared" si="3"/>
        <v>619773.1661517506</v>
      </c>
      <c r="D87" s="20">
        <f t="shared" si="4"/>
        <v>0</v>
      </c>
      <c r="E87" s="20">
        <f t="shared" si="5"/>
        <v>0</v>
      </c>
      <c r="F87" s="20">
        <f t="shared" si="6"/>
        <v>619773.1661517506</v>
      </c>
    </row>
    <row r="88" spans="1:6" ht="25.35" customHeight="1">
      <c r="A88" s="620" t="str">
        <f t="shared" si="2"/>
        <v>Pensacola State College</v>
      </c>
      <c r="B88" s="20">
        <v>12594741.367217783</v>
      </c>
      <c r="C88" s="20">
        <f t="shared" si="3"/>
        <v>629737.06836088921</v>
      </c>
      <c r="D88" s="20">
        <f t="shared" si="4"/>
        <v>0</v>
      </c>
      <c r="E88" s="20">
        <f t="shared" si="5"/>
        <v>0</v>
      </c>
      <c r="F88" s="20">
        <f t="shared" si="6"/>
        <v>629737.06836088921</v>
      </c>
    </row>
    <row r="89" spans="1:6" ht="25.35" customHeight="1">
      <c r="A89" s="620" t="str">
        <f t="shared" si="2"/>
        <v>Polk State College</v>
      </c>
      <c r="B89" s="20">
        <v>14108860.508260325</v>
      </c>
      <c r="C89" s="20">
        <f t="shared" si="3"/>
        <v>705443.02541301632</v>
      </c>
      <c r="D89" s="20">
        <f t="shared" si="4"/>
        <v>0</v>
      </c>
      <c r="E89" s="20">
        <f t="shared" si="5"/>
        <v>0</v>
      </c>
      <c r="F89" s="20">
        <f t="shared" si="6"/>
        <v>705443.02541301632</v>
      </c>
    </row>
    <row r="90" spans="1:6" ht="25.35" customHeight="1">
      <c r="A90" s="621" t="str">
        <f t="shared" si="2"/>
        <v>St. Johns River State College</v>
      </c>
      <c r="B90" s="379">
        <v>7186664.0166581785</v>
      </c>
      <c r="C90" s="379">
        <f t="shared" si="3"/>
        <v>359333.20083290897</v>
      </c>
      <c r="D90" s="379">
        <f t="shared" si="4"/>
        <v>1</v>
      </c>
      <c r="E90" s="379">
        <f t="shared" si="5"/>
        <v>143733.28033316357</v>
      </c>
      <c r="F90" s="379">
        <f t="shared" si="6"/>
        <v>503066.48116607254</v>
      </c>
    </row>
    <row r="91" spans="1:6" ht="25.35" customHeight="1">
      <c r="A91" s="620" t="str">
        <f t="shared" si="2"/>
        <v>St. Petersburg College</v>
      </c>
      <c r="B91" s="20">
        <v>39054198.422799714</v>
      </c>
      <c r="C91" s="20">
        <f t="shared" si="3"/>
        <v>1952709.9211399858</v>
      </c>
      <c r="D91" s="20">
        <f t="shared" si="4"/>
        <v>0</v>
      </c>
      <c r="E91" s="20">
        <f t="shared" si="5"/>
        <v>0</v>
      </c>
      <c r="F91" s="20">
        <f t="shared" si="6"/>
        <v>1952709.9211399858</v>
      </c>
    </row>
    <row r="92" spans="1:6" ht="25.35" customHeight="1">
      <c r="A92" s="620" t="str">
        <f t="shared" si="2"/>
        <v>Santa Fe College</v>
      </c>
      <c r="B92" s="20">
        <v>24451905.193391439</v>
      </c>
      <c r="C92" s="20">
        <f t="shared" si="3"/>
        <v>1222595.2596695719</v>
      </c>
      <c r="D92" s="20">
        <f t="shared" si="4"/>
        <v>0</v>
      </c>
      <c r="E92" s="20">
        <f t="shared" si="5"/>
        <v>0</v>
      </c>
      <c r="F92" s="20">
        <f t="shared" si="6"/>
        <v>1222595.2596695719</v>
      </c>
    </row>
    <row r="93" spans="1:6" ht="25.35" customHeight="1">
      <c r="A93" s="620" t="str">
        <f t="shared" si="2"/>
        <v>Seminole State College of Florida</v>
      </c>
      <c r="B93" s="20">
        <v>24058290.994599178</v>
      </c>
      <c r="C93" s="20">
        <f t="shared" si="3"/>
        <v>1202914.5497299589</v>
      </c>
      <c r="D93" s="20">
        <f t="shared" si="4"/>
        <v>0</v>
      </c>
      <c r="E93" s="20">
        <f t="shared" si="5"/>
        <v>0</v>
      </c>
      <c r="F93" s="20">
        <f t="shared" si="6"/>
        <v>1202914.5497299589</v>
      </c>
    </row>
    <row r="94" spans="1:6" ht="25.35" customHeight="1">
      <c r="A94" s="621" t="str">
        <f t="shared" si="2"/>
        <v>South Florida State College</v>
      </c>
      <c r="B94" s="379">
        <v>3850755.0157075105</v>
      </c>
      <c r="C94" s="379">
        <f t="shared" si="3"/>
        <v>192537.75078537554</v>
      </c>
      <c r="D94" s="379">
        <f t="shared" si="4"/>
        <v>1</v>
      </c>
      <c r="E94" s="379">
        <f t="shared" si="5"/>
        <v>77015.100314150215</v>
      </c>
      <c r="F94" s="379">
        <f t="shared" si="6"/>
        <v>269552.85109952575</v>
      </c>
    </row>
    <row r="95" spans="1:6" ht="25.35" customHeight="1">
      <c r="A95" s="620" t="str">
        <f t="shared" si="2"/>
        <v>Tallahassee Community College</v>
      </c>
      <c r="B95" s="20">
        <v>23008201.043624662</v>
      </c>
      <c r="C95" s="20">
        <f t="shared" si="3"/>
        <v>1150410.0521812332</v>
      </c>
      <c r="D95" s="20">
        <f t="shared" si="4"/>
        <v>0</v>
      </c>
      <c r="E95" s="20">
        <f t="shared" si="5"/>
        <v>0</v>
      </c>
      <c r="F95" s="20">
        <f t="shared" si="6"/>
        <v>1150410.0521812332</v>
      </c>
    </row>
    <row r="96" spans="1:6" ht="25.35" customHeight="1" thickBot="1">
      <c r="A96" s="620" t="str">
        <f t="shared" si="2"/>
        <v>Valencia College</v>
      </c>
      <c r="B96" s="27">
        <v>86392134.708814919</v>
      </c>
      <c r="C96" s="27">
        <f t="shared" si="3"/>
        <v>4319606.7354407459</v>
      </c>
      <c r="D96" s="27">
        <f t="shared" si="4"/>
        <v>0</v>
      </c>
      <c r="E96" s="27">
        <f t="shared" si="5"/>
        <v>0</v>
      </c>
      <c r="F96" s="27">
        <f t="shared" si="6"/>
        <v>4319606.7354407459</v>
      </c>
    </row>
    <row r="97" spans="1:50" ht="25.35" customHeight="1" thickBot="1">
      <c r="A97" s="65" t="s">
        <v>52</v>
      </c>
      <c r="B97" s="417">
        <f>SUM(B69:B96)</f>
        <v>673230746.24562955</v>
      </c>
      <c r="C97" s="417">
        <f>SUM(C69:C96)</f>
        <v>33661537.312281474</v>
      </c>
      <c r="D97" s="66">
        <f>SUM(D69:D96)</f>
        <v>10</v>
      </c>
      <c r="E97" s="417">
        <f>SUM(E69:E96)</f>
        <v>1044864.1544307399</v>
      </c>
      <c r="F97" s="418">
        <f>SUM(C97+E97)</f>
        <v>34706401.466712214</v>
      </c>
    </row>
    <row r="98" spans="1:50" ht="25.35" customHeight="1">
      <c r="A98" s="77"/>
    </row>
    <row r="99" spans="1:50" ht="25.35" customHeight="1">
      <c r="A99" s="78" t="s">
        <v>89</v>
      </c>
    </row>
    <row r="100" spans="1:50" ht="25.35" customHeight="1">
      <c r="A100" s="884" t="s">
        <v>90</v>
      </c>
      <c r="B100" s="884"/>
      <c r="C100" s="884"/>
      <c r="D100" s="884"/>
      <c r="E100" s="884"/>
      <c r="F100" s="884"/>
      <c r="G100" s="884"/>
      <c r="H100" s="884"/>
      <c r="I100" s="884"/>
      <c r="J100" s="884"/>
      <c r="K100" s="884"/>
      <c r="L100" s="884"/>
      <c r="M100" s="884"/>
      <c r="N100" s="884"/>
      <c r="O100" s="884"/>
      <c r="P100" s="884"/>
      <c r="Q100" s="884"/>
      <c r="R100" s="884"/>
    </row>
    <row r="101" spans="1:50" ht="20.100000000000001" customHeight="1">
      <c r="A101" s="882" t="s">
        <v>91</v>
      </c>
      <c r="B101" s="882"/>
      <c r="C101" s="882"/>
      <c r="D101" s="882"/>
      <c r="E101" s="882"/>
      <c r="F101" s="882"/>
      <c r="G101" s="882"/>
      <c r="H101" s="882"/>
      <c r="I101" s="882"/>
      <c r="J101" s="882"/>
      <c r="K101" s="882"/>
      <c r="L101" s="882"/>
      <c r="M101" s="882"/>
      <c r="N101" s="882"/>
      <c r="O101" s="882"/>
      <c r="P101" s="882"/>
      <c r="Q101" s="882"/>
      <c r="R101" s="882"/>
      <c r="S101" s="481"/>
    </row>
    <row r="102" spans="1:50" ht="20.100000000000001" customHeight="1">
      <c r="A102" s="465" t="s">
        <v>92</v>
      </c>
      <c r="B102" s="465"/>
      <c r="C102" s="465"/>
      <c r="D102" s="465"/>
      <c r="E102" s="465"/>
      <c r="F102" s="465"/>
      <c r="G102" s="465"/>
      <c r="H102" s="465"/>
      <c r="I102" s="465"/>
      <c r="J102" s="465"/>
      <c r="K102" s="465"/>
      <c r="L102" s="465"/>
      <c r="M102" s="465"/>
      <c r="N102" s="465"/>
      <c r="O102" s="465"/>
      <c r="P102" s="465"/>
      <c r="Q102" s="465"/>
      <c r="R102" s="465"/>
    </row>
    <row r="103" spans="1:50" ht="20.100000000000001" customHeight="1">
      <c r="A103" s="882" t="s">
        <v>93</v>
      </c>
      <c r="B103" s="882"/>
      <c r="C103" s="882"/>
      <c r="D103" s="882"/>
      <c r="E103" s="882"/>
      <c r="F103" s="882"/>
      <c r="G103" s="882"/>
      <c r="H103" s="882"/>
      <c r="I103" s="882"/>
      <c r="J103" s="882"/>
      <c r="K103" s="882"/>
      <c r="L103" s="882"/>
      <c r="M103" s="882"/>
      <c r="N103" s="882"/>
      <c r="O103" s="882"/>
      <c r="P103" s="882"/>
      <c r="Q103" s="882"/>
      <c r="R103" s="882"/>
    </row>
    <row r="104" spans="1:50" ht="20.100000000000001" customHeight="1">
      <c r="A104" s="882"/>
      <c r="B104" s="882"/>
      <c r="C104" s="882"/>
      <c r="D104" s="882"/>
      <c r="E104" s="882"/>
      <c r="F104" s="882"/>
      <c r="G104" s="882"/>
    </row>
    <row r="105" spans="1:50" ht="32.450000000000003" customHeight="1" thickBot="1">
      <c r="E105" s="476"/>
      <c r="F105" s="476"/>
      <c r="G105" s="476"/>
    </row>
    <row r="106" spans="1:50" ht="43.35" customHeight="1" thickBot="1">
      <c r="A106" s="47" t="s">
        <v>94</v>
      </c>
      <c r="B106" s="877" t="s">
        <v>95</v>
      </c>
      <c r="C106" s="878"/>
      <c r="D106" s="879"/>
      <c r="E106" s="880" t="s">
        <v>96</v>
      </c>
      <c r="F106" s="880"/>
      <c r="G106" s="880"/>
      <c r="H106" s="880"/>
      <c r="I106" s="880"/>
      <c r="J106" s="880"/>
      <c r="K106" s="880"/>
      <c r="L106" s="880"/>
      <c r="M106" s="880"/>
      <c r="N106" s="880"/>
      <c r="O106" s="880"/>
      <c r="P106" s="880"/>
      <c r="Q106" s="880"/>
      <c r="R106" s="880"/>
      <c r="S106" s="881"/>
      <c r="T106" s="19"/>
      <c r="U106" s="19"/>
      <c r="AC106" s="19"/>
      <c r="AK106" s="386"/>
    </row>
    <row r="107" spans="1:50" ht="39" customHeight="1" thickBot="1">
      <c r="A107" s="46">
        <v>1</v>
      </c>
      <c r="B107" s="44">
        <v>2</v>
      </c>
      <c r="C107" s="880">
        <v>3</v>
      </c>
      <c r="D107" s="881">
        <v>4</v>
      </c>
      <c r="E107" s="880">
        <v>5</v>
      </c>
      <c r="F107" s="880">
        <v>6</v>
      </c>
      <c r="G107" s="880">
        <v>7</v>
      </c>
      <c r="H107" s="880">
        <v>8</v>
      </c>
      <c r="I107" s="880">
        <v>9</v>
      </c>
      <c r="J107" s="880">
        <v>10</v>
      </c>
      <c r="K107" s="880">
        <v>11</v>
      </c>
      <c r="L107" s="880">
        <v>12</v>
      </c>
      <c r="M107" s="880">
        <v>13</v>
      </c>
      <c r="N107" s="880">
        <v>14</v>
      </c>
      <c r="O107" s="880">
        <v>15</v>
      </c>
      <c r="P107" s="880">
        <v>16</v>
      </c>
      <c r="Q107" s="880">
        <v>17</v>
      </c>
      <c r="R107" s="880">
        <v>18</v>
      </c>
      <c r="S107" s="881">
        <v>19</v>
      </c>
      <c r="T107" s="914" t="s">
        <v>52</v>
      </c>
      <c r="U107" s="28"/>
      <c r="V107" s="44">
        <v>20</v>
      </c>
      <c r="W107" s="880">
        <v>21</v>
      </c>
      <c r="X107" s="880">
        <v>22</v>
      </c>
      <c r="Y107" s="58"/>
      <c r="Z107" s="880">
        <v>23</v>
      </c>
      <c r="AA107" s="880">
        <v>24</v>
      </c>
      <c r="AB107" s="881">
        <v>25</v>
      </c>
      <c r="AC107" s="31"/>
    </row>
    <row r="108" spans="1:50" ht="29.45" customHeight="1" thickBot="1">
      <c r="A108" s="55" t="s">
        <v>97</v>
      </c>
      <c r="B108" s="923" t="s">
        <v>98</v>
      </c>
      <c r="C108" s="924"/>
      <c r="D108" s="925"/>
      <c r="E108" s="30"/>
      <c r="G108" s="899"/>
      <c r="H108" s="899"/>
      <c r="I108" s="899"/>
      <c r="J108" s="899" t="s">
        <v>99</v>
      </c>
      <c r="K108" s="899"/>
      <c r="L108" s="899"/>
      <c r="M108" s="899"/>
      <c r="N108" s="899"/>
      <c r="O108" s="899"/>
      <c r="P108" s="899"/>
      <c r="Q108" s="908" t="s">
        <v>100</v>
      </c>
      <c r="R108" s="909"/>
      <c r="S108" s="910"/>
      <c r="T108" s="915" t="s">
        <v>101</v>
      </c>
      <c r="U108" s="32"/>
      <c r="V108" s="33"/>
      <c r="W108" s="34"/>
      <c r="X108" s="35"/>
      <c r="Y108" s="59"/>
      <c r="Z108" s="900"/>
      <c r="AA108" s="901"/>
      <c r="AB108" s="902"/>
      <c r="AC108" s="19"/>
      <c r="AD108" s="595" t="s">
        <v>102</v>
      </c>
      <c r="AF108" s="29"/>
    </row>
    <row r="109" spans="1:50" ht="66" customHeight="1" thickBot="1">
      <c r="A109" s="36"/>
      <c r="B109" s="44" t="s">
        <v>103</v>
      </c>
      <c r="C109" s="880"/>
      <c r="D109" s="881"/>
      <c r="E109" s="44" t="s">
        <v>104</v>
      </c>
      <c r="F109" s="880"/>
      <c r="G109" s="881"/>
      <c r="H109" s="44" t="s">
        <v>105</v>
      </c>
      <c r="I109" s="880"/>
      <c r="J109" s="881"/>
      <c r="K109" s="888" t="s">
        <v>106</v>
      </c>
      <c r="L109" s="888"/>
      <c r="M109" s="888"/>
      <c r="N109" s="38" t="s">
        <v>107</v>
      </c>
      <c r="O109" s="889"/>
      <c r="P109" s="39"/>
      <c r="Q109" s="911" t="s">
        <v>108</v>
      </c>
      <c r="R109" s="912"/>
      <c r="S109" s="913"/>
      <c r="T109" s="966"/>
      <c r="U109" s="21"/>
      <c r="V109" s="885" t="s">
        <v>109</v>
      </c>
      <c r="W109" s="886"/>
      <c r="X109" s="890"/>
      <c r="Y109" s="916"/>
      <c r="Z109" s="885" t="s">
        <v>110</v>
      </c>
      <c r="AA109" s="886"/>
      <c r="AB109" s="887"/>
      <c r="AD109" s="43" t="s">
        <v>111</v>
      </c>
      <c r="AF109" s="19"/>
      <c r="AI109" s="917" t="s">
        <v>112</v>
      </c>
      <c r="AJ109" s="917"/>
      <c r="AK109" s="917"/>
      <c r="AL109" s="917"/>
      <c r="AM109" s="917"/>
      <c r="AN109" s="917"/>
      <c r="AO109" s="917"/>
    </row>
    <row r="110" spans="1:50" ht="87" customHeight="1" thickBot="1">
      <c r="A110" s="40" t="s">
        <v>19</v>
      </c>
      <c r="B110" s="812" t="s">
        <v>113</v>
      </c>
      <c r="C110" s="384"/>
      <c r="D110" s="570" t="s">
        <v>60</v>
      </c>
      <c r="E110" s="811" t="s">
        <v>113</v>
      </c>
      <c r="F110" s="810" t="s">
        <v>114</v>
      </c>
      <c r="G110" s="19" t="s">
        <v>60</v>
      </c>
      <c r="H110" s="813" t="s">
        <v>113</v>
      </c>
      <c r="I110" s="814" t="s">
        <v>114</v>
      </c>
      <c r="J110" s="57" t="s">
        <v>60</v>
      </c>
      <c r="K110" s="815" t="s">
        <v>113</v>
      </c>
      <c r="L110" s="816" t="s">
        <v>114</v>
      </c>
      <c r="M110" s="971" t="s">
        <v>60</v>
      </c>
      <c r="N110" s="817" t="s">
        <v>113</v>
      </c>
      <c r="O110" s="816" t="s">
        <v>114</v>
      </c>
      <c r="P110" s="540" t="s">
        <v>60</v>
      </c>
      <c r="Q110" s="817" t="s">
        <v>113</v>
      </c>
      <c r="R110" s="810" t="s">
        <v>114</v>
      </c>
      <c r="S110" s="57" t="s">
        <v>60</v>
      </c>
      <c r="T110" s="965" t="s">
        <v>115</v>
      </c>
      <c r="V110" s="818" t="s">
        <v>113</v>
      </c>
      <c r="W110" s="819" t="s">
        <v>114</v>
      </c>
      <c r="X110" s="972" t="s">
        <v>60</v>
      </c>
      <c r="Y110" s="56"/>
      <c r="Z110" s="37" t="s">
        <v>113</v>
      </c>
      <c r="AA110" s="820" t="s">
        <v>114</v>
      </c>
      <c r="AB110" s="80" t="s">
        <v>60</v>
      </c>
      <c r="AD110" s="40" t="s">
        <v>19</v>
      </c>
      <c r="AE110" s="821" t="s">
        <v>116</v>
      </c>
      <c r="AF110" s="822" t="s">
        <v>117</v>
      </c>
      <c r="AG110" s="23" t="s">
        <v>118</v>
      </c>
      <c r="AR110" s="28"/>
      <c r="AS110" s="28"/>
      <c r="AT110" s="28"/>
    </row>
    <row r="111" spans="1:50" ht="24.6" customHeight="1">
      <c r="A111" s="380" t="str">
        <f t="shared" ref="A111:A138" si="7">A7</f>
        <v>Eastern Florida State College</v>
      </c>
      <c r="B111" s="466">
        <v>904</v>
      </c>
      <c r="C111" s="926"/>
      <c r="D111" s="806">
        <f t="shared" ref="D111:D138" si="8">B111+C111</f>
        <v>904</v>
      </c>
      <c r="E111" s="903">
        <v>4070.6633523229893</v>
      </c>
      <c r="F111" s="467">
        <v>183.61735253529599</v>
      </c>
      <c r="G111" s="396">
        <f t="shared" ref="G111:G138" si="9">E111+F111</f>
        <v>4254.2807048582854</v>
      </c>
      <c r="H111" s="959">
        <v>1521.3588197412328</v>
      </c>
      <c r="I111" s="960">
        <v>39.803875651308473</v>
      </c>
      <c r="J111" s="396">
        <f>H111+I111</f>
        <v>1561.1626953925413</v>
      </c>
      <c r="K111" s="468">
        <v>176.45088018171492</v>
      </c>
      <c r="L111" s="469">
        <v>16.549119818285064</v>
      </c>
      <c r="M111" s="54">
        <f t="shared" ref="M111:M138" si="10">K111+L111</f>
        <v>193</v>
      </c>
      <c r="N111" s="468">
        <v>0</v>
      </c>
      <c r="O111" s="469">
        <v>0</v>
      </c>
      <c r="P111" s="54">
        <f t="shared" ref="P111:P138" si="11">N111+O111</f>
        <v>0</v>
      </c>
      <c r="Q111" s="468">
        <v>352.74279210925647</v>
      </c>
      <c r="R111" s="470">
        <v>17.182599898836621</v>
      </c>
      <c r="S111" s="396">
        <f t="shared" ref="S111:S138" si="12">Q111+R111</f>
        <v>369.92539200809307</v>
      </c>
      <c r="T111" s="54">
        <f t="shared" ref="T111:T138" si="13">D111+G111+J111+M111+P111+S111</f>
        <v>7282.3687922589197</v>
      </c>
      <c r="V111" s="1088">
        <f>X111-W111</f>
        <v>0</v>
      </c>
      <c r="W111" s="471">
        <v>0</v>
      </c>
      <c r="X111" s="472">
        <v>0</v>
      </c>
      <c r="Y111" s="79"/>
      <c r="Z111" s="401">
        <f>AB111-AA111</f>
        <v>0</v>
      </c>
      <c r="AA111" s="473">
        <v>0</v>
      </c>
      <c r="AB111" s="1089">
        <f t="shared" ref="AB111:AB138" si="14">AG111</f>
        <v>0</v>
      </c>
      <c r="AD111" s="380" t="str">
        <f t="shared" ref="AD111:AD138" si="15">A111</f>
        <v>Eastern Florida State College</v>
      </c>
      <c r="AE111" s="474">
        <v>0</v>
      </c>
      <c r="AF111" s="474">
        <v>0</v>
      </c>
      <c r="AG111" s="403">
        <f t="shared" ref="AG111:AG138" si="16">AE111+AF111</f>
        <v>0</v>
      </c>
      <c r="AI111" s="898" t="s">
        <v>119</v>
      </c>
      <c r="AJ111" s="898"/>
      <c r="AK111" s="898"/>
      <c r="AL111" s="898"/>
      <c r="AM111" s="898"/>
      <c r="AN111" s="898"/>
      <c r="AO111" s="42">
        <f>X139+AB139</f>
        <v>2673</v>
      </c>
      <c r="AR111" s="28"/>
      <c r="AS111" s="28"/>
      <c r="AT111" s="28"/>
    </row>
    <row r="112" spans="1:50" ht="25.35" customHeight="1">
      <c r="A112" s="1090" t="str">
        <f t="shared" si="7"/>
        <v>Broward College</v>
      </c>
      <c r="B112" s="613">
        <v>1113</v>
      </c>
      <c r="C112" s="973"/>
      <c r="D112" s="807">
        <f t="shared" si="8"/>
        <v>1113</v>
      </c>
      <c r="E112" s="904">
        <v>10769.338335884886</v>
      </c>
      <c r="F112" s="974">
        <v>476.04007571701146</v>
      </c>
      <c r="G112" s="975">
        <f t="shared" si="9"/>
        <v>11245.378411601898</v>
      </c>
      <c r="H112" s="961">
        <v>5837.5073015000162</v>
      </c>
      <c r="I112" s="962">
        <v>282.09685943848712</v>
      </c>
      <c r="J112" s="975">
        <f t="shared" ref="J112:J138" si="17">H112+I112</f>
        <v>6119.6041609385029</v>
      </c>
      <c r="K112" s="622">
        <v>546.38061503783615</v>
      </c>
      <c r="L112" s="614">
        <v>68.619384962163906</v>
      </c>
      <c r="M112" s="976">
        <f t="shared" si="10"/>
        <v>615</v>
      </c>
      <c r="N112" s="622">
        <v>11</v>
      </c>
      <c r="O112" s="614">
        <v>0</v>
      </c>
      <c r="P112" s="976">
        <f t="shared" si="11"/>
        <v>11</v>
      </c>
      <c r="Q112" s="622">
        <v>172.50768355150825</v>
      </c>
      <c r="R112" s="977">
        <v>0.49231644849174733</v>
      </c>
      <c r="S112" s="975">
        <f t="shared" si="12"/>
        <v>173</v>
      </c>
      <c r="T112" s="976">
        <f t="shared" si="13"/>
        <v>19276.982572540401</v>
      </c>
      <c r="V112" s="1088">
        <f t="shared" ref="V112:V138" si="18">X112-W112</f>
        <v>0</v>
      </c>
      <c r="W112" s="977">
        <v>0</v>
      </c>
      <c r="X112" s="978">
        <v>0</v>
      </c>
      <c r="Y112" s="79"/>
      <c r="Z112" s="979">
        <f t="shared" ref="Z112:Z138" si="19">AB112-AA112</f>
        <v>0</v>
      </c>
      <c r="AA112" s="980">
        <v>0</v>
      </c>
      <c r="AB112" s="1089">
        <f t="shared" si="14"/>
        <v>0</v>
      </c>
      <c r="AD112" s="385" t="str">
        <f t="shared" si="15"/>
        <v>Broward College</v>
      </c>
      <c r="AE112" s="981">
        <v>0</v>
      </c>
      <c r="AF112" s="981">
        <v>0</v>
      </c>
      <c r="AG112" s="975">
        <f t="shared" si="16"/>
        <v>0</v>
      </c>
      <c r="AI112" s="898" t="s">
        <v>120</v>
      </c>
      <c r="AJ112" s="898"/>
      <c r="AK112" s="898"/>
      <c r="AL112" s="898"/>
      <c r="AM112" s="898"/>
      <c r="AN112" s="898"/>
      <c r="AO112" s="475">
        <v>28486.441174206753</v>
      </c>
      <c r="AR112" s="158"/>
      <c r="AS112" s="158"/>
      <c r="AT112" s="158"/>
      <c r="AU112" s="158"/>
      <c r="AV112" s="158"/>
      <c r="AW112" s="158"/>
      <c r="AX112" s="158"/>
    </row>
    <row r="113" spans="1:50" ht="25.35" customHeight="1">
      <c r="A113" s="907" t="str">
        <f t="shared" si="7"/>
        <v>College of Central Florida</v>
      </c>
      <c r="B113" s="613">
        <v>281</v>
      </c>
      <c r="C113" s="973"/>
      <c r="D113" s="807">
        <f t="shared" si="8"/>
        <v>281</v>
      </c>
      <c r="E113" s="904">
        <v>1773.1988276570255</v>
      </c>
      <c r="F113" s="974">
        <v>69.360688002738328</v>
      </c>
      <c r="G113" s="975">
        <f t="shared" si="9"/>
        <v>1842.5595156597637</v>
      </c>
      <c r="H113" s="961">
        <v>1075.7106295853951</v>
      </c>
      <c r="I113" s="962">
        <v>36.138884149462548</v>
      </c>
      <c r="J113" s="975">
        <f t="shared" si="17"/>
        <v>1111.8495137348575</v>
      </c>
      <c r="K113" s="622">
        <v>79.163594470046078</v>
      </c>
      <c r="L113" s="614">
        <v>14.836405529953918</v>
      </c>
      <c r="M113" s="976">
        <f t="shared" si="10"/>
        <v>94</v>
      </c>
      <c r="N113" s="622">
        <v>0</v>
      </c>
      <c r="O113" s="614">
        <v>0</v>
      </c>
      <c r="P113" s="976">
        <f t="shared" si="11"/>
        <v>0</v>
      </c>
      <c r="Q113" s="622">
        <v>106.33390557939914</v>
      </c>
      <c r="R113" s="977">
        <v>2.9622317596566523</v>
      </c>
      <c r="S113" s="975">
        <f t="shared" si="12"/>
        <v>109.29613733905579</v>
      </c>
      <c r="T113" s="976">
        <f t="shared" si="13"/>
        <v>3438.7051667336768</v>
      </c>
      <c r="V113" s="1088">
        <f t="shared" si="18"/>
        <v>0</v>
      </c>
      <c r="W113" s="977">
        <v>0</v>
      </c>
      <c r="X113" s="978">
        <v>0</v>
      </c>
      <c r="Y113" s="79"/>
      <c r="Z113" s="979">
        <f t="shared" si="19"/>
        <v>5.8543046357615882</v>
      </c>
      <c r="AA113" s="980">
        <v>8.1456953642384118</v>
      </c>
      <c r="AB113" s="1089">
        <f t="shared" si="14"/>
        <v>14</v>
      </c>
      <c r="AD113" s="907" t="str">
        <f t="shared" si="15"/>
        <v>College of Central Florida</v>
      </c>
      <c r="AE113" s="981">
        <v>10</v>
      </c>
      <c r="AF113" s="981">
        <v>4</v>
      </c>
      <c r="AG113" s="975">
        <f t="shared" si="16"/>
        <v>14</v>
      </c>
      <c r="AI113" s="898" t="s">
        <v>121</v>
      </c>
      <c r="AJ113" s="898"/>
      <c r="AK113" s="898"/>
      <c r="AL113" s="898"/>
      <c r="AM113" s="898"/>
      <c r="AN113" s="898"/>
      <c r="AO113" s="582">
        <f>3747-0</f>
        <v>3747</v>
      </c>
    </row>
    <row r="114" spans="1:50" ht="25.35" customHeight="1">
      <c r="A114" s="907" t="str">
        <f t="shared" si="7"/>
        <v>Chipola College</v>
      </c>
      <c r="B114" s="613">
        <v>136</v>
      </c>
      <c r="C114" s="973"/>
      <c r="D114" s="807">
        <f t="shared" si="8"/>
        <v>136</v>
      </c>
      <c r="E114" s="904">
        <v>587.8461337171268</v>
      </c>
      <c r="F114" s="974">
        <v>54.699463561428765</v>
      </c>
      <c r="G114" s="975">
        <f t="shared" si="9"/>
        <v>642.54559727855553</v>
      </c>
      <c r="H114" s="961">
        <v>163.33010648596323</v>
      </c>
      <c r="I114" s="962">
        <v>6.447241045498548</v>
      </c>
      <c r="J114" s="975">
        <f t="shared" si="17"/>
        <v>169.77734753146177</v>
      </c>
      <c r="K114" s="622">
        <v>2.9661016949152543</v>
      </c>
      <c r="L114" s="614">
        <v>2.0338983050847457</v>
      </c>
      <c r="M114" s="976">
        <f t="shared" si="10"/>
        <v>5</v>
      </c>
      <c r="N114" s="622">
        <v>0</v>
      </c>
      <c r="O114" s="614">
        <v>0</v>
      </c>
      <c r="P114" s="976">
        <f t="shared" si="11"/>
        <v>0</v>
      </c>
      <c r="Q114" s="622">
        <v>157.54172185430463</v>
      </c>
      <c r="R114" s="977">
        <v>0.23443708609271524</v>
      </c>
      <c r="S114" s="975">
        <f t="shared" si="12"/>
        <v>157.77615894039735</v>
      </c>
      <c r="T114" s="976">
        <f t="shared" si="13"/>
        <v>1111.0991037504148</v>
      </c>
      <c r="V114" s="1088">
        <f t="shared" si="18"/>
        <v>0</v>
      </c>
      <c r="W114" s="977">
        <v>0</v>
      </c>
      <c r="X114" s="978">
        <v>0</v>
      </c>
      <c r="Y114" s="79"/>
      <c r="Z114" s="979">
        <f t="shared" si="19"/>
        <v>0</v>
      </c>
      <c r="AA114" s="980">
        <v>0</v>
      </c>
      <c r="AB114" s="1089">
        <f t="shared" si="14"/>
        <v>0</v>
      </c>
      <c r="AD114" s="907" t="str">
        <f t="shared" si="15"/>
        <v>Chipola College</v>
      </c>
      <c r="AE114" s="981">
        <v>0</v>
      </c>
      <c r="AF114" s="981">
        <v>0</v>
      </c>
      <c r="AG114" s="975">
        <f t="shared" si="16"/>
        <v>0</v>
      </c>
      <c r="AI114" s="28" t="s">
        <v>60</v>
      </c>
      <c r="AJ114" s="28"/>
      <c r="AK114" s="28"/>
      <c r="AL114" s="28"/>
      <c r="AM114" s="28"/>
      <c r="AN114" s="28"/>
      <c r="AO114" s="41">
        <f>SUM(AO111:AO113)</f>
        <v>34906.441174206753</v>
      </c>
      <c r="AR114" s="158"/>
      <c r="AS114" s="158"/>
      <c r="AT114" s="158"/>
      <c r="AU114" s="158"/>
      <c r="AV114" s="158"/>
      <c r="AW114" s="158"/>
      <c r="AX114" s="158"/>
    </row>
    <row r="115" spans="1:50" ht="25.35" customHeight="1">
      <c r="A115" s="907" t="str">
        <f t="shared" si="7"/>
        <v>Daytona State College</v>
      </c>
      <c r="B115" s="613">
        <v>861</v>
      </c>
      <c r="C115" s="973"/>
      <c r="D115" s="807">
        <f t="shared" si="8"/>
        <v>861</v>
      </c>
      <c r="E115" s="904">
        <v>3924.0806598915729</v>
      </c>
      <c r="F115" s="974">
        <v>213.16398188990146</v>
      </c>
      <c r="G115" s="975">
        <f t="shared" si="9"/>
        <v>4137.2446417814745</v>
      </c>
      <c r="H115" s="961">
        <v>1904.5630637291142</v>
      </c>
      <c r="I115" s="962">
        <v>82.649711666420231</v>
      </c>
      <c r="J115" s="975">
        <f t="shared" si="17"/>
        <v>1987.2127753955344</v>
      </c>
      <c r="K115" s="622">
        <v>119.94230769230769</v>
      </c>
      <c r="L115" s="614">
        <v>12.057692307692307</v>
      </c>
      <c r="M115" s="976">
        <f t="shared" si="10"/>
        <v>132</v>
      </c>
      <c r="N115" s="622">
        <v>0</v>
      </c>
      <c r="O115" s="614">
        <v>0</v>
      </c>
      <c r="P115" s="976">
        <f t="shared" si="11"/>
        <v>0</v>
      </c>
      <c r="Q115" s="622">
        <v>629.96193353474314</v>
      </c>
      <c r="R115" s="977">
        <v>23.764350453172206</v>
      </c>
      <c r="S115" s="975">
        <f t="shared" si="12"/>
        <v>653.72628398791539</v>
      </c>
      <c r="T115" s="976">
        <f t="shared" si="13"/>
        <v>7771.1837011649241</v>
      </c>
      <c r="V115" s="1088">
        <f t="shared" si="18"/>
        <v>0</v>
      </c>
      <c r="W115" s="977">
        <v>0</v>
      </c>
      <c r="X115" s="978">
        <v>0</v>
      </c>
      <c r="Y115" s="79"/>
      <c r="Z115" s="979">
        <f t="shared" si="19"/>
        <v>160</v>
      </c>
      <c r="AA115" s="980">
        <v>0</v>
      </c>
      <c r="AB115" s="1089">
        <f t="shared" si="14"/>
        <v>160</v>
      </c>
      <c r="AD115" s="907" t="str">
        <f t="shared" si="15"/>
        <v>Daytona State College</v>
      </c>
      <c r="AE115" s="981">
        <v>135</v>
      </c>
      <c r="AF115" s="981">
        <v>25</v>
      </c>
      <c r="AG115" s="975">
        <f t="shared" si="16"/>
        <v>160</v>
      </c>
      <c r="AS115" s="28"/>
    </row>
    <row r="116" spans="1:50" ht="25.35" customHeight="1">
      <c r="A116" s="907" t="str">
        <f t="shared" si="7"/>
        <v>Florida SouthWestern State College</v>
      </c>
      <c r="B116" s="613">
        <v>500</v>
      </c>
      <c r="C116" s="973"/>
      <c r="D116" s="807">
        <f t="shared" si="8"/>
        <v>500</v>
      </c>
      <c r="E116" s="904">
        <v>6485.1085390690969</v>
      </c>
      <c r="F116" s="974">
        <v>269.7336943023198</v>
      </c>
      <c r="G116" s="975">
        <f t="shared" si="9"/>
        <v>6754.842233371417</v>
      </c>
      <c r="H116" s="961">
        <v>343.97809523809525</v>
      </c>
      <c r="I116" s="962">
        <v>6.7619047619047628</v>
      </c>
      <c r="J116" s="975">
        <f t="shared" si="17"/>
        <v>350.74</v>
      </c>
      <c r="K116" s="622">
        <v>97.2</v>
      </c>
      <c r="L116" s="614">
        <v>10.799999999999999</v>
      </c>
      <c r="M116" s="976">
        <f t="shared" si="10"/>
        <v>108</v>
      </c>
      <c r="N116" s="622">
        <v>0</v>
      </c>
      <c r="O116" s="614">
        <v>0</v>
      </c>
      <c r="P116" s="976">
        <f t="shared" si="11"/>
        <v>0</v>
      </c>
      <c r="Q116" s="622">
        <v>34.086956521739133</v>
      </c>
      <c r="R116" s="977">
        <v>0.91304347826086962</v>
      </c>
      <c r="S116" s="975">
        <f t="shared" si="12"/>
        <v>35</v>
      </c>
      <c r="T116" s="976">
        <f t="shared" si="13"/>
        <v>7748.5822333714168</v>
      </c>
      <c r="V116" s="1088">
        <f t="shared" si="18"/>
        <v>0</v>
      </c>
      <c r="W116" s="977">
        <v>0</v>
      </c>
      <c r="X116" s="978">
        <v>0</v>
      </c>
      <c r="Y116" s="79"/>
      <c r="Z116" s="979">
        <f t="shared" si="19"/>
        <v>0</v>
      </c>
      <c r="AA116" s="980">
        <v>0</v>
      </c>
      <c r="AB116" s="1089">
        <f t="shared" si="14"/>
        <v>0</v>
      </c>
      <c r="AD116" s="907" t="str">
        <f t="shared" si="15"/>
        <v>Florida SouthWestern State College</v>
      </c>
      <c r="AE116" s="981">
        <v>0</v>
      </c>
      <c r="AF116" s="981">
        <v>0</v>
      </c>
      <c r="AG116" s="975">
        <f t="shared" si="16"/>
        <v>0</v>
      </c>
      <c r="AI116" s="28" t="s">
        <v>122</v>
      </c>
      <c r="AO116" s="475">
        <v>270875</v>
      </c>
      <c r="AR116" s="28"/>
      <c r="AS116" s="28"/>
    </row>
    <row r="117" spans="1:50" ht="25.35" customHeight="1">
      <c r="A117" s="907" t="str">
        <f t="shared" si="7"/>
        <v>Florida State College at Jacksonville</v>
      </c>
      <c r="B117" s="613">
        <v>1500</v>
      </c>
      <c r="C117" s="973"/>
      <c r="D117" s="807">
        <f t="shared" si="8"/>
        <v>1500</v>
      </c>
      <c r="E117" s="904">
        <v>6555.559169235682</v>
      </c>
      <c r="F117" s="974">
        <v>202.5386703349341</v>
      </c>
      <c r="G117" s="975">
        <f t="shared" si="9"/>
        <v>6758.0978395706161</v>
      </c>
      <c r="H117" s="961">
        <v>2928.0981193785769</v>
      </c>
      <c r="I117" s="962">
        <v>71.494685200327055</v>
      </c>
      <c r="J117" s="975">
        <f t="shared" si="17"/>
        <v>2999.5928045789042</v>
      </c>
      <c r="K117" s="622">
        <v>370.72568032530495</v>
      </c>
      <c r="L117" s="614">
        <v>19.274319674695029</v>
      </c>
      <c r="M117" s="976">
        <f t="shared" si="10"/>
        <v>390</v>
      </c>
      <c r="N117" s="622">
        <v>8.6300578034682083</v>
      </c>
      <c r="O117" s="614">
        <v>0.36994219653179189</v>
      </c>
      <c r="P117" s="976">
        <f t="shared" si="11"/>
        <v>9</v>
      </c>
      <c r="Q117" s="622">
        <v>655.0743281875358</v>
      </c>
      <c r="R117" s="977">
        <v>40.222984562607209</v>
      </c>
      <c r="S117" s="975">
        <f t="shared" si="12"/>
        <v>695.29731275014296</v>
      </c>
      <c r="T117" s="976">
        <f t="shared" si="13"/>
        <v>12351.987956899662</v>
      </c>
      <c r="V117" s="1088">
        <f t="shared" si="18"/>
        <v>0</v>
      </c>
      <c r="W117" s="977">
        <v>0</v>
      </c>
      <c r="X117" s="978">
        <v>0</v>
      </c>
      <c r="Y117" s="79"/>
      <c r="Z117" s="979">
        <f t="shared" si="19"/>
        <v>200.5798076923077</v>
      </c>
      <c r="AA117" s="980">
        <v>9.4201923076923073</v>
      </c>
      <c r="AB117" s="1089">
        <f t="shared" si="14"/>
        <v>210</v>
      </c>
      <c r="AD117" s="907" t="str">
        <f t="shared" si="15"/>
        <v>Florida State College at Jacksonville</v>
      </c>
      <c r="AE117" s="981">
        <v>202</v>
      </c>
      <c r="AF117" s="981">
        <v>8</v>
      </c>
      <c r="AG117" s="975">
        <f t="shared" si="16"/>
        <v>210</v>
      </c>
      <c r="AO117" s="583">
        <f>AO114</f>
        <v>34906.441174206753</v>
      </c>
      <c r="AQ117" s="28"/>
      <c r="AR117" s="28"/>
      <c r="AS117" s="28"/>
    </row>
    <row r="118" spans="1:50" ht="25.35" customHeight="1">
      <c r="A118" s="907" t="str">
        <f t="shared" si="7"/>
        <v>College of the Florida Keys</v>
      </c>
      <c r="B118" s="613">
        <v>48</v>
      </c>
      <c r="C118" s="973"/>
      <c r="D118" s="807">
        <f t="shared" si="8"/>
        <v>48</v>
      </c>
      <c r="E118" s="904">
        <v>293.38483796296299</v>
      </c>
      <c r="F118" s="974">
        <v>34.806423611111107</v>
      </c>
      <c r="G118" s="975">
        <f t="shared" si="9"/>
        <v>328.19126157407408</v>
      </c>
      <c r="H118" s="961">
        <v>235.06822880771881</v>
      </c>
      <c r="I118" s="962">
        <v>39.634734665747764</v>
      </c>
      <c r="J118" s="975">
        <f t="shared" si="17"/>
        <v>274.70296347346658</v>
      </c>
      <c r="K118" s="622">
        <v>5.7931034482758621</v>
      </c>
      <c r="L118" s="614">
        <v>1.2068965517241379</v>
      </c>
      <c r="M118" s="976">
        <f t="shared" si="10"/>
        <v>7</v>
      </c>
      <c r="N118" s="622">
        <v>0</v>
      </c>
      <c r="O118" s="614">
        <v>0</v>
      </c>
      <c r="P118" s="976">
        <f t="shared" si="11"/>
        <v>0</v>
      </c>
      <c r="Q118" s="622">
        <v>48</v>
      </c>
      <c r="R118" s="977">
        <v>0</v>
      </c>
      <c r="S118" s="975">
        <f t="shared" si="12"/>
        <v>48</v>
      </c>
      <c r="T118" s="976">
        <f t="shared" si="13"/>
        <v>705.89422504754066</v>
      </c>
      <c r="V118" s="1088">
        <f t="shared" si="18"/>
        <v>0</v>
      </c>
      <c r="W118" s="977">
        <v>0</v>
      </c>
      <c r="X118" s="978">
        <v>0</v>
      </c>
      <c r="Y118" s="79"/>
      <c r="Z118" s="979">
        <f t="shared" si="19"/>
        <v>0</v>
      </c>
      <c r="AA118" s="980">
        <v>0</v>
      </c>
      <c r="AB118" s="1089">
        <f t="shared" si="14"/>
        <v>0</v>
      </c>
      <c r="AD118" s="907" t="str">
        <f t="shared" si="15"/>
        <v>College of the Florida Keys</v>
      </c>
      <c r="AE118" s="981">
        <v>0</v>
      </c>
      <c r="AF118" s="981">
        <v>0</v>
      </c>
      <c r="AG118" s="975">
        <f t="shared" si="16"/>
        <v>0</v>
      </c>
      <c r="AI118" s="897" t="s">
        <v>123</v>
      </c>
      <c r="AJ118" s="897"/>
      <c r="AK118" s="897"/>
      <c r="AL118" s="897"/>
      <c r="AM118" s="897"/>
      <c r="AN118" s="897"/>
      <c r="AO118" s="387">
        <f>AO116-AO117</f>
        <v>235968.55882579324</v>
      </c>
    </row>
    <row r="119" spans="1:50" ht="25.35" customHeight="1">
      <c r="A119" s="907" t="str">
        <f t="shared" si="7"/>
        <v>Gulf Coast State College</v>
      </c>
      <c r="B119" s="613">
        <v>127</v>
      </c>
      <c r="C119" s="973"/>
      <c r="D119" s="807">
        <f t="shared" si="8"/>
        <v>127</v>
      </c>
      <c r="E119" s="904">
        <v>1745.6002404290734</v>
      </c>
      <c r="F119" s="974">
        <v>111.88246717218421</v>
      </c>
      <c r="G119" s="975">
        <f t="shared" si="9"/>
        <v>1857.4827076012577</v>
      </c>
      <c r="H119" s="961">
        <v>495.82181885534357</v>
      </c>
      <c r="I119" s="962">
        <v>31.749212817188369</v>
      </c>
      <c r="J119" s="975">
        <f t="shared" si="17"/>
        <v>527.57103167253194</v>
      </c>
      <c r="K119" s="622">
        <v>33.902735562310028</v>
      </c>
      <c r="L119" s="614">
        <v>5.0972644376899696</v>
      </c>
      <c r="M119" s="976">
        <f t="shared" si="10"/>
        <v>39</v>
      </c>
      <c r="N119" s="622">
        <v>0</v>
      </c>
      <c r="O119" s="614">
        <v>0</v>
      </c>
      <c r="P119" s="976">
        <f t="shared" si="11"/>
        <v>0</v>
      </c>
      <c r="Q119" s="622">
        <v>150.41999999999999</v>
      </c>
      <c r="R119" s="977">
        <v>10.58</v>
      </c>
      <c r="S119" s="975">
        <f t="shared" si="12"/>
        <v>161</v>
      </c>
      <c r="T119" s="976">
        <f t="shared" si="13"/>
        <v>2712.0537392737897</v>
      </c>
      <c r="V119" s="1088">
        <f t="shared" si="18"/>
        <v>0</v>
      </c>
      <c r="W119" s="977">
        <v>0</v>
      </c>
      <c r="X119" s="978">
        <v>0</v>
      </c>
      <c r="Y119" s="79"/>
      <c r="Z119" s="979">
        <f t="shared" si="19"/>
        <v>0</v>
      </c>
      <c r="AA119" s="980">
        <v>0</v>
      </c>
      <c r="AB119" s="1089">
        <f t="shared" si="14"/>
        <v>0</v>
      </c>
      <c r="AD119" s="907" t="str">
        <f t="shared" si="15"/>
        <v>Gulf Coast State College</v>
      </c>
      <c r="AE119" s="981">
        <v>0</v>
      </c>
      <c r="AF119" s="981">
        <v>0</v>
      </c>
      <c r="AG119" s="975">
        <f t="shared" si="16"/>
        <v>0</v>
      </c>
    </row>
    <row r="120" spans="1:50" ht="25.35" customHeight="1">
      <c r="A120" s="907" t="str">
        <f t="shared" si="7"/>
        <v>Hillsborough Community College</v>
      </c>
      <c r="B120" s="613">
        <v>27</v>
      </c>
      <c r="C120" s="973"/>
      <c r="D120" s="807">
        <f t="shared" si="8"/>
        <v>27</v>
      </c>
      <c r="E120" s="904">
        <v>8757.1743018345696</v>
      </c>
      <c r="F120" s="974">
        <v>471.96092225258161</v>
      </c>
      <c r="G120" s="975">
        <f t="shared" si="9"/>
        <v>9229.1352240871511</v>
      </c>
      <c r="H120" s="961">
        <v>4447.9587874659401</v>
      </c>
      <c r="I120" s="962">
        <v>247.48876021798367</v>
      </c>
      <c r="J120" s="975">
        <f t="shared" si="17"/>
        <v>4695.4475476839234</v>
      </c>
      <c r="K120" s="622">
        <v>686.06338339222611</v>
      </c>
      <c r="L120" s="614">
        <v>95.936616607773857</v>
      </c>
      <c r="M120" s="976">
        <f t="shared" si="10"/>
        <v>782</v>
      </c>
      <c r="N120" s="622">
        <v>19</v>
      </c>
      <c r="O120" s="614">
        <v>0</v>
      </c>
      <c r="P120" s="976">
        <f t="shared" si="11"/>
        <v>19</v>
      </c>
      <c r="Q120" s="622">
        <v>340.81407322654462</v>
      </c>
      <c r="R120" s="977">
        <v>8.1859267734553764</v>
      </c>
      <c r="S120" s="975">
        <f t="shared" si="12"/>
        <v>349</v>
      </c>
      <c r="T120" s="976">
        <f t="shared" si="13"/>
        <v>15101.582771771074</v>
      </c>
      <c r="V120" s="1088">
        <f t="shared" si="18"/>
        <v>0</v>
      </c>
      <c r="W120" s="977">
        <v>0</v>
      </c>
      <c r="X120" s="978">
        <v>0</v>
      </c>
      <c r="Y120" s="79"/>
      <c r="Z120" s="979">
        <f t="shared" si="19"/>
        <v>0</v>
      </c>
      <c r="AA120" s="980">
        <v>0</v>
      </c>
      <c r="AB120" s="1089">
        <f t="shared" si="14"/>
        <v>0</v>
      </c>
      <c r="AD120" s="907" t="str">
        <f t="shared" si="15"/>
        <v>Hillsborough Community College</v>
      </c>
      <c r="AE120" s="981">
        <v>0</v>
      </c>
      <c r="AF120" s="981">
        <v>0</v>
      </c>
      <c r="AG120" s="975">
        <f t="shared" si="16"/>
        <v>0</v>
      </c>
      <c r="AI120" s="897" t="s">
        <v>124</v>
      </c>
      <c r="AJ120" s="897"/>
      <c r="AK120" s="897"/>
      <c r="AL120" s="897"/>
      <c r="AM120" s="897"/>
      <c r="AN120" s="897"/>
      <c r="AO120" s="388">
        <f>AO114+AO118</f>
        <v>270875</v>
      </c>
    </row>
    <row r="121" spans="1:50" ht="25.35" customHeight="1">
      <c r="A121" s="907" t="str">
        <f t="shared" si="7"/>
        <v>Indian River State College</v>
      </c>
      <c r="B121" s="613">
        <v>1235</v>
      </c>
      <c r="C121" s="973"/>
      <c r="D121" s="807">
        <f t="shared" si="8"/>
        <v>1235</v>
      </c>
      <c r="E121" s="904">
        <v>4028.0139814206623</v>
      </c>
      <c r="F121" s="974">
        <v>123.77273153795626</v>
      </c>
      <c r="G121" s="975">
        <f t="shared" si="9"/>
        <v>4151.7867129586184</v>
      </c>
      <c r="H121" s="961">
        <v>2080.5948006613999</v>
      </c>
      <c r="I121" s="962">
        <v>50.070044093330893</v>
      </c>
      <c r="J121" s="975">
        <f t="shared" si="17"/>
        <v>2130.6648447547309</v>
      </c>
      <c r="K121" s="622">
        <v>45.652173913043477</v>
      </c>
      <c r="L121" s="614">
        <v>4.3478260869565215</v>
      </c>
      <c r="M121" s="976">
        <f t="shared" si="10"/>
        <v>50</v>
      </c>
      <c r="N121" s="622">
        <v>0</v>
      </c>
      <c r="O121" s="614">
        <v>0</v>
      </c>
      <c r="P121" s="976">
        <f t="shared" si="11"/>
        <v>0</v>
      </c>
      <c r="Q121" s="622">
        <v>630.58333333333337</v>
      </c>
      <c r="R121" s="977">
        <v>10.813432835820896</v>
      </c>
      <c r="S121" s="975">
        <f t="shared" si="12"/>
        <v>641.39676616915426</v>
      </c>
      <c r="T121" s="976">
        <f t="shared" si="13"/>
        <v>8208.8483238825047</v>
      </c>
      <c r="V121" s="1088">
        <f t="shared" si="18"/>
        <v>0</v>
      </c>
      <c r="W121" s="977">
        <v>0</v>
      </c>
      <c r="X121" s="978">
        <v>0</v>
      </c>
      <c r="Y121" s="79"/>
      <c r="Z121" s="979">
        <f t="shared" si="19"/>
        <v>339</v>
      </c>
      <c r="AA121" s="980">
        <v>0</v>
      </c>
      <c r="AB121" s="1089">
        <f t="shared" si="14"/>
        <v>339</v>
      </c>
      <c r="AD121" s="907" t="str">
        <f t="shared" si="15"/>
        <v>Indian River State College</v>
      </c>
      <c r="AE121" s="981">
        <v>322</v>
      </c>
      <c r="AF121" s="981">
        <v>17</v>
      </c>
      <c r="AG121" s="975">
        <f t="shared" si="16"/>
        <v>339</v>
      </c>
    </row>
    <row r="122" spans="1:50" ht="25.35" customHeight="1">
      <c r="A122" s="907" t="str">
        <f t="shared" si="7"/>
        <v>Florida Gateway College</v>
      </c>
      <c r="B122" s="613">
        <v>110</v>
      </c>
      <c r="C122" s="973"/>
      <c r="D122" s="807">
        <f t="shared" si="8"/>
        <v>110</v>
      </c>
      <c r="E122" s="904">
        <v>869.6032516379521</v>
      </c>
      <c r="F122" s="974">
        <v>11.258917738413007</v>
      </c>
      <c r="G122" s="975">
        <f t="shared" si="9"/>
        <v>880.86216937636516</v>
      </c>
      <c r="H122" s="961">
        <v>341.11536358665938</v>
      </c>
      <c r="I122" s="962">
        <v>8.7285401858939302</v>
      </c>
      <c r="J122" s="975">
        <f t="shared" si="17"/>
        <v>349.84390377255329</v>
      </c>
      <c r="K122" s="622">
        <v>49.926315789473684</v>
      </c>
      <c r="L122" s="614">
        <v>1.0736842105263158</v>
      </c>
      <c r="M122" s="976">
        <f t="shared" si="10"/>
        <v>51</v>
      </c>
      <c r="N122" s="622">
        <v>16</v>
      </c>
      <c r="O122" s="614">
        <v>0</v>
      </c>
      <c r="P122" s="976">
        <f t="shared" si="11"/>
        <v>16</v>
      </c>
      <c r="Q122" s="622">
        <v>255.27636676711151</v>
      </c>
      <c r="R122" s="977">
        <v>5.1721911321566933</v>
      </c>
      <c r="S122" s="975">
        <f t="shared" si="12"/>
        <v>260.44855789926822</v>
      </c>
      <c r="T122" s="976">
        <f t="shared" si="13"/>
        <v>1668.1546310481867</v>
      </c>
      <c r="V122" s="1088">
        <f t="shared" si="18"/>
        <v>0</v>
      </c>
      <c r="W122" s="977">
        <v>0</v>
      </c>
      <c r="X122" s="978">
        <v>0</v>
      </c>
      <c r="Y122" s="79"/>
      <c r="Z122" s="979">
        <f t="shared" si="19"/>
        <v>0</v>
      </c>
      <c r="AA122" s="980">
        <v>0</v>
      </c>
      <c r="AB122" s="1089">
        <f t="shared" si="14"/>
        <v>0</v>
      </c>
      <c r="AD122" s="907" t="str">
        <f t="shared" si="15"/>
        <v>Florida Gateway College</v>
      </c>
      <c r="AE122" s="981">
        <v>0</v>
      </c>
      <c r="AF122" s="981">
        <v>0</v>
      </c>
      <c r="AG122" s="975">
        <f t="shared" si="16"/>
        <v>0</v>
      </c>
    </row>
    <row r="123" spans="1:50" ht="25.35" customHeight="1">
      <c r="A123" s="907" t="str">
        <f t="shared" si="7"/>
        <v>Lake-Sumter State College</v>
      </c>
      <c r="B123" s="613">
        <v>120</v>
      </c>
      <c r="C123" s="973"/>
      <c r="D123" s="807">
        <f t="shared" si="8"/>
        <v>120</v>
      </c>
      <c r="E123" s="904">
        <v>1702.4992125275617</v>
      </c>
      <c r="F123" s="974">
        <v>28.217612383566571</v>
      </c>
      <c r="G123" s="975">
        <f t="shared" si="9"/>
        <v>1730.7168249111282</v>
      </c>
      <c r="H123" s="961">
        <v>416.33072677092918</v>
      </c>
      <c r="I123" s="962">
        <v>4.3606255749770009</v>
      </c>
      <c r="J123" s="975">
        <f t="shared" si="17"/>
        <v>420.69135234590618</v>
      </c>
      <c r="K123" s="622">
        <v>45.463002114164908</v>
      </c>
      <c r="L123" s="614">
        <v>2.5369978858350954</v>
      </c>
      <c r="M123" s="976">
        <f t="shared" si="10"/>
        <v>48</v>
      </c>
      <c r="N123" s="622">
        <v>0</v>
      </c>
      <c r="O123" s="614">
        <v>0</v>
      </c>
      <c r="P123" s="976">
        <f t="shared" si="11"/>
        <v>0</v>
      </c>
      <c r="Q123" s="622">
        <v>0</v>
      </c>
      <c r="R123" s="977">
        <v>0</v>
      </c>
      <c r="S123" s="975">
        <f t="shared" si="12"/>
        <v>0</v>
      </c>
      <c r="T123" s="976">
        <f t="shared" si="13"/>
        <v>2319.4081772570344</v>
      </c>
      <c r="V123" s="1088">
        <f t="shared" si="18"/>
        <v>0</v>
      </c>
      <c r="W123" s="977">
        <v>0</v>
      </c>
      <c r="X123" s="978">
        <v>0</v>
      </c>
      <c r="Y123" s="79"/>
      <c r="Z123" s="979">
        <f t="shared" si="19"/>
        <v>0</v>
      </c>
      <c r="AA123" s="980">
        <v>0</v>
      </c>
      <c r="AB123" s="1089">
        <f t="shared" si="14"/>
        <v>0</v>
      </c>
      <c r="AD123" s="907" t="str">
        <f t="shared" si="15"/>
        <v>Lake-Sumter State College</v>
      </c>
      <c r="AE123" s="981">
        <v>0</v>
      </c>
      <c r="AF123" s="981">
        <v>0</v>
      </c>
      <c r="AG123" s="975">
        <f t="shared" si="16"/>
        <v>0</v>
      </c>
    </row>
    <row r="124" spans="1:50" ht="25.35" customHeight="1">
      <c r="A124" s="907" t="str">
        <f t="shared" si="7"/>
        <v>State College of Florida, Manatee-Sarasota</v>
      </c>
      <c r="B124" s="613">
        <v>438</v>
      </c>
      <c r="C124" s="973"/>
      <c r="D124" s="807">
        <f t="shared" si="8"/>
        <v>438</v>
      </c>
      <c r="E124" s="904">
        <v>3989.8404151589352</v>
      </c>
      <c r="F124" s="974">
        <v>193.31379601742105</v>
      </c>
      <c r="G124" s="975">
        <f t="shared" si="9"/>
        <v>4183.1542111763565</v>
      </c>
      <c r="H124" s="961">
        <v>591.90598713508166</v>
      </c>
      <c r="I124" s="962">
        <v>24.972785749628898</v>
      </c>
      <c r="J124" s="975">
        <f t="shared" si="17"/>
        <v>616.87877288471054</v>
      </c>
      <c r="K124" s="622">
        <v>142.91363355953115</v>
      </c>
      <c r="L124" s="614">
        <v>16.086366440468851</v>
      </c>
      <c r="M124" s="976">
        <f t="shared" si="10"/>
        <v>159</v>
      </c>
      <c r="N124" s="622">
        <v>5</v>
      </c>
      <c r="O124" s="614">
        <v>0</v>
      </c>
      <c r="P124" s="976">
        <f t="shared" si="11"/>
        <v>5</v>
      </c>
      <c r="Q124" s="622">
        <v>0</v>
      </c>
      <c r="R124" s="977">
        <v>0</v>
      </c>
      <c r="S124" s="975">
        <f t="shared" si="12"/>
        <v>0</v>
      </c>
      <c r="T124" s="976">
        <f t="shared" si="13"/>
        <v>5402.0329840610666</v>
      </c>
      <c r="V124" s="1088">
        <f t="shared" si="18"/>
        <v>0</v>
      </c>
      <c r="W124" s="977">
        <v>0</v>
      </c>
      <c r="X124" s="978">
        <v>0</v>
      </c>
      <c r="Y124" s="79"/>
      <c r="Z124" s="979">
        <f t="shared" si="19"/>
        <v>0</v>
      </c>
      <c r="AA124" s="980">
        <v>0</v>
      </c>
      <c r="AB124" s="1089">
        <f t="shared" si="14"/>
        <v>0</v>
      </c>
      <c r="AD124" s="907" t="str">
        <f t="shared" si="15"/>
        <v>State College of Florida, Manatee-Sarasota</v>
      </c>
      <c r="AE124" s="981">
        <v>0</v>
      </c>
      <c r="AF124" s="981">
        <v>0</v>
      </c>
      <c r="AG124" s="975">
        <f t="shared" si="16"/>
        <v>0</v>
      </c>
    </row>
    <row r="125" spans="1:50" ht="25.35" customHeight="1">
      <c r="A125" s="907" t="str">
        <f t="shared" si="7"/>
        <v>Miami Dade College</v>
      </c>
      <c r="B125" s="613">
        <v>2550</v>
      </c>
      <c r="C125" s="973"/>
      <c r="D125" s="807">
        <f t="shared" si="8"/>
        <v>2550</v>
      </c>
      <c r="E125" s="904">
        <v>26855.966376270149</v>
      </c>
      <c r="F125" s="974">
        <v>1540.737158408348</v>
      </c>
      <c r="G125" s="975">
        <f t="shared" si="9"/>
        <v>28396.703534678498</v>
      </c>
      <c r="H125" s="961">
        <v>4037.4676471311577</v>
      </c>
      <c r="I125" s="962">
        <v>205.87983571481271</v>
      </c>
      <c r="J125" s="975">
        <f t="shared" si="17"/>
        <v>4243.3474828459703</v>
      </c>
      <c r="K125" s="622">
        <v>1080.8538634788636</v>
      </c>
      <c r="L125" s="614">
        <v>96.146136521136526</v>
      </c>
      <c r="M125" s="976">
        <f t="shared" si="10"/>
        <v>1177</v>
      </c>
      <c r="N125" s="622">
        <v>18.72944297082228</v>
      </c>
      <c r="O125" s="614">
        <v>0.27055702917771884</v>
      </c>
      <c r="P125" s="976">
        <f t="shared" si="11"/>
        <v>19</v>
      </c>
      <c r="Q125" s="622">
        <v>574.55633980337791</v>
      </c>
      <c r="R125" s="977">
        <v>35.443660196622133</v>
      </c>
      <c r="S125" s="975">
        <f t="shared" si="12"/>
        <v>610</v>
      </c>
      <c r="T125" s="976">
        <f t="shared" si="13"/>
        <v>36996.051017524471</v>
      </c>
      <c r="V125" s="1088">
        <f t="shared" si="18"/>
        <v>0</v>
      </c>
      <c r="W125" s="977">
        <v>4</v>
      </c>
      <c r="X125" s="978">
        <v>4</v>
      </c>
      <c r="Y125" s="79"/>
      <c r="Z125" s="979">
        <f t="shared" si="19"/>
        <v>7.0554512635377478</v>
      </c>
      <c r="AA125" s="980">
        <v>998.94454873646225</v>
      </c>
      <c r="AB125" s="1089">
        <f t="shared" si="14"/>
        <v>1006</v>
      </c>
      <c r="AD125" s="907" t="str">
        <f t="shared" si="15"/>
        <v>Miami Dade College</v>
      </c>
      <c r="AE125" s="981">
        <v>1003</v>
      </c>
      <c r="AF125" s="981">
        <v>3</v>
      </c>
      <c r="AG125" s="975">
        <f t="shared" si="16"/>
        <v>1006</v>
      </c>
    </row>
    <row r="126" spans="1:50" ht="25.35" customHeight="1">
      <c r="A126" s="907" t="str">
        <f t="shared" si="7"/>
        <v>North Florida College</v>
      </c>
      <c r="B126" s="613">
        <v>31</v>
      </c>
      <c r="C126" s="973"/>
      <c r="D126" s="807">
        <f t="shared" si="8"/>
        <v>31</v>
      </c>
      <c r="E126" s="904">
        <v>376.02913836253123</v>
      </c>
      <c r="F126" s="974">
        <v>10.557382910260992</v>
      </c>
      <c r="G126" s="975">
        <f t="shared" si="9"/>
        <v>386.5865212727922</v>
      </c>
      <c r="H126" s="961">
        <v>93.426336375488916</v>
      </c>
      <c r="I126" s="962">
        <v>9.7157757496740551</v>
      </c>
      <c r="J126" s="975">
        <f t="shared" si="17"/>
        <v>103.14211212516297</v>
      </c>
      <c r="K126" s="622">
        <v>8.8461538461538467</v>
      </c>
      <c r="L126" s="614">
        <v>1.153846153846154</v>
      </c>
      <c r="M126" s="976">
        <f t="shared" si="10"/>
        <v>10</v>
      </c>
      <c r="N126" s="622">
        <v>0</v>
      </c>
      <c r="O126" s="614">
        <v>0</v>
      </c>
      <c r="P126" s="976">
        <f t="shared" si="11"/>
        <v>0</v>
      </c>
      <c r="Q126" s="622">
        <v>40.156862745098039</v>
      </c>
      <c r="R126" s="977">
        <v>3.3725490196078431</v>
      </c>
      <c r="S126" s="975">
        <f t="shared" si="12"/>
        <v>43.529411764705884</v>
      </c>
      <c r="T126" s="976">
        <f t="shared" si="13"/>
        <v>574.25804516266101</v>
      </c>
      <c r="V126" s="1088">
        <f t="shared" si="18"/>
        <v>0</v>
      </c>
      <c r="W126" s="977">
        <v>0</v>
      </c>
      <c r="X126" s="978">
        <v>0</v>
      </c>
      <c r="Y126" s="79"/>
      <c r="Z126" s="979">
        <f t="shared" si="19"/>
        <v>0</v>
      </c>
      <c r="AA126" s="980">
        <v>0</v>
      </c>
      <c r="AB126" s="1089">
        <f t="shared" si="14"/>
        <v>0</v>
      </c>
      <c r="AD126" s="907" t="str">
        <f t="shared" si="15"/>
        <v>North Florida College</v>
      </c>
      <c r="AE126" s="981">
        <v>0</v>
      </c>
      <c r="AF126" s="981">
        <v>0</v>
      </c>
      <c r="AG126" s="975">
        <f t="shared" si="16"/>
        <v>0</v>
      </c>
    </row>
    <row r="127" spans="1:50" ht="25.35" customHeight="1">
      <c r="A127" s="907" t="str">
        <f t="shared" si="7"/>
        <v>Northwest Florida State College</v>
      </c>
      <c r="B127" s="613">
        <v>260</v>
      </c>
      <c r="C127" s="973"/>
      <c r="D127" s="807">
        <f t="shared" si="8"/>
        <v>260</v>
      </c>
      <c r="E127" s="904">
        <v>1415.6479275376587</v>
      </c>
      <c r="F127" s="974">
        <v>129.07905877719799</v>
      </c>
      <c r="G127" s="975">
        <f t="shared" si="9"/>
        <v>1544.7269863148567</v>
      </c>
      <c r="H127" s="961">
        <v>488.70819672131142</v>
      </c>
      <c r="I127" s="962">
        <v>33.783606557377055</v>
      </c>
      <c r="J127" s="975">
        <f t="shared" si="17"/>
        <v>522.49180327868851</v>
      </c>
      <c r="K127" s="622">
        <v>47.006711409395976</v>
      </c>
      <c r="L127" s="614">
        <v>3.9932885906040263</v>
      </c>
      <c r="M127" s="976">
        <f t="shared" si="10"/>
        <v>51</v>
      </c>
      <c r="N127" s="622">
        <v>0</v>
      </c>
      <c r="O127" s="614">
        <v>0</v>
      </c>
      <c r="P127" s="976">
        <f t="shared" si="11"/>
        <v>0</v>
      </c>
      <c r="Q127" s="622">
        <v>198.21454993834772</v>
      </c>
      <c r="R127" s="977">
        <v>5.7854500616522815</v>
      </c>
      <c r="S127" s="975">
        <f t="shared" si="12"/>
        <v>204</v>
      </c>
      <c r="T127" s="976">
        <f t="shared" si="13"/>
        <v>2582.2187895935454</v>
      </c>
      <c r="V127" s="1088">
        <f t="shared" si="18"/>
        <v>0</v>
      </c>
      <c r="W127" s="977">
        <v>0</v>
      </c>
      <c r="X127" s="978">
        <v>0</v>
      </c>
      <c r="Y127" s="79"/>
      <c r="Z127" s="979">
        <f t="shared" si="19"/>
        <v>0</v>
      </c>
      <c r="AA127" s="980">
        <v>0</v>
      </c>
      <c r="AB127" s="1089">
        <f t="shared" si="14"/>
        <v>0</v>
      </c>
      <c r="AD127" s="907" t="str">
        <f t="shared" si="15"/>
        <v>Northwest Florida State College</v>
      </c>
      <c r="AE127" s="981">
        <v>0</v>
      </c>
      <c r="AF127" s="981">
        <v>0</v>
      </c>
      <c r="AG127" s="975">
        <f t="shared" si="16"/>
        <v>0</v>
      </c>
    </row>
    <row r="128" spans="1:50" ht="25.35" customHeight="1">
      <c r="A128" s="907" t="str">
        <f t="shared" si="7"/>
        <v>Palm Beach State College</v>
      </c>
      <c r="B128" s="613">
        <v>852</v>
      </c>
      <c r="C128" s="973"/>
      <c r="D128" s="807">
        <f t="shared" si="8"/>
        <v>852</v>
      </c>
      <c r="E128" s="904">
        <v>11128.474256581856</v>
      </c>
      <c r="F128" s="974">
        <v>610.18313971841644</v>
      </c>
      <c r="G128" s="975">
        <f t="shared" si="9"/>
        <v>11738.657396300272</v>
      </c>
      <c r="H128" s="961">
        <v>1319.1051714119699</v>
      </c>
      <c r="I128" s="962">
        <v>37.338756536897151</v>
      </c>
      <c r="J128" s="975">
        <f t="shared" si="17"/>
        <v>1356.443927948867</v>
      </c>
      <c r="K128" s="622">
        <v>325.58352080989874</v>
      </c>
      <c r="L128" s="614">
        <v>33.416479190101235</v>
      </c>
      <c r="M128" s="976">
        <f t="shared" si="10"/>
        <v>359</v>
      </c>
      <c r="N128" s="622">
        <v>20</v>
      </c>
      <c r="O128" s="614">
        <v>0</v>
      </c>
      <c r="P128" s="976">
        <f t="shared" si="11"/>
        <v>20</v>
      </c>
      <c r="Q128" s="622">
        <v>569.93323795898903</v>
      </c>
      <c r="R128" s="977">
        <v>13.066762041010966</v>
      </c>
      <c r="S128" s="975">
        <f t="shared" si="12"/>
        <v>583</v>
      </c>
      <c r="T128" s="976">
        <f t="shared" si="13"/>
        <v>14909.101324249139</v>
      </c>
      <c r="V128" s="1088">
        <f t="shared" si="18"/>
        <v>0</v>
      </c>
      <c r="W128" s="977">
        <v>0</v>
      </c>
      <c r="X128" s="978">
        <v>0</v>
      </c>
      <c r="Y128" s="79"/>
      <c r="Z128" s="979">
        <f t="shared" si="19"/>
        <v>0</v>
      </c>
      <c r="AA128" s="980">
        <v>0</v>
      </c>
      <c r="AB128" s="1089">
        <f t="shared" si="14"/>
        <v>0</v>
      </c>
      <c r="AD128" s="907" t="str">
        <f t="shared" si="15"/>
        <v>Palm Beach State College</v>
      </c>
      <c r="AE128" s="981">
        <v>0</v>
      </c>
      <c r="AF128" s="981">
        <v>0</v>
      </c>
      <c r="AG128" s="975">
        <f t="shared" si="16"/>
        <v>0</v>
      </c>
    </row>
    <row r="129" spans="1:44" ht="25.35" customHeight="1">
      <c r="A129" s="907" t="str">
        <f t="shared" si="7"/>
        <v>Pasco-Hernando State College</v>
      </c>
      <c r="B129" s="613">
        <v>326</v>
      </c>
      <c r="C129" s="973"/>
      <c r="D129" s="807">
        <f t="shared" si="8"/>
        <v>326</v>
      </c>
      <c r="E129" s="904">
        <v>2691.449841723394</v>
      </c>
      <c r="F129" s="974">
        <v>34.112810600330562</v>
      </c>
      <c r="G129" s="975">
        <f t="shared" si="9"/>
        <v>2725.5626523237247</v>
      </c>
      <c r="H129" s="961">
        <v>1506.2325516314995</v>
      </c>
      <c r="I129" s="962">
        <v>18.98897408630436</v>
      </c>
      <c r="J129" s="975">
        <f t="shared" si="17"/>
        <v>1525.2215257178038</v>
      </c>
      <c r="K129" s="622">
        <v>115.92407407407407</v>
      </c>
      <c r="L129" s="614">
        <v>2.0759259259259255</v>
      </c>
      <c r="M129" s="976">
        <f t="shared" si="10"/>
        <v>118</v>
      </c>
      <c r="N129" s="622">
        <v>10</v>
      </c>
      <c r="O129" s="614">
        <v>0</v>
      </c>
      <c r="P129" s="976">
        <f t="shared" si="11"/>
        <v>10</v>
      </c>
      <c r="Q129" s="622">
        <v>236.24497991967871</v>
      </c>
      <c r="R129" s="977">
        <v>5.6224899598393572</v>
      </c>
      <c r="S129" s="975">
        <f t="shared" si="12"/>
        <v>241.86746987951807</v>
      </c>
      <c r="T129" s="976">
        <f t="shared" si="13"/>
        <v>4946.6516479210468</v>
      </c>
      <c r="V129" s="1088">
        <f t="shared" si="18"/>
        <v>0</v>
      </c>
      <c r="W129" s="977">
        <v>0</v>
      </c>
      <c r="X129" s="978">
        <v>0</v>
      </c>
      <c r="Y129" s="79"/>
      <c r="Z129" s="979">
        <f t="shared" si="19"/>
        <v>0</v>
      </c>
      <c r="AA129" s="980">
        <v>0</v>
      </c>
      <c r="AB129" s="1089">
        <f t="shared" si="14"/>
        <v>0</v>
      </c>
      <c r="AD129" s="907" t="str">
        <f t="shared" si="15"/>
        <v>Pasco-Hernando State College</v>
      </c>
      <c r="AE129" s="981">
        <v>0</v>
      </c>
      <c r="AF129" s="981">
        <v>0</v>
      </c>
      <c r="AG129" s="975">
        <f t="shared" si="16"/>
        <v>0</v>
      </c>
    </row>
    <row r="130" spans="1:44" ht="25.35" customHeight="1">
      <c r="A130" s="907" t="str">
        <f t="shared" si="7"/>
        <v>Pensacola State College</v>
      </c>
      <c r="B130" s="613">
        <v>372</v>
      </c>
      <c r="C130" s="973"/>
      <c r="D130" s="807">
        <f t="shared" si="8"/>
        <v>372</v>
      </c>
      <c r="E130" s="904">
        <v>2849.9901207464322</v>
      </c>
      <c r="F130" s="974">
        <v>69.04610318331504</v>
      </c>
      <c r="G130" s="975">
        <f t="shared" si="9"/>
        <v>2919.0362239297474</v>
      </c>
      <c r="H130" s="961">
        <v>992.05412371134025</v>
      </c>
      <c r="I130" s="962">
        <v>12.910518685567011</v>
      </c>
      <c r="J130" s="975">
        <f t="shared" si="17"/>
        <v>1004.9646423969073</v>
      </c>
      <c r="K130" s="622">
        <v>145.78642819568648</v>
      </c>
      <c r="L130" s="614">
        <v>9.2135718043135206</v>
      </c>
      <c r="M130" s="976">
        <f t="shared" si="10"/>
        <v>155</v>
      </c>
      <c r="N130" s="622">
        <v>0</v>
      </c>
      <c r="O130" s="614">
        <v>0</v>
      </c>
      <c r="P130" s="976">
        <f t="shared" si="11"/>
        <v>0</v>
      </c>
      <c r="Q130" s="622">
        <v>309.70135135135138</v>
      </c>
      <c r="R130" s="977">
        <v>6.2986486486486486</v>
      </c>
      <c r="S130" s="975">
        <f t="shared" si="12"/>
        <v>316</v>
      </c>
      <c r="T130" s="976">
        <f t="shared" si="13"/>
        <v>4767.0008663266544</v>
      </c>
      <c r="V130" s="1088">
        <f t="shared" si="18"/>
        <v>0</v>
      </c>
      <c r="W130" s="977">
        <v>0</v>
      </c>
      <c r="X130" s="978">
        <v>0</v>
      </c>
      <c r="Y130" s="79"/>
      <c r="Z130" s="979">
        <f t="shared" si="19"/>
        <v>86.782511210762337</v>
      </c>
      <c r="AA130" s="980">
        <v>2.217488789237668</v>
      </c>
      <c r="AB130" s="1089">
        <f t="shared" si="14"/>
        <v>89</v>
      </c>
      <c r="AD130" s="907" t="str">
        <f t="shared" si="15"/>
        <v>Pensacola State College</v>
      </c>
      <c r="AE130" s="981">
        <v>86</v>
      </c>
      <c r="AF130" s="981">
        <v>3</v>
      </c>
      <c r="AG130" s="975">
        <f t="shared" si="16"/>
        <v>89</v>
      </c>
    </row>
    <row r="131" spans="1:44" ht="25.35" customHeight="1">
      <c r="A131" s="907" t="str">
        <f t="shared" si="7"/>
        <v>Polk State College</v>
      </c>
      <c r="B131" s="613">
        <v>698</v>
      </c>
      <c r="C131" s="973"/>
      <c r="D131" s="807">
        <f t="shared" si="8"/>
        <v>698</v>
      </c>
      <c r="E131" s="904">
        <v>2847.6763703933107</v>
      </c>
      <c r="F131" s="974">
        <v>109.0284917931248</v>
      </c>
      <c r="G131" s="975">
        <f t="shared" si="9"/>
        <v>2956.7048621864355</v>
      </c>
      <c r="H131" s="961">
        <v>1152.4091344618334</v>
      </c>
      <c r="I131" s="962">
        <v>29.508463749600761</v>
      </c>
      <c r="J131" s="975">
        <f t="shared" si="17"/>
        <v>1181.9175982114341</v>
      </c>
      <c r="K131" s="622">
        <v>78.113277623026931</v>
      </c>
      <c r="L131" s="614">
        <v>9.8867223769730721</v>
      </c>
      <c r="M131" s="976">
        <f t="shared" si="10"/>
        <v>88</v>
      </c>
      <c r="N131" s="622">
        <v>33</v>
      </c>
      <c r="O131" s="614">
        <v>0</v>
      </c>
      <c r="P131" s="976">
        <f t="shared" si="11"/>
        <v>33</v>
      </c>
      <c r="Q131" s="622">
        <v>115</v>
      </c>
      <c r="R131" s="977">
        <v>0</v>
      </c>
      <c r="S131" s="975">
        <f t="shared" si="12"/>
        <v>115</v>
      </c>
      <c r="T131" s="976">
        <f t="shared" si="13"/>
        <v>5072.6224603978699</v>
      </c>
      <c r="V131" s="1088">
        <f t="shared" si="18"/>
        <v>0</v>
      </c>
      <c r="W131" s="977">
        <v>0</v>
      </c>
      <c r="X131" s="978">
        <v>0</v>
      </c>
      <c r="Y131" s="79"/>
      <c r="Z131" s="979">
        <f t="shared" si="19"/>
        <v>0</v>
      </c>
      <c r="AA131" s="980">
        <v>0</v>
      </c>
      <c r="AB131" s="1089">
        <f t="shared" si="14"/>
        <v>0</v>
      </c>
      <c r="AD131" s="907" t="str">
        <f t="shared" si="15"/>
        <v>Polk State College</v>
      </c>
      <c r="AE131" s="981">
        <v>0</v>
      </c>
      <c r="AF131" s="981">
        <v>0</v>
      </c>
      <c r="AG131" s="975">
        <f t="shared" si="16"/>
        <v>0</v>
      </c>
    </row>
    <row r="132" spans="1:44" ht="25.35" customHeight="1">
      <c r="A132" s="907" t="str">
        <f t="shared" si="7"/>
        <v>St. Johns River State College</v>
      </c>
      <c r="B132" s="613">
        <v>217</v>
      </c>
      <c r="C132" s="973"/>
      <c r="D132" s="807">
        <f t="shared" si="8"/>
        <v>217</v>
      </c>
      <c r="E132" s="904">
        <v>1770.5757854514582</v>
      </c>
      <c r="F132" s="974">
        <v>48.810359467874321</v>
      </c>
      <c r="G132" s="975">
        <f t="shared" si="9"/>
        <v>1819.3861449193325</v>
      </c>
      <c r="H132" s="961">
        <v>605.7775961780236</v>
      </c>
      <c r="I132" s="962">
        <v>11.022630123208449</v>
      </c>
      <c r="J132" s="975">
        <f t="shared" si="17"/>
        <v>616.8002263012321</v>
      </c>
      <c r="K132" s="622">
        <v>34.666666666666664</v>
      </c>
      <c r="L132" s="614">
        <v>1.3333333333333333</v>
      </c>
      <c r="M132" s="976">
        <f t="shared" si="10"/>
        <v>36</v>
      </c>
      <c r="N132" s="622">
        <v>21.98697068403909</v>
      </c>
      <c r="O132" s="614">
        <v>1.3029315960912053E-2</v>
      </c>
      <c r="P132" s="976">
        <f t="shared" si="11"/>
        <v>22</v>
      </c>
      <c r="Q132" s="622">
        <v>84.9</v>
      </c>
      <c r="R132" s="977">
        <v>1.8</v>
      </c>
      <c r="S132" s="975">
        <f t="shared" si="12"/>
        <v>86.7</v>
      </c>
      <c r="T132" s="976">
        <f t="shared" si="13"/>
        <v>2797.8863712205643</v>
      </c>
      <c r="V132" s="1088">
        <f t="shared" si="18"/>
        <v>0</v>
      </c>
      <c r="W132" s="977">
        <v>0</v>
      </c>
      <c r="X132" s="978">
        <v>0</v>
      </c>
      <c r="Y132" s="79"/>
      <c r="Z132" s="979">
        <f t="shared" si="19"/>
        <v>18</v>
      </c>
      <c r="AA132" s="980">
        <v>0</v>
      </c>
      <c r="AB132" s="1089">
        <f t="shared" si="14"/>
        <v>18</v>
      </c>
      <c r="AD132" s="907" t="str">
        <f t="shared" si="15"/>
        <v>St. Johns River State College</v>
      </c>
      <c r="AE132" s="981">
        <v>17</v>
      </c>
      <c r="AF132" s="981">
        <v>1</v>
      </c>
      <c r="AG132" s="975">
        <f t="shared" si="16"/>
        <v>18</v>
      </c>
    </row>
    <row r="133" spans="1:44" ht="25.35" customHeight="1">
      <c r="A133" s="907" t="str">
        <f t="shared" si="7"/>
        <v>St. Petersburg College</v>
      </c>
      <c r="B133" s="613">
        <v>2227</v>
      </c>
      <c r="C133" s="973"/>
      <c r="D133" s="807">
        <f t="shared" si="8"/>
        <v>2227</v>
      </c>
      <c r="E133" s="904">
        <v>6213.5692149408414</v>
      </c>
      <c r="F133" s="974">
        <v>325.48750956700667</v>
      </c>
      <c r="G133" s="975">
        <f t="shared" si="9"/>
        <v>6539.0567245078482</v>
      </c>
      <c r="H133" s="961">
        <v>3688.2180216031838</v>
      </c>
      <c r="I133" s="962">
        <v>211.49474133030128</v>
      </c>
      <c r="J133" s="975">
        <f t="shared" si="17"/>
        <v>3899.712762933485</v>
      </c>
      <c r="K133" s="622">
        <v>298.59675161019322</v>
      </c>
      <c r="L133" s="614">
        <v>30.403248389806777</v>
      </c>
      <c r="M133" s="976">
        <f t="shared" si="10"/>
        <v>329</v>
      </c>
      <c r="N133" s="622">
        <v>0</v>
      </c>
      <c r="O133" s="614">
        <v>0</v>
      </c>
      <c r="P133" s="976">
        <f t="shared" si="11"/>
        <v>0</v>
      </c>
      <c r="Q133" s="622">
        <v>130.3158362989324</v>
      </c>
      <c r="R133" s="977">
        <v>94.684163701067604</v>
      </c>
      <c r="S133" s="975">
        <f t="shared" si="12"/>
        <v>225</v>
      </c>
      <c r="T133" s="976">
        <f t="shared" si="13"/>
        <v>13219.769487441334</v>
      </c>
      <c r="V133" s="1088">
        <f t="shared" si="18"/>
        <v>0</v>
      </c>
      <c r="W133" s="977">
        <v>0</v>
      </c>
      <c r="X133" s="978">
        <v>0</v>
      </c>
      <c r="Y133" s="79"/>
      <c r="Z133" s="979">
        <f t="shared" si="19"/>
        <v>0</v>
      </c>
      <c r="AA133" s="980">
        <v>0</v>
      </c>
      <c r="AB133" s="1089">
        <f t="shared" si="14"/>
        <v>0</v>
      </c>
      <c r="AD133" s="907" t="str">
        <f t="shared" si="15"/>
        <v>St. Petersburg College</v>
      </c>
      <c r="AE133" s="981">
        <v>0</v>
      </c>
      <c r="AF133" s="981">
        <v>0</v>
      </c>
      <c r="AG133" s="975">
        <f t="shared" si="16"/>
        <v>0</v>
      </c>
    </row>
    <row r="134" spans="1:44" ht="25.35" customHeight="1">
      <c r="A134" s="907" t="str">
        <f t="shared" si="7"/>
        <v>Santa Fe College</v>
      </c>
      <c r="B134" s="613">
        <v>408</v>
      </c>
      <c r="C134" s="973"/>
      <c r="D134" s="807">
        <f t="shared" si="8"/>
        <v>408</v>
      </c>
      <c r="E134" s="904">
        <v>5223.5261437908503</v>
      </c>
      <c r="F134" s="974">
        <v>360.29971988795518</v>
      </c>
      <c r="G134" s="975">
        <f t="shared" si="9"/>
        <v>5583.825863678805</v>
      </c>
      <c r="H134" s="961">
        <v>1933.6501919618993</v>
      </c>
      <c r="I134" s="962">
        <v>97.896097584681939</v>
      </c>
      <c r="J134" s="975">
        <f t="shared" si="17"/>
        <v>2031.5462895465812</v>
      </c>
      <c r="K134" s="622">
        <v>203.05329153605015</v>
      </c>
      <c r="L134" s="614">
        <v>29.94670846394984</v>
      </c>
      <c r="M134" s="976">
        <f t="shared" si="10"/>
        <v>233</v>
      </c>
      <c r="N134" s="622">
        <v>0</v>
      </c>
      <c r="O134" s="614">
        <v>0</v>
      </c>
      <c r="P134" s="976">
        <f t="shared" si="11"/>
        <v>0</v>
      </c>
      <c r="Q134" s="622">
        <v>229.74797095258438</v>
      </c>
      <c r="R134" s="977">
        <v>9.0217855617257605</v>
      </c>
      <c r="S134" s="975">
        <f t="shared" si="12"/>
        <v>238.76975651431013</v>
      </c>
      <c r="T134" s="976">
        <f t="shared" si="13"/>
        <v>8495.1419097396956</v>
      </c>
      <c r="V134" s="1088">
        <f t="shared" si="18"/>
        <v>0</v>
      </c>
      <c r="W134" s="977">
        <v>0</v>
      </c>
      <c r="X134" s="978">
        <v>0</v>
      </c>
      <c r="Y134" s="79"/>
      <c r="Z134" s="979">
        <f t="shared" si="19"/>
        <v>16.668863261943983</v>
      </c>
      <c r="AA134" s="980">
        <v>69.331136738056017</v>
      </c>
      <c r="AB134" s="1089">
        <f t="shared" si="14"/>
        <v>86</v>
      </c>
      <c r="AD134" s="907" t="str">
        <f t="shared" si="15"/>
        <v>Santa Fe College</v>
      </c>
      <c r="AE134" s="981">
        <v>84</v>
      </c>
      <c r="AF134" s="981">
        <v>2</v>
      </c>
      <c r="AG134" s="975">
        <f t="shared" si="16"/>
        <v>86</v>
      </c>
    </row>
    <row r="135" spans="1:44" ht="25.35" customHeight="1">
      <c r="A135" s="907" t="str">
        <f t="shared" si="7"/>
        <v>Seminole State College of Florida</v>
      </c>
      <c r="B135" s="613">
        <v>828</v>
      </c>
      <c r="C135" s="973"/>
      <c r="D135" s="807">
        <f t="shared" si="8"/>
        <v>828</v>
      </c>
      <c r="E135" s="904">
        <v>5013.3920539481114</v>
      </c>
      <c r="F135" s="974">
        <v>132.29706341560643</v>
      </c>
      <c r="G135" s="975">
        <f t="shared" si="9"/>
        <v>5145.6891173637177</v>
      </c>
      <c r="H135" s="961">
        <v>2390.8582342651098</v>
      </c>
      <c r="I135" s="962">
        <v>101.38117168255329</v>
      </c>
      <c r="J135" s="975">
        <f t="shared" si="17"/>
        <v>2492.2394059476633</v>
      </c>
      <c r="K135" s="622">
        <v>120.02316602316603</v>
      </c>
      <c r="L135" s="614">
        <v>11.976833976833978</v>
      </c>
      <c r="M135" s="976">
        <f t="shared" si="10"/>
        <v>132</v>
      </c>
      <c r="N135" s="622">
        <v>66</v>
      </c>
      <c r="O135" s="614">
        <v>0</v>
      </c>
      <c r="P135" s="976">
        <f t="shared" si="11"/>
        <v>66</v>
      </c>
      <c r="Q135" s="622">
        <v>166.50989010989011</v>
      </c>
      <c r="R135" s="977">
        <v>17.490109890109892</v>
      </c>
      <c r="S135" s="975">
        <f t="shared" si="12"/>
        <v>184</v>
      </c>
      <c r="T135" s="976">
        <f t="shared" si="13"/>
        <v>8847.9285233113806</v>
      </c>
      <c r="V135" s="1088">
        <f t="shared" si="18"/>
        <v>10</v>
      </c>
      <c r="W135" s="977">
        <v>0</v>
      </c>
      <c r="X135" s="978">
        <v>10</v>
      </c>
      <c r="Y135" s="79"/>
      <c r="Z135" s="979">
        <f t="shared" si="19"/>
        <v>110.32534930139724</v>
      </c>
      <c r="AA135" s="980">
        <v>292.67465069860276</v>
      </c>
      <c r="AB135" s="1089">
        <f t="shared" si="14"/>
        <v>403</v>
      </c>
      <c r="AD135" s="907" t="str">
        <f t="shared" si="15"/>
        <v>Seminole State College of Florida</v>
      </c>
      <c r="AE135" s="981">
        <v>310</v>
      </c>
      <c r="AF135" s="981">
        <v>93</v>
      </c>
      <c r="AG135" s="975">
        <f t="shared" si="16"/>
        <v>403</v>
      </c>
    </row>
    <row r="136" spans="1:44" ht="25.35" customHeight="1">
      <c r="A136" s="907" t="str">
        <f t="shared" si="7"/>
        <v>South Florida State College</v>
      </c>
      <c r="B136" s="613">
        <v>107</v>
      </c>
      <c r="C136" s="973"/>
      <c r="D136" s="807">
        <f t="shared" si="8"/>
        <v>107</v>
      </c>
      <c r="E136" s="904">
        <v>1179.2592592592591</v>
      </c>
      <c r="F136" s="974">
        <v>13.544973544973546</v>
      </c>
      <c r="G136" s="975">
        <f t="shared" si="9"/>
        <v>1192.8042328042327</v>
      </c>
      <c r="H136" s="961">
        <v>0.8125</v>
      </c>
      <c r="I136" s="962">
        <v>0</v>
      </c>
      <c r="J136" s="975">
        <f t="shared" si="17"/>
        <v>0.8125</v>
      </c>
      <c r="K136" s="622">
        <v>13.570552147239264</v>
      </c>
      <c r="L136" s="614">
        <v>0.42944785276073622</v>
      </c>
      <c r="M136" s="976">
        <f t="shared" si="10"/>
        <v>14</v>
      </c>
      <c r="N136" s="622">
        <v>0</v>
      </c>
      <c r="O136" s="614">
        <v>0</v>
      </c>
      <c r="P136" s="976">
        <f t="shared" si="11"/>
        <v>0</v>
      </c>
      <c r="Q136" s="622">
        <v>233.82496360989811</v>
      </c>
      <c r="R136" s="977">
        <v>0.22343522561863174</v>
      </c>
      <c r="S136" s="975">
        <f t="shared" si="12"/>
        <v>234.04839883551674</v>
      </c>
      <c r="T136" s="976">
        <f t="shared" si="13"/>
        <v>1548.6651316397495</v>
      </c>
      <c r="V136" s="1088">
        <f t="shared" si="18"/>
        <v>0</v>
      </c>
      <c r="W136" s="977">
        <v>0</v>
      </c>
      <c r="X136" s="978">
        <v>0</v>
      </c>
      <c r="Y136" s="79"/>
      <c r="Z136" s="979">
        <f t="shared" si="19"/>
        <v>52.27826086956523</v>
      </c>
      <c r="AA136" s="980">
        <v>223.72173913043477</v>
      </c>
      <c r="AB136" s="1089">
        <f t="shared" si="14"/>
        <v>276</v>
      </c>
      <c r="AD136" s="907" t="str">
        <f t="shared" si="15"/>
        <v>South Florida State College</v>
      </c>
      <c r="AE136" s="981">
        <v>264</v>
      </c>
      <c r="AF136" s="981">
        <v>12</v>
      </c>
      <c r="AG136" s="975">
        <f t="shared" si="16"/>
        <v>276</v>
      </c>
    </row>
    <row r="137" spans="1:44" ht="25.35" customHeight="1">
      <c r="A137" s="907" t="str">
        <f t="shared" si="7"/>
        <v>Tallahassee Community College</v>
      </c>
      <c r="B137" s="613">
        <v>32</v>
      </c>
      <c r="C137" s="973"/>
      <c r="D137" s="807">
        <f t="shared" si="8"/>
        <v>32</v>
      </c>
      <c r="E137" s="904">
        <v>6354.0720162617363</v>
      </c>
      <c r="F137" s="974">
        <v>309.3433632479223</v>
      </c>
      <c r="G137" s="975">
        <f t="shared" si="9"/>
        <v>6663.415379509659</v>
      </c>
      <c r="H137" s="961">
        <v>1305.0127118644068</v>
      </c>
      <c r="I137" s="962">
        <v>45.630571249215315</v>
      </c>
      <c r="J137" s="975">
        <f t="shared" si="17"/>
        <v>1350.6432831136221</v>
      </c>
      <c r="K137" s="622">
        <v>93.861111111111114</v>
      </c>
      <c r="L137" s="614">
        <v>15.138888888888889</v>
      </c>
      <c r="M137" s="976">
        <f t="shared" si="10"/>
        <v>109</v>
      </c>
      <c r="N137" s="622">
        <v>0</v>
      </c>
      <c r="O137" s="614">
        <v>0</v>
      </c>
      <c r="P137" s="976">
        <f t="shared" si="11"/>
        <v>0</v>
      </c>
      <c r="Q137" s="622">
        <v>300.75931232091693</v>
      </c>
      <c r="R137" s="977">
        <v>14.240687679083093</v>
      </c>
      <c r="S137" s="975">
        <f t="shared" si="12"/>
        <v>315</v>
      </c>
      <c r="T137" s="976">
        <f t="shared" si="13"/>
        <v>8470.0586626232816</v>
      </c>
      <c r="V137" s="1088">
        <f t="shared" si="18"/>
        <v>0</v>
      </c>
      <c r="W137" s="977">
        <v>0</v>
      </c>
      <c r="X137" s="978">
        <v>0</v>
      </c>
      <c r="Y137" s="79"/>
      <c r="Z137" s="979">
        <f t="shared" si="19"/>
        <v>6.1300000000000026</v>
      </c>
      <c r="AA137" s="980">
        <v>51.87</v>
      </c>
      <c r="AB137" s="1089">
        <f t="shared" si="14"/>
        <v>58</v>
      </c>
      <c r="AD137" s="907" t="str">
        <f t="shared" si="15"/>
        <v>Tallahassee Community College</v>
      </c>
      <c r="AE137" s="981">
        <v>57</v>
      </c>
      <c r="AF137" s="981">
        <v>1</v>
      </c>
      <c r="AG137" s="975">
        <f t="shared" si="16"/>
        <v>58</v>
      </c>
    </row>
    <row r="138" spans="1:44" ht="25.35" customHeight="1" thickBot="1">
      <c r="A138" s="982" t="str">
        <f t="shared" si="7"/>
        <v>Valencia College</v>
      </c>
      <c r="B138" s="571">
        <v>1158</v>
      </c>
      <c r="C138" s="601"/>
      <c r="D138" s="808">
        <f t="shared" si="8"/>
        <v>1158</v>
      </c>
      <c r="E138" s="905">
        <v>16383.00091191689</v>
      </c>
      <c r="F138" s="602">
        <v>1334.1537360882294</v>
      </c>
      <c r="G138" s="572">
        <f t="shared" si="9"/>
        <v>17717.154648005118</v>
      </c>
      <c r="H138" s="963">
        <v>7151.3431840866961</v>
      </c>
      <c r="I138" s="964">
        <v>487.82237748942441</v>
      </c>
      <c r="J138" s="983">
        <f t="shared" si="17"/>
        <v>7639.1655615761201</v>
      </c>
      <c r="K138" s="623">
        <v>769.28189837246862</v>
      </c>
      <c r="L138" s="624">
        <v>155.71810162753135</v>
      </c>
      <c r="M138" s="984">
        <f t="shared" si="10"/>
        <v>925</v>
      </c>
      <c r="N138" s="623">
        <v>4</v>
      </c>
      <c r="O138" s="624">
        <v>0</v>
      </c>
      <c r="P138" s="984">
        <f t="shared" si="11"/>
        <v>4</v>
      </c>
      <c r="Q138" s="623">
        <v>163.65328650275967</v>
      </c>
      <c r="R138" s="985">
        <v>35.346713497240337</v>
      </c>
      <c r="S138" s="572">
        <f t="shared" si="12"/>
        <v>199</v>
      </c>
      <c r="T138" s="984">
        <f t="shared" si="13"/>
        <v>27642.320209581238</v>
      </c>
      <c r="V138" s="1088">
        <f t="shared" si="18"/>
        <v>0</v>
      </c>
      <c r="W138" s="471">
        <v>0</v>
      </c>
      <c r="X138" s="472">
        <v>0</v>
      </c>
      <c r="Y138" s="79"/>
      <c r="Z138" s="1091">
        <f t="shared" si="19"/>
        <v>0</v>
      </c>
      <c r="AA138" s="986">
        <v>0</v>
      </c>
      <c r="AB138" s="1089">
        <f t="shared" si="14"/>
        <v>0</v>
      </c>
      <c r="AD138" s="982" t="str">
        <f t="shared" si="15"/>
        <v>Valencia College</v>
      </c>
      <c r="AE138" s="987">
        <v>0</v>
      </c>
      <c r="AF138" s="987">
        <v>0</v>
      </c>
      <c r="AG138" s="572">
        <f t="shared" si="16"/>
        <v>0</v>
      </c>
    </row>
    <row r="139" spans="1:44" ht="25.35" customHeight="1" thickBot="1">
      <c r="A139" s="381" t="s">
        <v>52</v>
      </c>
      <c r="B139" s="382">
        <f t="shared" ref="B139" si="20">SUM(B111:B138)</f>
        <v>17466</v>
      </c>
      <c r="C139" s="67"/>
      <c r="D139" s="397">
        <f t="shared" ref="D139:T139" si="21">SUM(D111:D138)</f>
        <v>17466</v>
      </c>
      <c r="E139" s="809">
        <f t="shared" si="21"/>
        <v>145854.54067593458</v>
      </c>
      <c r="F139" s="383">
        <f t="shared" si="21"/>
        <v>7471.0476676674252</v>
      </c>
      <c r="G139" s="397">
        <f t="shared" si="21"/>
        <v>153325.58834360202</v>
      </c>
      <c r="H139" s="407">
        <f t="shared" si="21"/>
        <v>49048.417450345376</v>
      </c>
      <c r="I139" s="383">
        <f t="shared" si="21"/>
        <v>2235.7713857577769</v>
      </c>
      <c r="J139" s="397">
        <f t="shared" si="21"/>
        <v>51284.18883610316</v>
      </c>
      <c r="K139" s="407">
        <f t="shared" si="21"/>
        <v>5737.7109940851451</v>
      </c>
      <c r="L139" s="409">
        <f t="shared" si="21"/>
        <v>671.28900591485512</v>
      </c>
      <c r="M139" s="398">
        <f t="shared" si="21"/>
        <v>6409</v>
      </c>
      <c r="N139" s="407">
        <f t="shared" si="21"/>
        <v>233.34647145832957</v>
      </c>
      <c r="O139" s="409">
        <f t="shared" si="21"/>
        <v>0.65352854167042285</v>
      </c>
      <c r="P139" s="398">
        <f t="shared" si="21"/>
        <v>234</v>
      </c>
      <c r="Q139" s="406">
        <f t="shared" si="21"/>
        <v>6886.8616761772992</v>
      </c>
      <c r="R139" s="408">
        <f t="shared" si="21"/>
        <v>362.91996991077752</v>
      </c>
      <c r="S139" s="399">
        <f t="shared" si="21"/>
        <v>7249.7816460880777</v>
      </c>
      <c r="T139" s="68">
        <f t="shared" si="21"/>
        <v>235968.55882579327</v>
      </c>
      <c r="U139" s="69"/>
      <c r="V139" s="400">
        <f t="shared" ref="V139:AB139" si="22">SUM(V111:V138)</f>
        <v>10</v>
      </c>
      <c r="W139" s="407">
        <f t="shared" si="22"/>
        <v>4</v>
      </c>
      <c r="X139" s="405">
        <f t="shared" si="22"/>
        <v>14</v>
      </c>
      <c r="Y139" s="70"/>
      <c r="Z139" s="400">
        <f t="shared" si="22"/>
        <v>1002.6745482352759</v>
      </c>
      <c r="AA139" s="406">
        <f t="shared" si="22"/>
        <v>1656.3254517647242</v>
      </c>
      <c r="AB139" s="402">
        <f t="shared" si="22"/>
        <v>2659</v>
      </c>
      <c r="AC139" s="69"/>
      <c r="AD139" s="381" t="s">
        <v>52</v>
      </c>
      <c r="AE139" s="405">
        <f>SUM(AE111:AE138)</f>
        <v>2490</v>
      </c>
      <c r="AF139" s="405">
        <f>SUM(AF111:AF138)</f>
        <v>169</v>
      </c>
      <c r="AG139" s="397">
        <f>SUM(AG111:AG138)</f>
        <v>2659</v>
      </c>
      <c r="AH139" s="69"/>
      <c r="AI139" s="69"/>
      <c r="AJ139" s="69"/>
      <c r="AK139" s="69"/>
      <c r="AL139" s="69"/>
      <c r="AM139" s="69"/>
      <c r="AN139" s="69"/>
      <c r="AO139" s="69"/>
      <c r="AP139" s="69"/>
      <c r="AQ139" s="69"/>
      <c r="AR139" s="69"/>
    </row>
    <row r="140" spans="1:44" ht="14.1" customHeight="1">
      <c r="A140" s="376"/>
      <c r="B140" s="377"/>
      <c r="C140" s="377"/>
      <c r="D140" s="377"/>
      <c r="E140" s="377"/>
      <c r="F140" s="377"/>
      <c r="G140" s="377"/>
      <c r="H140" s="377"/>
      <c r="I140" s="377"/>
      <c r="J140" s="377"/>
      <c r="K140" s="377"/>
      <c r="L140" s="377"/>
      <c r="M140" s="377"/>
      <c r="N140" s="377"/>
      <c r="O140" s="377"/>
      <c r="P140" s="377"/>
      <c r="Q140" s="377"/>
      <c r="R140" s="377"/>
      <c r="S140" s="377"/>
      <c r="T140" s="377"/>
      <c r="U140" s="69"/>
      <c r="V140" s="378"/>
      <c r="W140" s="378"/>
      <c r="X140" s="378"/>
      <c r="Y140" s="378"/>
      <c r="Z140" s="378"/>
      <c r="AA140" s="378"/>
      <c r="AB140" s="378"/>
      <c r="AC140" s="69"/>
      <c r="AD140" s="376"/>
      <c r="AE140" s="71"/>
      <c r="AF140" s="71"/>
      <c r="AG140" s="71"/>
      <c r="AH140" s="69"/>
      <c r="AI140" s="69"/>
      <c r="AJ140" s="69"/>
      <c r="AK140" s="69"/>
      <c r="AL140" s="69"/>
      <c r="AM140" s="69"/>
      <c r="AN140" s="69"/>
      <c r="AO140" s="69"/>
      <c r="AP140" s="69"/>
      <c r="AQ140" s="69"/>
      <c r="AR140" s="69"/>
    </row>
    <row r="141" spans="1:44">
      <c r="A141" s="17" t="s">
        <v>125</v>
      </c>
      <c r="V141" s="53"/>
      <c r="W141" s="53"/>
      <c r="X141" s="53"/>
      <c r="Y141" s="53"/>
      <c r="Z141" s="53"/>
      <c r="AA141" s="53"/>
      <c r="AB141" s="53"/>
    </row>
    <row r="142" spans="1:44">
      <c r="A142" s="17" t="s">
        <v>126</v>
      </c>
      <c r="V142" s="53"/>
      <c r="W142" s="53"/>
      <c r="X142" s="53"/>
      <c r="Y142" s="53"/>
      <c r="Z142" s="60"/>
      <c r="AA142" s="53"/>
      <c r="AB142" s="53"/>
    </row>
    <row r="143" spans="1:44">
      <c r="A143" s="689" t="s">
        <v>127</v>
      </c>
      <c r="B143" s="689"/>
      <c r="C143" s="689"/>
      <c r="D143" s="689"/>
      <c r="E143" s="28"/>
    </row>
    <row r="144" spans="1:44">
      <c r="A144" s="689" t="s">
        <v>128</v>
      </c>
      <c r="B144" s="689"/>
      <c r="C144" s="689"/>
      <c r="D144" s="689"/>
    </row>
    <row r="145" spans="1:4">
      <c r="A145" s="17" t="s">
        <v>129</v>
      </c>
    </row>
    <row r="147" spans="1:4" ht="54.6" customHeight="1" thickBot="1">
      <c r="A147" s="957" t="s">
        <v>130</v>
      </c>
      <c r="B147" s="883"/>
      <c r="C147" s="956"/>
      <c r="D147" s="956"/>
    </row>
    <row r="148" spans="1:4" ht="21.75" thickBot="1">
      <c r="A148" s="62"/>
      <c r="B148" s="63" t="s">
        <v>131</v>
      </c>
    </row>
    <row r="149" spans="1:4" ht="21.75" thickBot="1">
      <c r="A149" s="62">
        <v>1</v>
      </c>
      <c r="B149" s="52">
        <v>2</v>
      </c>
    </row>
    <row r="150" spans="1:4" ht="57" customHeight="1" thickBot="1">
      <c r="A150" s="38" t="s">
        <v>132</v>
      </c>
      <c r="B150" s="952" t="s">
        <v>18</v>
      </c>
    </row>
    <row r="151" spans="1:4" ht="63.75" thickBot="1">
      <c r="A151" s="292" t="s">
        <v>19</v>
      </c>
      <c r="B151" s="23" t="s">
        <v>132</v>
      </c>
    </row>
    <row r="152" spans="1:4">
      <c r="A152" s="410" t="s">
        <v>23</v>
      </c>
      <c r="B152" s="953">
        <v>1004407</v>
      </c>
    </row>
    <row r="153" spans="1:4">
      <c r="A153" s="390" t="s">
        <v>24</v>
      </c>
      <c r="B153" s="954">
        <v>2716373</v>
      </c>
    </row>
    <row r="154" spans="1:4">
      <c r="A154" s="390" t="s">
        <v>25</v>
      </c>
      <c r="B154" s="954">
        <v>609302</v>
      </c>
    </row>
    <row r="155" spans="1:4">
      <c r="A155" s="390" t="s">
        <v>26</v>
      </c>
      <c r="B155" s="954">
        <v>206774</v>
      </c>
    </row>
    <row r="156" spans="1:4">
      <c r="A156" s="390" t="s">
        <v>27</v>
      </c>
      <c r="B156" s="954">
        <v>757867</v>
      </c>
    </row>
    <row r="157" spans="1:4">
      <c r="A157" s="390" t="s">
        <v>28</v>
      </c>
      <c r="B157" s="954">
        <v>858371</v>
      </c>
    </row>
    <row r="158" spans="1:4">
      <c r="A158" s="390" t="s">
        <v>29</v>
      </c>
      <c r="B158" s="954">
        <v>1828775</v>
      </c>
    </row>
    <row r="159" spans="1:4">
      <c r="A159" s="390" t="s">
        <v>30</v>
      </c>
      <c r="B159" s="954">
        <v>62550</v>
      </c>
    </row>
    <row r="160" spans="1:4">
      <c r="A160" s="390" t="s">
        <v>31</v>
      </c>
      <c r="B160" s="954">
        <v>302379</v>
      </c>
    </row>
    <row r="161" spans="1:2">
      <c r="A161" s="390" t="s">
        <v>32</v>
      </c>
      <c r="B161" s="954">
        <v>1281953</v>
      </c>
    </row>
    <row r="162" spans="1:2">
      <c r="A162" s="390" t="s">
        <v>33</v>
      </c>
      <c r="B162" s="954">
        <v>859530</v>
      </c>
    </row>
    <row r="163" spans="1:2">
      <c r="A163" s="390" t="s">
        <v>34</v>
      </c>
      <c r="B163" s="954">
        <v>239130</v>
      </c>
    </row>
    <row r="164" spans="1:2">
      <c r="A164" s="390" t="s">
        <v>35</v>
      </c>
      <c r="B164" s="954">
        <v>338782</v>
      </c>
    </row>
    <row r="165" spans="1:2">
      <c r="A165" s="390" t="s">
        <v>36</v>
      </c>
      <c r="B165" s="954">
        <v>590443</v>
      </c>
    </row>
    <row r="166" spans="1:2">
      <c r="A166" s="390" t="s">
        <v>37</v>
      </c>
      <c r="B166" s="954">
        <v>4236132</v>
      </c>
    </row>
    <row r="167" spans="1:2">
      <c r="A167" s="390" t="s">
        <v>38</v>
      </c>
      <c r="B167" s="954">
        <v>101236</v>
      </c>
    </row>
    <row r="168" spans="1:2">
      <c r="A168" s="390" t="s">
        <v>39</v>
      </c>
      <c r="B168" s="954">
        <v>255008</v>
      </c>
    </row>
    <row r="169" spans="1:2">
      <c r="A169" s="390" t="s">
        <v>40</v>
      </c>
      <c r="B169" s="954">
        <v>1524062</v>
      </c>
    </row>
    <row r="170" spans="1:2">
      <c r="A170" s="390" t="s">
        <v>41</v>
      </c>
      <c r="B170" s="954">
        <v>685955</v>
      </c>
    </row>
    <row r="171" spans="1:2">
      <c r="A171" s="390" t="s">
        <v>42</v>
      </c>
      <c r="B171" s="954">
        <v>469614</v>
      </c>
    </row>
    <row r="172" spans="1:2">
      <c r="A172" s="390" t="s">
        <v>43</v>
      </c>
      <c r="B172" s="954">
        <v>524793</v>
      </c>
    </row>
    <row r="173" spans="1:2">
      <c r="A173" s="390" t="s">
        <v>44</v>
      </c>
      <c r="B173" s="954">
        <v>320730</v>
      </c>
    </row>
    <row r="174" spans="1:2">
      <c r="A174" s="390" t="s">
        <v>45</v>
      </c>
      <c r="B174" s="954">
        <v>1764500</v>
      </c>
    </row>
    <row r="175" spans="1:2">
      <c r="A175" s="390" t="s">
        <v>46</v>
      </c>
      <c r="B175" s="954">
        <v>1130815</v>
      </c>
    </row>
    <row r="176" spans="1:2">
      <c r="A176" s="390" t="s">
        <v>47</v>
      </c>
      <c r="B176" s="954">
        <v>1743287</v>
      </c>
    </row>
    <row r="177" spans="1:2">
      <c r="A177" s="390" t="s">
        <v>48</v>
      </c>
      <c r="B177" s="954">
        <v>204592</v>
      </c>
    </row>
    <row r="178" spans="1:2">
      <c r="A178" s="390" t="s">
        <v>50</v>
      </c>
      <c r="B178" s="954">
        <v>657964</v>
      </c>
    </row>
    <row r="179" spans="1:2" ht="21.75" thickBot="1">
      <c r="A179" s="391" t="s">
        <v>51</v>
      </c>
      <c r="B179" s="955">
        <v>4724676</v>
      </c>
    </row>
    <row r="180" spans="1:2" ht="24" thickBot="1">
      <c r="A180" s="392" t="s">
        <v>52</v>
      </c>
      <c r="B180" s="433">
        <f>SUM(B152:B179)</f>
        <v>30000000</v>
      </c>
    </row>
    <row r="182" spans="1:2" ht="36.75" thickBot="1">
      <c r="A182" s="957" t="s">
        <v>130</v>
      </c>
      <c r="B182" s="883"/>
    </row>
    <row r="183" spans="1:2" ht="21.75" thickBot="1">
      <c r="A183" s="62"/>
      <c r="B183" s="63" t="s">
        <v>131</v>
      </c>
    </row>
    <row r="184" spans="1:2" ht="21.75" thickBot="1">
      <c r="A184" s="62">
        <v>1</v>
      </c>
      <c r="B184" s="52">
        <v>2</v>
      </c>
    </row>
    <row r="185" spans="1:2" ht="54" thickBot="1">
      <c r="A185" s="958" t="s">
        <v>133</v>
      </c>
      <c r="B185" s="952" t="s">
        <v>18</v>
      </c>
    </row>
    <row r="186" spans="1:2" ht="42.75" thickBot="1">
      <c r="A186" s="292" t="s">
        <v>19</v>
      </c>
      <c r="B186" s="23" t="s">
        <v>133</v>
      </c>
    </row>
    <row r="187" spans="1:2">
      <c r="A187" s="410" t="s">
        <v>23</v>
      </c>
      <c r="B187" s="1092">
        <v>1361076</v>
      </c>
    </row>
    <row r="188" spans="1:2">
      <c r="A188" s="390" t="s">
        <v>24</v>
      </c>
      <c r="B188" s="954">
        <v>1664598</v>
      </c>
    </row>
    <row r="189" spans="1:2">
      <c r="A189" s="390" t="s">
        <v>25</v>
      </c>
      <c r="B189" s="954">
        <v>814514</v>
      </c>
    </row>
    <row r="190" spans="1:2">
      <c r="A190" s="390" t="s">
        <v>26</v>
      </c>
      <c r="B190" s="954">
        <v>494178</v>
      </c>
    </row>
    <row r="191" spans="1:2">
      <c r="A191" s="390" t="s">
        <v>27</v>
      </c>
      <c r="B191" s="954">
        <v>2454251</v>
      </c>
    </row>
    <row r="192" spans="1:2">
      <c r="A192" s="390" t="s">
        <v>28</v>
      </c>
      <c r="B192" s="954">
        <v>1601835</v>
      </c>
    </row>
    <row r="193" spans="1:2">
      <c r="A193" s="390" t="s">
        <v>29</v>
      </c>
      <c r="B193" s="954">
        <v>2154031</v>
      </c>
    </row>
    <row r="194" spans="1:2">
      <c r="A194" s="390" t="s">
        <v>30</v>
      </c>
      <c r="B194" s="954">
        <v>748137</v>
      </c>
    </row>
    <row r="195" spans="1:2">
      <c r="A195" s="390" t="s">
        <v>31</v>
      </c>
      <c r="B195" s="954">
        <v>1777524</v>
      </c>
    </row>
    <row r="196" spans="1:2">
      <c r="A196" s="390" t="s">
        <v>32</v>
      </c>
      <c r="B196" s="954">
        <v>714831</v>
      </c>
    </row>
    <row r="197" spans="1:2">
      <c r="A197" s="390" t="s">
        <v>33</v>
      </c>
      <c r="B197" s="954">
        <v>1713555</v>
      </c>
    </row>
    <row r="198" spans="1:2">
      <c r="A198" s="390" t="s">
        <v>34</v>
      </c>
      <c r="B198" s="954">
        <v>1501485</v>
      </c>
    </row>
    <row r="199" spans="1:2">
      <c r="A199" s="390" t="s">
        <v>35</v>
      </c>
      <c r="B199" s="954">
        <v>764607</v>
      </c>
    </row>
    <row r="200" spans="1:2">
      <c r="A200" s="390" t="s">
        <v>36</v>
      </c>
      <c r="B200" s="954">
        <v>1862607</v>
      </c>
    </row>
    <row r="201" spans="1:2">
      <c r="A201" s="390" t="s">
        <v>37</v>
      </c>
      <c r="B201" s="954">
        <v>2299040</v>
      </c>
    </row>
    <row r="202" spans="1:2">
      <c r="A202" s="390" t="s">
        <v>38</v>
      </c>
      <c r="B202" s="954">
        <v>1610425</v>
      </c>
    </row>
    <row r="203" spans="1:2">
      <c r="A203" s="390" t="s">
        <v>39</v>
      </c>
      <c r="B203" s="954">
        <v>666964</v>
      </c>
    </row>
    <row r="204" spans="1:2">
      <c r="A204" s="390" t="s">
        <v>40</v>
      </c>
      <c r="B204" s="954">
        <v>1576533</v>
      </c>
    </row>
    <row r="205" spans="1:2">
      <c r="A205" s="390" t="s">
        <v>41</v>
      </c>
      <c r="B205" s="954">
        <v>1722262</v>
      </c>
    </row>
    <row r="206" spans="1:2">
      <c r="A206" s="390" t="s">
        <v>42</v>
      </c>
      <c r="B206" s="954">
        <v>1053760</v>
      </c>
    </row>
    <row r="207" spans="1:2">
      <c r="A207" s="390" t="s">
        <v>43</v>
      </c>
      <c r="B207" s="954">
        <v>1348353</v>
      </c>
    </row>
    <row r="208" spans="1:2">
      <c r="A208" s="390" t="s">
        <v>44</v>
      </c>
      <c r="B208" s="954">
        <v>959639</v>
      </c>
    </row>
    <row r="209" spans="1:2">
      <c r="A209" s="390" t="s">
        <v>45</v>
      </c>
      <c r="B209" s="954">
        <v>2073253</v>
      </c>
    </row>
    <row r="210" spans="1:2">
      <c r="A210" s="390" t="s">
        <v>46</v>
      </c>
      <c r="B210" s="954">
        <v>1446897</v>
      </c>
    </row>
    <row r="211" spans="1:2">
      <c r="A211" s="390" t="s">
        <v>47</v>
      </c>
      <c r="B211" s="954">
        <v>1538643</v>
      </c>
    </row>
    <row r="212" spans="1:2">
      <c r="A212" s="390" t="s">
        <v>48</v>
      </c>
      <c r="B212" s="954">
        <v>1471106</v>
      </c>
    </row>
    <row r="213" spans="1:2">
      <c r="A213" s="390" t="s">
        <v>50</v>
      </c>
      <c r="B213" s="954">
        <v>924068</v>
      </c>
    </row>
    <row r="214" spans="1:2" ht="21.75" thickBot="1">
      <c r="A214" s="391" t="s">
        <v>51</v>
      </c>
      <c r="B214" s="955">
        <v>1681828</v>
      </c>
    </row>
    <row r="215" spans="1:2" ht="24" thickBot="1">
      <c r="A215" s="392" t="s">
        <v>52</v>
      </c>
      <c r="B215" s="433">
        <f>SUM(B187:B214)</f>
        <v>40000000</v>
      </c>
    </row>
  </sheetData>
  <sheetProtection algorithmName="SHA-512" hashValue="VBPTBKloHCCAws8zUcAGL0vKlszFzh9JbcRV/tDSuzTtT1o44EKi4tUMHvYbH7MYfTtgk09TYYcj9SrMSFgrrQ==" saltValue="yx5wdOFiUMhfHr+655+Rbw==" spinCount="100000" sheet="1" selectLockedCells="1" selectUnlockedCells="1"/>
  <printOptions horizontalCentered="1"/>
  <pageMargins left="0.95" right="0.7" top="0.75" bottom="0.75" header="0.3" footer="0.3"/>
  <pageSetup scale="21" fitToWidth="0" orientation="landscape" r:id="rId1"/>
  <rowBreaks count="2" manualBreakCount="2">
    <brk id="59" max="32" man="1"/>
    <brk id="98"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tabSelected="1" defaultGridColor="0" colorId="22" zoomScale="70" zoomScaleNormal="70" zoomScaleSheetLayoutView="51" zoomScalePageLayoutView="60" workbookViewId="0"/>
  </sheetViews>
  <sheetFormatPr defaultColWidth="9.7109375" defaultRowHeight="21"/>
  <cols>
    <col min="1" max="1" width="5.140625" style="17" customWidth="1"/>
    <col min="2" max="2" width="1.7109375" style="17" customWidth="1"/>
    <col min="3" max="3" width="104.85546875" style="17" customWidth="1"/>
    <col min="4" max="4" width="59.85546875" style="17" customWidth="1"/>
    <col min="5" max="5" width="34.28515625" style="17" customWidth="1"/>
    <col min="6" max="6" width="22.42578125" style="17" customWidth="1"/>
    <col min="7" max="7" width="18.7109375" style="17" customWidth="1"/>
    <col min="8" max="8" width="1.7109375" style="17" customWidth="1"/>
    <col min="9" max="9" width="63.42578125" style="17" customWidth="1"/>
    <col min="10" max="11" width="18.140625" style="17" customWidth="1"/>
    <col min="12" max="12" width="22.7109375" style="17" customWidth="1"/>
    <col min="13" max="13" width="3.28515625" style="17" customWidth="1"/>
    <col min="14" max="14" width="32" style="17" customWidth="1"/>
    <col min="15" max="15" width="47" style="17" customWidth="1"/>
    <col min="16" max="16" width="31.42578125" style="17" customWidth="1"/>
    <col min="17" max="17" width="2.85546875" style="17" customWidth="1"/>
    <col min="18" max="18" width="48.140625" style="17" customWidth="1"/>
    <col min="19" max="19" width="28.7109375" style="17" customWidth="1"/>
    <col min="20" max="20" width="5.140625" style="17" customWidth="1"/>
    <col min="21" max="21" width="70" style="17" customWidth="1"/>
    <col min="22" max="22" width="26.140625" style="17" customWidth="1"/>
    <col min="23" max="23" width="22.28515625" style="17" customWidth="1"/>
    <col min="24" max="24" width="24.42578125" style="17" customWidth="1"/>
    <col min="25" max="25" width="21.140625" style="17" customWidth="1"/>
    <col min="26" max="26" width="17.42578125" style="17" customWidth="1"/>
    <col min="27" max="16384" width="9.7109375" style="17"/>
  </cols>
  <sheetData>
    <row r="1" spans="1:9">
      <c r="A1" s="762" t="s">
        <v>10</v>
      </c>
      <c r="B1" s="762"/>
      <c r="C1" s="762"/>
      <c r="D1" s="762"/>
      <c r="E1" s="762"/>
      <c r="F1" s="762"/>
      <c r="G1" s="762"/>
      <c r="H1" s="28"/>
      <c r="I1" s="28"/>
    </row>
    <row r="2" spans="1:9" ht="20.100000000000001" customHeight="1">
      <c r="A2" s="762" t="s">
        <v>134</v>
      </c>
      <c r="B2" s="762"/>
      <c r="C2" s="762"/>
      <c r="D2" s="762"/>
      <c r="E2" s="762"/>
      <c r="F2" s="762"/>
      <c r="G2" s="762"/>
    </row>
    <row r="3" spans="1:9" ht="20.100000000000001" customHeight="1">
      <c r="A3" s="762"/>
      <c r="B3" s="762"/>
      <c r="C3" s="762"/>
      <c r="D3" s="762"/>
      <c r="E3" s="762"/>
      <c r="F3" s="762"/>
      <c r="G3" s="762"/>
      <c r="H3" s="88"/>
    </row>
    <row r="4" spans="1:9" ht="28.35" customHeight="1">
      <c r="A4" s="1141" t="s">
        <v>135</v>
      </c>
      <c r="B4" s="763"/>
      <c r="C4" s="763"/>
      <c r="D4" s="763"/>
      <c r="E4" s="763"/>
      <c r="F4" s="763"/>
      <c r="G4" s="763"/>
      <c r="H4" s="86"/>
      <c r="I4" s="86"/>
    </row>
    <row r="5" spans="1:9" ht="20.100000000000001" customHeight="1">
      <c r="D5" s="89"/>
      <c r="E5" s="89"/>
      <c r="F5" s="89"/>
      <c r="G5" s="90"/>
      <c r="H5" s="88"/>
    </row>
    <row r="6" spans="1:9" ht="20.100000000000001" customHeight="1">
      <c r="G6" s="88"/>
    </row>
    <row r="7" spans="1:9" ht="23.1" customHeight="1" thickBot="1">
      <c r="A7" s="91" t="s">
        <v>136</v>
      </c>
      <c r="C7" s="87" t="s">
        <v>137</v>
      </c>
      <c r="D7" s="692" t="s">
        <v>48</v>
      </c>
      <c r="E7" s="801"/>
      <c r="F7" s="801"/>
      <c r="G7" s="88"/>
      <c r="H7" s="88"/>
    </row>
    <row r="8" spans="1:9" ht="20.100000000000001" customHeight="1">
      <c r="A8" s="88"/>
      <c r="B8" s="88"/>
      <c r="C8" s="88"/>
      <c r="D8" s="88"/>
      <c r="E8" s="88"/>
      <c r="F8" s="88"/>
      <c r="G8" s="88"/>
      <c r="H8" s="88"/>
    </row>
    <row r="9" spans="1:9" ht="20.100000000000001" customHeight="1">
      <c r="A9" s="88"/>
      <c r="B9" s="88"/>
      <c r="C9" s="88"/>
      <c r="D9" s="88"/>
      <c r="E9" s="88"/>
      <c r="F9" s="88"/>
      <c r="G9" s="88"/>
      <c r="H9" s="88"/>
    </row>
    <row r="10" spans="1:9" ht="89.1" customHeight="1">
      <c r="A10" s="439" t="s">
        <v>138</v>
      </c>
      <c r="B10" s="91"/>
      <c r="C10" s="764" t="s">
        <v>139</v>
      </c>
      <c r="D10" s="764"/>
      <c r="E10" s="764"/>
      <c r="F10" s="764"/>
      <c r="G10" s="764"/>
      <c r="H10" s="93"/>
      <c r="I10" s="539"/>
    </row>
    <row r="11" spans="1:9" ht="20.45" customHeight="1">
      <c r="A11" s="91"/>
      <c r="B11" s="91"/>
      <c r="C11" s="436"/>
      <c r="D11" s="436"/>
      <c r="E11" s="436"/>
      <c r="F11" s="88"/>
      <c r="G11" s="88"/>
      <c r="H11" s="93"/>
    </row>
    <row r="12" spans="1:9" ht="20.100000000000001" customHeight="1">
      <c r="C12" s="22" t="s">
        <v>140</v>
      </c>
      <c r="D12" s="22"/>
      <c r="E12" s="22"/>
      <c r="F12" s="94"/>
      <c r="G12" s="94"/>
      <c r="H12" s="94"/>
    </row>
    <row r="13" spans="1:9" ht="20.100000000000001" customHeight="1">
      <c r="C13" s="92"/>
      <c r="H13" s="94"/>
    </row>
    <row r="14" spans="1:9" ht="20.100000000000001" customHeight="1">
      <c r="C14" s="92"/>
    </row>
    <row r="15" spans="1:9" ht="20.100000000000001" customHeight="1">
      <c r="A15" s="91" t="s">
        <v>141</v>
      </c>
      <c r="B15" s="91"/>
      <c r="C15" s="694" t="s">
        <v>142</v>
      </c>
      <c r="D15" s="694"/>
      <c r="E15" s="694"/>
    </row>
    <row r="16" spans="1:9" ht="20.100000000000001" customHeight="1">
      <c r="A16" s="694"/>
      <c r="B16" s="694"/>
      <c r="D16" s="88"/>
      <c r="E16" s="88"/>
      <c r="H16" s="88"/>
    </row>
    <row r="17" spans="1:8" ht="27" customHeight="1">
      <c r="C17" s="701">
        <f>IF(+'EXHIBIT A'!E44&gt;=0.0499,+'EXHIBIT A'!E44,"PERCENTAGE DOES NOT MEET STATUTORY GUIDELINES")</f>
        <v>0.11876846454928008</v>
      </c>
      <c r="D17" s="701"/>
      <c r="E17" s="701"/>
      <c r="F17" s="701"/>
      <c r="G17" s="701"/>
      <c r="H17" s="88"/>
    </row>
    <row r="18" spans="1:8" ht="20.100000000000001" customHeight="1">
      <c r="A18" s="694"/>
      <c r="B18" s="694"/>
      <c r="C18" s="765" t="s">
        <v>143</v>
      </c>
      <c r="D18" s="765"/>
      <c r="E18" s="765"/>
      <c r="F18" s="765"/>
      <c r="G18" s="765"/>
      <c r="H18" s="88"/>
    </row>
    <row r="19" spans="1:8" ht="20.100000000000001" customHeight="1">
      <c r="A19" s="694"/>
      <c r="B19" s="694"/>
      <c r="C19" s="28"/>
      <c r="D19" s="28"/>
      <c r="E19" s="28"/>
      <c r="F19" s="88"/>
      <c r="G19" s="88"/>
      <c r="H19" s="88"/>
    </row>
    <row r="20" spans="1:8" ht="20.100000000000001" customHeight="1"/>
    <row r="21" spans="1:8" ht="20.100000000000001" customHeight="1">
      <c r="A21" s="91" t="s">
        <v>144</v>
      </c>
      <c r="B21" s="91"/>
      <c r="C21" s="694" t="s">
        <v>145</v>
      </c>
      <c r="D21" s="694"/>
      <c r="E21" s="694"/>
      <c r="F21" s="29"/>
      <c r="G21" s="29"/>
      <c r="H21" s="88"/>
    </row>
    <row r="22" spans="1:8" ht="20.100000000000001" customHeight="1">
      <c r="C22" s="29"/>
      <c r="D22" s="29"/>
      <c r="E22" s="29"/>
      <c r="F22" s="29"/>
      <c r="G22" s="29"/>
      <c r="H22" s="88"/>
    </row>
    <row r="23" spans="1:8" ht="20.100000000000001" customHeight="1">
      <c r="C23" s="88" t="s">
        <v>146</v>
      </c>
      <c r="H23" s="88"/>
    </row>
    <row r="24" spans="1:8" ht="20.100000000000001" customHeight="1">
      <c r="A24" s="95"/>
      <c r="B24" s="95"/>
      <c r="C24" s="88" t="s">
        <v>147</v>
      </c>
      <c r="D24" s="88"/>
      <c r="E24" s="88"/>
      <c r="F24" s="88"/>
      <c r="G24" s="88"/>
      <c r="H24" s="88"/>
    </row>
    <row r="25" spans="1:8" ht="20.100000000000001" customHeight="1">
      <c r="A25" s="91"/>
      <c r="B25" s="91"/>
      <c r="C25" s="88" t="s">
        <v>148</v>
      </c>
      <c r="D25" s="88"/>
      <c r="E25" s="96"/>
      <c r="F25" s="88"/>
      <c r="G25" s="88"/>
      <c r="H25" s="88"/>
    </row>
    <row r="26" spans="1:8" ht="20.100000000000001" customHeight="1">
      <c r="A26" s="91"/>
      <c r="B26" s="91"/>
      <c r="C26" s="88" t="s">
        <v>149</v>
      </c>
      <c r="D26" s="88"/>
      <c r="E26" s="96"/>
      <c r="F26" s="88"/>
      <c r="G26" s="88"/>
      <c r="H26" s="88"/>
    </row>
    <row r="27" spans="1:8" ht="20.100000000000001" customHeight="1">
      <c r="A27" s="91"/>
      <c r="B27" s="91"/>
      <c r="C27" s="88" t="s">
        <v>150</v>
      </c>
      <c r="D27" s="88"/>
      <c r="E27" s="88"/>
      <c r="F27" s="88"/>
      <c r="G27" s="88"/>
      <c r="H27" s="88"/>
    </row>
    <row r="28" spans="1:8" ht="20.100000000000001" customHeight="1">
      <c r="A28" s="97"/>
      <c r="B28" s="97"/>
      <c r="C28" s="88" t="s">
        <v>151</v>
      </c>
      <c r="H28" s="88"/>
    </row>
    <row r="29" spans="1:8" ht="20.100000000000001" customHeight="1">
      <c r="A29" s="97"/>
      <c r="B29" s="97"/>
      <c r="C29" s="17" t="s">
        <v>152</v>
      </c>
      <c r="D29" s="88"/>
      <c r="E29" s="88"/>
      <c r="F29" s="88"/>
      <c r="G29" s="88"/>
      <c r="H29" s="88"/>
    </row>
    <row r="30" spans="1:8" ht="20.100000000000001" customHeight="1">
      <c r="A30" s="97"/>
      <c r="B30" s="97"/>
      <c r="D30" s="88"/>
      <c r="E30" s="88"/>
      <c r="F30" s="88"/>
      <c r="G30" s="88"/>
      <c r="H30" s="88"/>
    </row>
    <row r="31" spans="1:8" ht="20.100000000000001" customHeight="1">
      <c r="A31" s="97"/>
      <c r="B31" s="97"/>
      <c r="D31" s="88"/>
      <c r="E31" s="88"/>
      <c r="F31" s="88"/>
      <c r="G31" s="88"/>
      <c r="H31" s="88"/>
    </row>
    <row r="32" spans="1:8" ht="20.100000000000001" customHeight="1">
      <c r="A32" s="97" t="s">
        <v>153</v>
      </c>
      <c r="B32" s="97"/>
      <c r="C32" s="29" t="s">
        <v>154</v>
      </c>
      <c r="D32" s="88"/>
      <c r="E32" s="88"/>
      <c r="F32" s="88"/>
      <c r="G32" s="88"/>
      <c r="H32" s="88"/>
    </row>
    <row r="33" spans="1:8" ht="20.100000000000001" customHeight="1">
      <c r="A33" s="98"/>
      <c r="B33" s="98"/>
      <c r="C33" s="92"/>
      <c r="D33" s="88"/>
      <c r="E33" s="88"/>
      <c r="F33" s="88"/>
      <c r="G33" s="88"/>
      <c r="H33" s="88"/>
    </row>
    <row r="34" spans="1:8" ht="20.100000000000001" customHeight="1">
      <c r="A34" s="98"/>
      <c r="B34" s="98"/>
      <c r="C34" s="1093" t="str">
        <f>IF(+'EXHIBIT C'!H46+'EXHIBIT C(2)'!E30='EXHIBIT D'!G44,"Equal","Not Equal")</f>
        <v>Equal</v>
      </c>
      <c r="D34" s="88"/>
      <c r="E34" s="88"/>
      <c r="F34" s="88"/>
      <c r="G34" s="88"/>
      <c r="H34" s="88"/>
    </row>
    <row r="35" spans="1:8" ht="20.100000000000001" customHeight="1">
      <c r="A35" s="98"/>
      <c r="B35" s="98"/>
      <c r="C35" s="99"/>
      <c r="D35" s="88"/>
      <c r="E35" s="88"/>
      <c r="F35" s="88"/>
      <c r="G35" s="88"/>
      <c r="H35" s="88"/>
    </row>
    <row r="36" spans="1:8" ht="20.100000000000001" customHeight="1">
      <c r="E36" s="88"/>
      <c r="F36" s="88"/>
      <c r="G36" s="88"/>
      <c r="H36" s="88"/>
    </row>
    <row r="37" spans="1:8" ht="20.100000000000001" customHeight="1">
      <c r="A37" s="91" t="s">
        <v>155</v>
      </c>
      <c r="B37" s="91"/>
      <c r="C37" s="29" t="s">
        <v>156</v>
      </c>
      <c r="D37" s="88"/>
      <c r="E37" s="88"/>
      <c r="F37" s="100"/>
      <c r="G37" s="88"/>
      <c r="H37" s="88"/>
    </row>
    <row r="38" spans="1:8" ht="20.100000000000001" customHeight="1">
      <c r="C38" s="29" t="s">
        <v>157</v>
      </c>
      <c r="D38" s="88"/>
      <c r="E38" s="88"/>
      <c r="F38" s="101"/>
      <c r="G38" s="88"/>
      <c r="H38" s="88"/>
    </row>
    <row r="39" spans="1:8" ht="20.100000000000001" customHeight="1" thickBot="1">
      <c r="G39" s="88"/>
      <c r="H39" s="88"/>
    </row>
    <row r="40" spans="1:8" ht="20.100000000000001" customHeight="1">
      <c r="C40" s="102"/>
      <c r="D40" s="103" t="s">
        <v>78</v>
      </c>
      <c r="E40" s="103" t="str">
        <f>D40</f>
        <v>2023-24</v>
      </c>
      <c r="F40" s="104"/>
      <c r="G40" s="105"/>
      <c r="H40" s="88"/>
    </row>
    <row r="41" spans="1:8" ht="20.100000000000001" customHeight="1">
      <c r="C41" s="106"/>
      <c r="D41" s="107" t="s">
        <v>158</v>
      </c>
      <c r="E41" s="108" t="s">
        <v>159</v>
      </c>
      <c r="F41" s="108"/>
      <c r="G41" s="109" t="s">
        <v>160</v>
      </c>
      <c r="H41" s="88"/>
    </row>
    <row r="42" spans="1:8" ht="20.100000000000001" customHeight="1">
      <c r="C42" s="110"/>
      <c r="D42" s="107" t="s">
        <v>161</v>
      </c>
      <c r="E42" s="108" t="s">
        <v>162</v>
      </c>
      <c r="F42" s="108" t="s">
        <v>163</v>
      </c>
      <c r="G42" s="109" t="s">
        <v>164</v>
      </c>
      <c r="H42" s="88"/>
    </row>
    <row r="43" spans="1:8" ht="20.100000000000001" customHeight="1" thickBot="1">
      <c r="C43" s="106" t="s">
        <v>165</v>
      </c>
      <c r="D43" s="107" t="s">
        <v>166</v>
      </c>
      <c r="E43" s="108" t="s">
        <v>167</v>
      </c>
      <c r="F43" s="108" t="s">
        <v>160</v>
      </c>
      <c r="G43" s="111" t="s">
        <v>168</v>
      </c>
      <c r="H43" s="88"/>
    </row>
    <row r="44" spans="1:8" ht="20.100000000000001" customHeight="1">
      <c r="C44" s="112" t="s">
        <v>169</v>
      </c>
      <c r="D44" s="113">
        <f>VLOOKUP($D$7,VLOOKUP!$A$111:$S$139,2)*30+D59</f>
        <v>3210</v>
      </c>
      <c r="E44" s="114">
        <f>+'EXHIBIT C'!F10</f>
        <v>3220</v>
      </c>
      <c r="F44" s="115">
        <f t="shared" ref="F44:F50" si="0">IF(D44=0,"0",(E44/D44-1))</f>
        <v>3.1152647975076775E-3</v>
      </c>
      <c r="G44" s="116" t="str">
        <f t="shared" ref="G44:G50" si="1">IF(OR(F44&gt;3%, F44&lt;-3%),"YES","NO")</f>
        <v>NO</v>
      </c>
      <c r="H44" s="88"/>
    </row>
    <row r="45" spans="1:8" ht="20.100000000000001" customHeight="1">
      <c r="C45" s="117" t="s">
        <v>170</v>
      </c>
      <c r="D45" s="1094">
        <f>VLOOKUP($D$7,VLOOKUP!$A$111:$S$139,5)*30+D60</f>
        <v>35784.126984126982</v>
      </c>
      <c r="E45" s="118">
        <f>+'EXHIBIT C'!F11</f>
        <v>36474</v>
      </c>
      <c r="F45" s="988">
        <f t="shared" si="0"/>
        <v>1.9278743789922004E-2</v>
      </c>
      <c r="G45" s="989" t="str">
        <f t="shared" si="1"/>
        <v>NO</v>
      </c>
      <c r="H45" s="88"/>
    </row>
    <row r="46" spans="1:8" ht="20.100000000000001" customHeight="1">
      <c r="C46" s="990" t="s">
        <v>171</v>
      </c>
      <c r="D46" s="991">
        <f>VLOOKUP($D$7,VLOOKUP!$A$111:$S$139,8)*30</f>
        <v>24.375</v>
      </c>
      <c r="E46" s="992">
        <f>+'EXHIBIT C'!F12</f>
        <v>24</v>
      </c>
      <c r="F46" s="988">
        <f t="shared" si="0"/>
        <v>-1.538461538461533E-2</v>
      </c>
      <c r="G46" s="989" t="str">
        <f t="shared" si="1"/>
        <v>NO</v>
      </c>
      <c r="H46" s="88"/>
    </row>
    <row r="47" spans="1:8" ht="20.100000000000001" customHeight="1">
      <c r="C47" s="990" t="s">
        <v>172</v>
      </c>
      <c r="D47" s="991">
        <f>VLOOKUP($D$7,VLOOKUP!$A$111:$S$139,17)*30</f>
        <v>7014.7489082969432</v>
      </c>
      <c r="E47" s="992">
        <f>+'EXHIBIT C'!F13</f>
        <v>7214.6</v>
      </c>
      <c r="F47" s="988">
        <f t="shared" si="0"/>
        <v>2.8490127631892292E-2</v>
      </c>
      <c r="G47" s="989" t="str">
        <f t="shared" si="1"/>
        <v>NO</v>
      </c>
      <c r="H47" s="88"/>
    </row>
    <row r="48" spans="1:8" ht="20.100000000000001" customHeight="1">
      <c r="C48" s="990" t="s">
        <v>173</v>
      </c>
      <c r="D48" s="991">
        <f>VLOOKUP($D$7,VLOOKUP!$A$111:$S$139,11)*30</f>
        <v>407.11656441717793</v>
      </c>
      <c r="E48" s="992">
        <f>+'EXHIBIT C'!F14</f>
        <v>386</v>
      </c>
      <c r="F48" s="988">
        <f t="shared" si="0"/>
        <v>-5.1868595539481643E-2</v>
      </c>
      <c r="G48" s="989" t="str">
        <f t="shared" si="1"/>
        <v>YES</v>
      </c>
      <c r="H48" s="88"/>
    </row>
    <row r="49" spans="3:8" ht="20.100000000000001" customHeight="1" thickBot="1">
      <c r="C49" s="993" t="s">
        <v>174</v>
      </c>
      <c r="D49" s="994">
        <f>VLOOKUP($D$7,VLOOKUP!$A$111:$S$139,14)*30</f>
        <v>0</v>
      </c>
      <c r="E49" s="995">
        <f>+'EXHIBIT C'!F15</f>
        <v>0</v>
      </c>
      <c r="F49" s="996" t="str">
        <f t="shared" si="0"/>
        <v>0</v>
      </c>
      <c r="G49" s="997" t="str">
        <f t="shared" si="1"/>
        <v>NO</v>
      </c>
      <c r="H49" s="88"/>
    </row>
    <row r="50" spans="3:8" ht="20.100000000000001" customHeight="1" thickBot="1">
      <c r="C50" s="119" t="s">
        <v>52</v>
      </c>
      <c r="D50" s="120">
        <f>SUM(D44:D49)</f>
        <v>46440.367456841101</v>
      </c>
      <c r="E50" s="121">
        <f>+'EXHIBIT C'!F17</f>
        <v>47318.6</v>
      </c>
      <c r="F50" s="122">
        <f t="shared" si="0"/>
        <v>1.8910973173825063E-2</v>
      </c>
      <c r="G50" s="123" t="str">
        <f t="shared" si="1"/>
        <v>NO</v>
      </c>
      <c r="H50" s="88"/>
    </row>
    <row r="51" spans="3:8" ht="46.5" customHeight="1" thickBot="1">
      <c r="C51" s="766" t="s">
        <v>175</v>
      </c>
      <c r="D51" s="767"/>
      <c r="E51" s="767"/>
      <c r="F51" s="767"/>
      <c r="G51" s="768"/>
      <c r="H51" s="88"/>
    </row>
    <row r="52" spans="3:8" ht="24.6" customHeight="1" thickBot="1">
      <c r="C52" s="698" t="s">
        <v>176</v>
      </c>
      <c r="D52" s="699"/>
      <c r="E52" s="699"/>
      <c r="F52" s="699"/>
      <c r="G52" s="700"/>
      <c r="H52" s="124"/>
    </row>
    <row r="53" spans="3:8" ht="205.5" customHeight="1" thickBot="1">
      <c r="C53" s="933" t="s">
        <v>177</v>
      </c>
      <c r="D53" s="934"/>
      <c r="E53" s="934"/>
      <c r="F53" s="934"/>
      <c r="G53" s="935"/>
      <c r="H53" s="124"/>
    </row>
    <row r="54" spans="3:8" ht="20.100000000000001" customHeight="1" thickBot="1">
      <c r="C54" s="98"/>
      <c r="D54" s="100"/>
      <c r="E54" s="88"/>
      <c r="F54" s="88"/>
      <c r="G54" s="125"/>
    </row>
    <row r="55" spans="3:8" ht="20.100000000000001" customHeight="1">
      <c r="C55" s="102"/>
      <c r="D55" s="103" t="str">
        <f>D40</f>
        <v>2023-24</v>
      </c>
      <c r="E55" s="103" t="str">
        <f>E40</f>
        <v>2023-24</v>
      </c>
      <c r="F55" s="104"/>
      <c r="G55" s="105"/>
      <c r="H55" s="124"/>
    </row>
    <row r="56" spans="3:8" ht="20.100000000000001" customHeight="1">
      <c r="C56" s="106"/>
      <c r="D56" s="107" t="s">
        <v>178</v>
      </c>
      <c r="E56" s="108" t="s">
        <v>179</v>
      </c>
      <c r="F56" s="108"/>
      <c r="G56" s="111" t="s">
        <v>160</v>
      </c>
      <c r="H56" s="124"/>
    </row>
    <row r="57" spans="3:8" ht="20.100000000000001" customHeight="1">
      <c r="C57" s="110"/>
      <c r="D57" s="107" t="s">
        <v>161</v>
      </c>
      <c r="E57" s="108" t="s">
        <v>162</v>
      </c>
      <c r="F57" s="108" t="s">
        <v>163</v>
      </c>
      <c r="G57" s="111" t="s">
        <v>164</v>
      </c>
      <c r="H57" s="124"/>
    </row>
    <row r="58" spans="3:8" ht="20.100000000000001" customHeight="1" thickBot="1">
      <c r="C58" s="126" t="s">
        <v>180</v>
      </c>
      <c r="D58" s="127" t="s">
        <v>166</v>
      </c>
      <c r="E58" s="128" t="s">
        <v>167</v>
      </c>
      <c r="F58" s="128" t="s">
        <v>160</v>
      </c>
      <c r="G58" s="129" t="s">
        <v>181</v>
      </c>
      <c r="H58" s="124"/>
    </row>
    <row r="59" spans="3:8" ht="20.100000000000001" customHeight="1">
      <c r="C59" s="112" t="s">
        <v>169</v>
      </c>
      <c r="D59" s="1095">
        <f>VLOOKUP($D$7,VLOOKUP!$A$111:$S$139,3)*30</f>
        <v>0</v>
      </c>
      <c r="E59" s="130">
        <f>+'EXHIBIT C'!D19</f>
        <v>4</v>
      </c>
      <c r="F59" s="998" t="str">
        <f t="shared" ref="F59:F65" si="2">IF(D59=0,"0",(E59/D59-1))</f>
        <v>0</v>
      </c>
      <c r="G59" s="999" t="str">
        <f>IF(OR(F59&gt;5%, F59&lt;-5%),"YES","NO")</f>
        <v>NO</v>
      </c>
    </row>
    <row r="60" spans="3:8" ht="20.100000000000001" customHeight="1">
      <c r="C60" s="117" t="s">
        <v>170</v>
      </c>
      <c r="D60" s="1095">
        <f>VLOOKUP($D$7,VLOOKUP!$A$111:$S$139,6)*30</f>
        <v>406.34920634920638</v>
      </c>
      <c r="E60" s="131">
        <f>+'EXHIBIT C'!D20</f>
        <v>402</v>
      </c>
      <c r="F60" s="998">
        <f t="shared" si="2"/>
        <v>-1.0703125000000036E-2</v>
      </c>
      <c r="G60" s="999" t="str">
        <f t="shared" ref="G60:G65" si="3">IF(OR(F60&gt;5%, F60&lt;-5%),"YES","NO")</f>
        <v>NO</v>
      </c>
      <c r="H60" s="88"/>
    </row>
    <row r="61" spans="3:8" ht="20.100000000000001" customHeight="1">
      <c r="C61" s="990" t="s">
        <v>171</v>
      </c>
      <c r="D61" s="1000">
        <f>VLOOKUP($D$7,VLOOKUP!$A$111:$S$139,9)*30</f>
        <v>0</v>
      </c>
      <c r="E61" s="1001">
        <f>+'EXHIBIT C'!D21</f>
        <v>0</v>
      </c>
      <c r="F61" s="998" t="str">
        <f t="shared" si="2"/>
        <v>0</v>
      </c>
      <c r="G61" s="999" t="str">
        <f t="shared" si="3"/>
        <v>NO</v>
      </c>
      <c r="H61" s="88"/>
    </row>
    <row r="62" spans="3:8" ht="20.100000000000001" customHeight="1">
      <c r="C62" s="990" t="s">
        <v>172</v>
      </c>
      <c r="D62" s="1000">
        <f>VLOOKUP($D$7,VLOOKUP!$A$111:$S$139,18)*30</f>
        <v>6.7030567685589526</v>
      </c>
      <c r="E62" s="1001">
        <f>+'EXHIBIT C'!D22</f>
        <v>7</v>
      </c>
      <c r="F62" s="998">
        <f t="shared" si="2"/>
        <v>4.4299674267100908E-2</v>
      </c>
      <c r="G62" s="999" t="str">
        <f t="shared" si="3"/>
        <v>NO</v>
      </c>
      <c r="H62" s="88"/>
    </row>
    <row r="63" spans="3:8" ht="20.100000000000001" customHeight="1">
      <c r="C63" s="990" t="s">
        <v>173</v>
      </c>
      <c r="D63" s="1000">
        <f>VLOOKUP($D$7,VLOOKUP!$A$111:$S$139,12)*30</f>
        <v>12.883435582822086</v>
      </c>
      <c r="E63" s="1001">
        <f>+'EXHIBIT C'!D23</f>
        <v>13</v>
      </c>
      <c r="F63" s="998">
        <f t="shared" si="2"/>
        <v>9.0476190476189711E-3</v>
      </c>
      <c r="G63" s="999" t="str">
        <f t="shared" si="3"/>
        <v>NO</v>
      </c>
      <c r="H63" s="88"/>
    </row>
    <row r="64" spans="3:8" ht="20.100000000000001" customHeight="1" thickBot="1">
      <c r="C64" s="993" t="s">
        <v>174</v>
      </c>
      <c r="D64" s="1002">
        <f>VLOOKUP($D$7,VLOOKUP!$A$111:$S$139,15)*30</f>
        <v>0</v>
      </c>
      <c r="E64" s="1003">
        <f>+'EXHIBIT C'!D24</f>
        <v>0</v>
      </c>
      <c r="F64" s="1004" t="str">
        <f t="shared" si="2"/>
        <v>0</v>
      </c>
      <c r="G64" s="1005" t="str">
        <f t="shared" si="3"/>
        <v>NO</v>
      </c>
      <c r="H64" s="88"/>
    </row>
    <row r="65" spans="1:8" ht="20.100000000000001" customHeight="1" thickBot="1">
      <c r="C65" s="119" t="s">
        <v>52</v>
      </c>
      <c r="D65" s="132">
        <f>SUM(D59:D64)</f>
        <v>425.93569870058741</v>
      </c>
      <c r="E65" s="133">
        <f>SUM(E59:E64)</f>
        <v>426</v>
      </c>
      <c r="F65" s="134">
        <f t="shared" si="2"/>
        <v>1.5096480433252069E-4</v>
      </c>
      <c r="G65" s="135" t="str">
        <f t="shared" si="3"/>
        <v>NO</v>
      </c>
      <c r="H65" s="88"/>
    </row>
    <row r="66" spans="1:8" ht="42" customHeight="1" thickBot="1">
      <c r="C66" s="766" t="s">
        <v>182</v>
      </c>
      <c r="D66" s="767"/>
      <c r="E66" s="767"/>
      <c r="F66" s="767"/>
      <c r="G66" s="768"/>
      <c r="H66" s="88"/>
    </row>
    <row r="67" spans="1:8" ht="24.6" customHeight="1" thickBot="1">
      <c r="A67" s="98"/>
      <c r="B67" s="98"/>
      <c r="C67" s="695" t="s">
        <v>176</v>
      </c>
      <c r="D67" s="696"/>
      <c r="E67" s="696"/>
      <c r="F67" s="696"/>
      <c r="G67" s="697"/>
      <c r="H67" s="88"/>
    </row>
    <row r="68" spans="1:8" ht="227.25" customHeight="1" thickBot="1">
      <c r="A68" s="98"/>
      <c r="B68" s="98"/>
      <c r="C68" s="936"/>
      <c r="D68" s="937"/>
      <c r="E68" s="937"/>
      <c r="F68" s="937"/>
      <c r="G68" s="938"/>
      <c r="H68" s="88"/>
    </row>
    <row r="69" spans="1:8" ht="20.100000000000001" customHeight="1">
      <c r="C69" s="17" t="s">
        <v>9</v>
      </c>
      <c r="H69" s="88"/>
    </row>
    <row r="70" spans="1:8" ht="20.100000000000001" customHeight="1">
      <c r="H70" s="88"/>
    </row>
    <row r="71" spans="1:8" ht="20.100000000000001" customHeight="1">
      <c r="A71" s="97" t="s">
        <v>183</v>
      </c>
      <c r="B71" s="97"/>
      <c r="C71" s="29" t="s">
        <v>184</v>
      </c>
      <c r="D71" s="88"/>
      <c r="E71" s="88"/>
      <c r="F71" s="88"/>
      <c r="G71" s="88"/>
      <c r="H71" s="88"/>
    </row>
    <row r="72" spans="1:8" ht="20.100000000000001" customHeight="1">
      <c r="A72" s="98"/>
      <c r="B72" s="98"/>
      <c r="C72" s="88"/>
      <c r="D72" s="88"/>
      <c r="E72" s="88"/>
      <c r="F72" s="88"/>
      <c r="G72" s="88"/>
      <c r="H72" s="88"/>
    </row>
    <row r="73" spans="1:8" ht="20.100000000000001" customHeight="1">
      <c r="A73" s="98"/>
      <c r="B73" s="98"/>
      <c r="C73" s="136" t="s">
        <v>185</v>
      </c>
      <c r="D73" s="88"/>
      <c r="E73" s="88"/>
      <c r="F73" s="88"/>
      <c r="G73" s="88"/>
      <c r="H73" s="88"/>
    </row>
    <row r="74" spans="1:8" ht="20.100000000000001" customHeight="1">
      <c r="A74" s="98"/>
      <c r="B74" s="98"/>
      <c r="C74" s="1096" t="str">
        <f>IF(+'EXHIBIT A'!E19='EXHIBIT C'!B69,"Equal","Not Equal")</f>
        <v>Equal</v>
      </c>
      <c r="D74" s="88" t="s">
        <v>186</v>
      </c>
      <c r="E74" s="88"/>
      <c r="F74" s="88"/>
      <c r="G74" s="88"/>
      <c r="H74" s="88"/>
    </row>
    <row r="75" spans="1:8" ht="20.100000000000001" customHeight="1">
      <c r="A75" s="98"/>
      <c r="B75" s="98"/>
      <c r="C75" s="1006" t="str">
        <f>IF('EXHIBIT C'!B69=SUM('EXHIBIT D'!G132+'EXHIBIT D'!G133),"Equal","Not Equal")</f>
        <v>Equal</v>
      </c>
      <c r="D75" s="88" t="s">
        <v>187</v>
      </c>
      <c r="E75" s="88"/>
      <c r="F75" s="88"/>
      <c r="G75" s="88"/>
    </row>
    <row r="76" spans="1:8" ht="20.100000000000001" customHeight="1">
      <c r="A76" s="98"/>
      <c r="B76" s="98"/>
      <c r="C76" s="137" t="s">
        <v>188</v>
      </c>
      <c r="D76" s="88"/>
      <c r="E76" s="88"/>
      <c r="F76" s="88"/>
      <c r="G76" s="88"/>
    </row>
    <row r="77" spans="1:8" ht="20.100000000000001" customHeight="1">
      <c r="C77" s="1096" t="str">
        <f>IF((+'EXHIBIT A'!E26)='EXHIBIT C'!B60,"Equal","Not Equal")</f>
        <v>Equal</v>
      </c>
      <c r="D77" s="88" t="s">
        <v>189</v>
      </c>
      <c r="E77" s="88"/>
      <c r="F77" s="88"/>
      <c r="G77" s="88"/>
      <c r="H77" s="88"/>
    </row>
    <row r="78" spans="1:8" ht="20.100000000000001" customHeight="1">
      <c r="A78" s="98"/>
      <c r="B78" s="98"/>
      <c r="C78" s="1006" t="str">
        <f>IF('EXHIBIT C'!B60=SUM('EXHIBIT D'!G222+'EXHIBIT D'!G223),"Equal","Not Equal")</f>
        <v>Equal</v>
      </c>
      <c r="D78" s="88" t="s">
        <v>190</v>
      </c>
      <c r="E78" s="88"/>
      <c r="F78" s="88"/>
      <c r="G78" s="88"/>
      <c r="H78" s="88"/>
    </row>
    <row r="79" spans="1:8" ht="20.100000000000001" customHeight="1">
      <c r="A79" s="97"/>
      <c r="B79" s="97"/>
      <c r="C79" s="138"/>
      <c r="D79" s="88"/>
      <c r="E79" s="88"/>
      <c r="F79" s="88"/>
      <c r="G79" s="88"/>
      <c r="H79" s="88"/>
    </row>
    <row r="80" spans="1:8" ht="20.100000000000001" customHeight="1">
      <c r="A80" s="97"/>
      <c r="B80" s="97"/>
      <c r="C80" s="138"/>
      <c r="D80" s="88"/>
      <c r="E80" s="88"/>
      <c r="F80" s="88"/>
      <c r="G80" s="88"/>
      <c r="H80" s="88"/>
    </row>
    <row r="81" spans="1:8" ht="21.6" customHeight="1">
      <c r="A81" s="139" t="s">
        <v>191</v>
      </c>
      <c r="B81" s="97"/>
      <c r="C81" s="769" t="s">
        <v>192</v>
      </c>
      <c r="D81" s="769"/>
      <c r="E81" s="769"/>
      <c r="F81" s="769"/>
      <c r="G81" s="769"/>
      <c r="H81" s="693"/>
    </row>
    <row r="82" spans="1:8" ht="20.100000000000001" customHeight="1" thickBot="1">
      <c r="A82" s="98"/>
      <c r="B82" s="98"/>
      <c r="C82" s="88"/>
      <c r="D82" s="88"/>
      <c r="E82" s="140"/>
      <c r="F82" s="88"/>
      <c r="G82" s="88"/>
      <c r="H82" s="88"/>
    </row>
    <row r="83" spans="1:8" ht="38.1" customHeight="1">
      <c r="A83" s="98"/>
      <c r="B83" s="98"/>
      <c r="C83" s="141" t="s">
        <v>193</v>
      </c>
      <c r="D83" s="142" t="s">
        <v>194</v>
      </c>
      <c r="E83" s="141" t="s">
        <v>195</v>
      </c>
      <c r="F83" s="141" t="s">
        <v>160</v>
      </c>
      <c r="G83" s="88"/>
      <c r="H83" s="88"/>
    </row>
    <row r="84" spans="1:8" ht="20.100000000000001" customHeight="1">
      <c r="A84" s="98"/>
      <c r="B84" s="98"/>
      <c r="C84" s="1097" t="s">
        <v>196</v>
      </c>
      <c r="D84" s="1007">
        <f>VLOOKUP($D$7,VLOOKUP!$A$7:$E$35,2)</f>
        <v>23622370</v>
      </c>
      <c r="E84" s="1142">
        <f>+'EXHIBIT D'!G75</f>
        <v>23622370</v>
      </c>
      <c r="F84" s="1142">
        <f>D84-E84</f>
        <v>0</v>
      </c>
      <c r="G84" s="88"/>
      <c r="H84" s="88"/>
    </row>
    <row r="85" spans="1:8" ht="20.100000000000001" customHeight="1">
      <c r="A85" s="98"/>
      <c r="B85" s="98"/>
      <c r="C85" s="1098" t="s">
        <v>132</v>
      </c>
      <c r="D85" s="1007">
        <f>VLOOKUP($D$7,VLOOKUP!$A$152:$B$180,2)</f>
        <v>204592</v>
      </c>
      <c r="E85" s="1142">
        <f>'EXHIBIT D'!G77</f>
        <v>204592</v>
      </c>
      <c r="F85" s="1142">
        <f>D85-E85</f>
        <v>0</v>
      </c>
      <c r="G85" s="88"/>
      <c r="H85" s="88"/>
    </row>
    <row r="86" spans="1:8" ht="20.100000000000001" customHeight="1">
      <c r="A86" s="98"/>
      <c r="B86" s="98"/>
      <c r="C86" s="1098" t="s">
        <v>197</v>
      </c>
      <c r="D86" s="1007">
        <f>VLOOKUP($D$7,VLOOKUP!$A$7:$E$35,3)</f>
        <v>3933834</v>
      </c>
      <c r="E86" s="1142">
        <f>'EXHIBIT D'!G81</f>
        <v>3933834</v>
      </c>
      <c r="F86" s="1142">
        <f>D86-E86</f>
        <v>0</v>
      </c>
      <c r="G86" s="88"/>
      <c r="H86" s="88"/>
    </row>
    <row r="87" spans="1:8" ht="20.100000000000001" customHeight="1" thickBot="1">
      <c r="A87" s="97"/>
      <c r="B87" s="97"/>
      <c r="C87" s="143" t="s">
        <v>133</v>
      </c>
      <c r="D87" s="1007">
        <f>VLOOKUP($D$7,VLOOKUP!$A$187:$B$215,2)</f>
        <v>1471106</v>
      </c>
      <c r="E87" s="1143">
        <f>'EXHIBIT D'!G76</f>
        <v>1471106</v>
      </c>
      <c r="F87" s="1142">
        <f>D87-E87</f>
        <v>0</v>
      </c>
      <c r="G87" s="88"/>
      <c r="H87" s="88"/>
    </row>
    <row r="88" spans="1:8" ht="20.100000000000001" customHeight="1" thickBot="1">
      <c r="A88" s="97"/>
      <c r="B88" s="97"/>
      <c r="C88" s="144" t="s">
        <v>198</v>
      </c>
      <c r="D88" s="145">
        <f>SUM(D84:D87)</f>
        <v>29231902</v>
      </c>
      <c r="E88" s="145">
        <f>SUM(E84:E87)</f>
        <v>29231902</v>
      </c>
      <c r="F88" s="145">
        <f>SUM(F84:F87)</f>
        <v>0</v>
      </c>
      <c r="G88" s="88"/>
      <c r="H88" s="88"/>
    </row>
    <row r="89" spans="1:8">
      <c r="A89" s="97"/>
      <c r="B89" s="97"/>
      <c r="C89" s="146"/>
      <c r="D89" s="146"/>
      <c r="E89" s="146"/>
      <c r="F89" s="88"/>
      <c r="G89" s="88"/>
      <c r="H89" s="88"/>
    </row>
    <row r="90" spans="1:8" ht="20.100000000000001" customHeight="1">
      <c r="A90" s="97"/>
      <c r="B90" s="97"/>
      <c r="C90" s="146"/>
      <c r="D90" s="146"/>
      <c r="E90" s="146"/>
      <c r="F90" s="88"/>
      <c r="G90" s="88"/>
      <c r="H90" s="88"/>
    </row>
    <row r="91" spans="1:8" ht="20.100000000000001" customHeight="1">
      <c r="A91" s="97" t="s">
        <v>199</v>
      </c>
      <c r="B91" s="97"/>
      <c r="C91" s="97" t="s">
        <v>200</v>
      </c>
      <c r="D91" s="88"/>
      <c r="E91" s="88"/>
      <c r="F91" s="88"/>
      <c r="G91" s="88"/>
      <c r="H91" s="88"/>
    </row>
    <row r="92" spans="1:8" ht="20.100000000000001" customHeight="1">
      <c r="A92" s="98"/>
      <c r="B92" s="98"/>
      <c r="C92" s="97"/>
      <c r="D92" s="88"/>
      <c r="E92" s="88"/>
      <c r="F92" s="88"/>
      <c r="G92" s="88"/>
      <c r="H92" s="88"/>
    </row>
    <row r="93" spans="1:8" ht="20.100000000000001" customHeight="1">
      <c r="A93" s="98"/>
      <c r="B93" s="98"/>
      <c r="C93" s="1099" t="str">
        <f>IF(+'EXHIBIT E'!B21=+'EXHIBIT D'!G194,"Equal","Not Equal")</f>
        <v>Equal</v>
      </c>
      <c r="D93" s="88" t="s">
        <v>201</v>
      </c>
      <c r="E93" s="88"/>
      <c r="F93" s="88"/>
      <c r="G93" s="93"/>
      <c r="H93" s="88"/>
    </row>
    <row r="94" spans="1:8" ht="20.100000000000001" customHeight="1">
      <c r="A94" s="98"/>
      <c r="B94" s="98"/>
      <c r="C94" s="1099" t="str">
        <f>IF(+'EXHIBIT E'!C21=+'EXHIBIT D'!G228,"Equal","Not Equal")</f>
        <v>Equal</v>
      </c>
      <c r="D94" s="88" t="s">
        <v>202</v>
      </c>
      <c r="E94" s="147"/>
      <c r="F94" s="88"/>
      <c r="G94" s="93"/>
      <c r="H94" s="88"/>
    </row>
    <row r="95" spans="1:8" ht="20.100000000000001" customHeight="1">
      <c r="C95" s="1099" t="str">
        <f>IF(+'EXHIBIT E'!D21=+'EXHIBIT D'!G246,"Equal","Not Equal")</f>
        <v>Equal</v>
      </c>
      <c r="D95" s="88" t="s">
        <v>203</v>
      </c>
      <c r="E95" s="147"/>
      <c r="F95" s="88"/>
      <c r="G95" s="88"/>
      <c r="H95" s="88"/>
    </row>
    <row r="96" spans="1:8" ht="20.100000000000001" customHeight="1">
      <c r="A96" s="97"/>
      <c r="B96" s="97"/>
      <c r="C96" s="1100" t="str">
        <f>IF(+'EXHIBIT E'!E21=+'EXHIBIT D'!G248,"Equal","Not Equal")</f>
        <v>Equal</v>
      </c>
      <c r="D96" s="148" t="s">
        <v>52</v>
      </c>
      <c r="E96" s="147"/>
      <c r="F96" s="88"/>
      <c r="G96" s="93"/>
      <c r="H96" s="88"/>
    </row>
    <row r="97" spans="1:8" ht="20.100000000000001" customHeight="1">
      <c r="A97" s="98"/>
      <c r="B97" s="98"/>
      <c r="E97" s="88"/>
      <c r="F97" s="88"/>
      <c r="G97" s="124"/>
      <c r="H97" s="88"/>
    </row>
    <row r="98" spans="1:8" ht="20.100000000000001" customHeight="1">
      <c r="A98" s="98"/>
      <c r="B98" s="98"/>
      <c r="E98" s="88"/>
      <c r="F98" s="88"/>
      <c r="G98" s="88"/>
      <c r="H98" s="88"/>
    </row>
    <row r="99" spans="1:8" ht="42" customHeight="1">
      <c r="A99" s="149" t="s">
        <v>204</v>
      </c>
      <c r="B99" s="150"/>
      <c r="C99" s="770" t="s">
        <v>205</v>
      </c>
      <c r="D99" s="770"/>
      <c r="E99" s="770"/>
      <c r="F99" s="770"/>
      <c r="G99" s="702"/>
      <c r="H99" s="702"/>
    </row>
    <row r="100" spans="1:8" ht="20.100000000000001" customHeight="1">
      <c r="A100" s="149"/>
      <c r="B100" s="150"/>
      <c r="C100" s="702"/>
      <c r="D100" s="702"/>
      <c r="E100" s="702"/>
      <c r="F100" s="702"/>
      <c r="G100" s="88"/>
      <c r="H100" s="88"/>
    </row>
    <row r="101" spans="1:8" ht="20.100000000000001" customHeight="1">
      <c r="C101" s="1101">
        <f>+'EXHIBIT A'!E40</f>
        <v>4937671</v>
      </c>
      <c r="D101" s="689" t="s">
        <v>206</v>
      </c>
      <c r="E101" s="689"/>
      <c r="F101" s="689"/>
      <c r="G101" s="88"/>
      <c r="H101" s="88"/>
    </row>
    <row r="102" spans="1:8" ht="20.100000000000001" customHeight="1">
      <c r="A102" s="95"/>
      <c r="B102" s="95"/>
      <c r="C102" s="1101">
        <f>'EXHIBIT D'!G266-'EXHIBIT D'!G252-'EXHIBIT D'!G264</f>
        <v>4937671</v>
      </c>
      <c r="D102" s="691" t="s">
        <v>207</v>
      </c>
      <c r="E102" s="691"/>
      <c r="F102" s="691"/>
      <c r="G102" s="88"/>
      <c r="H102" s="88"/>
    </row>
    <row r="103" spans="1:8" ht="66.599999999999994" customHeight="1">
      <c r="A103" s="151"/>
      <c r="B103" s="151"/>
      <c r="C103" s="1102">
        <f>C101-C102</f>
        <v>0</v>
      </c>
      <c r="D103" s="771" t="s">
        <v>208</v>
      </c>
      <c r="E103" s="771"/>
      <c r="F103" s="771"/>
      <c r="G103" s="771"/>
      <c r="H103" s="88"/>
    </row>
    <row r="104" spans="1:8" ht="20.100000000000001" customHeight="1">
      <c r="C104" s="152"/>
      <c r="E104" s="88"/>
      <c r="F104" s="88"/>
      <c r="G104" s="88"/>
      <c r="H104" s="88"/>
    </row>
    <row r="105" spans="1:8" ht="20.100000000000001" customHeight="1">
      <c r="C105" s="152"/>
      <c r="D105" s="88"/>
      <c r="E105" s="88"/>
      <c r="F105" s="88"/>
      <c r="G105" s="88"/>
      <c r="H105" s="88"/>
    </row>
    <row r="106" spans="1:8" ht="63" customHeight="1">
      <c r="A106" s="153" t="s">
        <v>209</v>
      </c>
      <c r="B106" s="95"/>
      <c r="C106" s="764" t="s">
        <v>210</v>
      </c>
      <c r="D106" s="764"/>
      <c r="E106" s="764"/>
      <c r="F106" s="764"/>
      <c r="G106" s="764"/>
      <c r="H106" s="690"/>
    </row>
    <row r="107" spans="1:8" ht="20.100000000000001" customHeight="1">
      <c r="A107" s="151"/>
      <c r="B107" s="151"/>
    </row>
    <row r="108" spans="1:8" ht="24.75" customHeight="1">
      <c r="A108" s="151"/>
      <c r="B108" s="151"/>
      <c r="C108" s="154">
        <f>'EXHIBIT A'!E14</f>
        <v>15885254</v>
      </c>
      <c r="D108" s="17" t="s">
        <v>211</v>
      </c>
    </row>
    <row r="109" spans="1:8" ht="26.25" customHeight="1">
      <c r="A109" s="151"/>
      <c r="B109" s="151"/>
      <c r="C109" s="1008">
        <f>'EXHIBIT A'!E36</f>
        <v>15885254</v>
      </c>
      <c r="D109" s="17" t="s">
        <v>212</v>
      </c>
    </row>
    <row r="110" spans="1:8" ht="26.1" customHeight="1">
      <c r="A110" s="151"/>
      <c r="B110" s="151"/>
      <c r="C110" s="1009">
        <f>C108-C109</f>
        <v>0</v>
      </c>
      <c r="D110" s="89" t="s">
        <v>213</v>
      </c>
      <c r="E110" s="89"/>
      <c r="F110" s="89"/>
      <c r="G110" s="89"/>
    </row>
    <row r="111" spans="1:8" ht="20.100000000000001" customHeight="1">
      <c r="A111" s="151"/>
      <c r="B111" s="151"/>
      <c r="C111" s="154"/>
    </row>
    <row r="112" spans="1:8" ht="26.1" customHeight="1">
      <c r="A112" s="151"/>
      <c r="B112" s="151"/>
      <c r="C112" s="1102">
        <f>'EXHIBIT D'!G186</f>
        <v>0</v>
      </c>
      <c r="D112" s="148" t="s">
        <v>214</v>
      </c>
      <c r="E112" s="92"/>
      <c r="F112" s="92"/>
    </row>
    <row r="113" spans="1:8" ht="20.100000000000001" customHeight="1"/>
    <row r="114" spans="1:8" ht="38.450000000000003" customHeight="1">
      <c r="C114" s="155">
        <f>C110+C112</f>
        <v>0</v>
      </c>
      <c r="D114" s="771" t="s">
        <v>215</v>
      </c>
      <c r="E114" s="771"/>
      <c r="F114" s="771"/>
      <c r="G114" s="771"/>
    </row>
    <row r="115" spans="1:8" ht="20.100000000000001" customHeight="1">
      <c r="C115" s="154"/>
      <c r="D115" s="16"/>
    </row>
    <row r="116" spans="1:8" ht="20.100000000000001" customHeight="1">
      <c r="A116" s="28"/>
      <c r="B116" s="28"/>
      <c r="C116" s="28"/>
    </row>
    <row r="117" spans="1:8" ht="39" customHeight="1">
      <c r="A117" s="156" t="s">
        <v>216</v>
      </c>
      <c r="B117" s="28"/>
      <c r="C117" s="764" t="s">
        <v>217</v>
      </c>
      <c r="D117" s="764"/>
      <c r="E117" s="764"/>
      <c r="F117" s="764"/>
      <c r="G117" s="764"/>
      <c r="H117" s="690"/>
    </row>
    <row r="118" spans="1:8" ht="20.100000000000001" customHeight="1"/>
    <row r="119" spans="1:8" ht="20.100000000000001" customHeight="1">
      <c r="C119" s="157">
        <f>IF('EXHIBIT G'!D118=0,"No Credit Hours or Not Applicable",('EXHIBIT G'!D118/'EXHIBIT C'!F10))</f>
        <v>91.790062111801248</v>
      </c>
      <c r="D119" s="17" t="s">
        <v>113</v>
      </c>
    </row>
    <row r="120" spans="1:8" ht="20.100000000000001" customHeight="1">
      <c r="C120" s="158"/>
    </row>
    <row r="121" spans="1:8" ht="20.100000000000001" customHeight="1">
      <c r="C121" s="159">
        <f>IF('EXHIBIT G'!D119=0,"No Credit Hours or Not Applicable",('EXHIBIT G'!D119/'EXHIBIT C'!D19))</f>
        <v>275.25</v>
      </c>
      <c r="D121" s="17" t="s">
        <v>218</v>
      </c>
      <c r="F121" s="28"/>
      <c r="G121" s="28"/>
      <c r="H121" s="28"/>
    </row>
    <row r="122" spans="1:8" ht="20.100000000000001" customHeight="1">
      <c r="C122" s="160"/>
      <c r="F122" s="28"/>
      <c r="G122" s="28"/>
      <c r="H122" s="28"/>
    </row>
    <row r="123" spans="1:8" ht="20.100000000000001" customHeight="1">
      <c r="C123" s="704"/>
      <c r="D123" s="705"/>
      <c r="E123" s="705"/>
    </row>
    <row r="124" spans="1:8" ht="20.100000000000001" customHeight="1">
      <c r="A124" s="28" t="s">
        <v>219</v>
      </c>
      <c r="B124" s="28"/>
      <c r="C124" s="28" t="s">
        <v>220</v>
      </c>
    </row>
    <row r="125" spans="1:8" ht="20.100000000000001" customHeight="1"/>
    <row r="126" spans="1:8" ht="42.6" customHeight="1">
      <c r="C126" s="161" t="str">
        <f>IF(+'EXHIBIT G'!D118='EXHIBIT C'!H10,"Equal","Not Equal")</f>
        <v>Equal</v>
      </c>
      <c r="D126" s="772" t="s">
        <v>221</v>
      </c>
      <c r="E126" s="772"/>
      <c r="F126" s="772"/>
      <c r="G126" s="772"/>
    </row>
    <row r="127" spans="1:8" ht="20.100000000000001" customHeight="1">
      <c r="C127" s="158"/>
      <c r="D127" s="90"/>
      <c r="E127" s="90"/>
      <c r="F127" s="90"/>
      <c r="G127" s="90"/>
    </row>
    <row r="128" spans="1:8" ht="20.100000000000001" customHeight="1"/>
    <row r="129" spans="1:8" ht="58.35" customHeight="1">
      <c r="C129" s="161" t="str">
        <f>IF(+'EXHIBIT G'!D119='EXHIBIT C'!F19,"Equal","Not Equal")</f>
        <v>Equal</v>
      </c>
      <c r="D129" s="772" t="s">
        <v>222</v>
      </c>
      <c r="E129" s="772"/>
      <c r="F129" s="772"/>
      <c r="G129" s="772"/>
    </row>
    <row r="130" spans="1:8" ht="20.100000000000001" customHeight="1">
      <c r="C130" s="158"/>
      <c r="D130" s="90"/>
      <c r="E130" s="90"/>
      <c r="F130" s="90"/>
      <c r="G130" s="90"/>
    </row>
    <row r="131" spans="1:8" ht="20.100000000000001" customHeight="1">
      <c r="C131" s="158"/>
      <c r="D131" s="703"/>
      <c r="E131" s="703"/>
      <c r="F131" s="703"/>
      <c r="G131" s="703"/>
    </row>
    <row r="132" spans="1:8" ht="20.100000000000001" customHeight="1">
      <c r="C132" s="16"/>
      <c r="D132" s="703"/>
      <c r="E132" s="703"/>
      <c r="F132" s="703"/>
      <c r="G132" s="703"/>
    </row>
    <row r="133" spans="1:8" ht="62.1" customHeight="1">
      <c r="A133" s="156" t="s">
        <v>223</v>
      </c>
      <c r="B133" s="28"/>
      <c r="C133" s="764" t="s">
        <v>224</v>
      </c>
      <c r="D133" s="764"/>
      <c r="E133" s="764"/>
      <c r="F133" s="764"/>
      <c r="G133" s="764"/>
      <c r="H133" s="690"/>
    </row>
    <row r="134" spans="1:8" ht="20.100000000000001" customHeight="1"/>
    <row r="135" spans="1:8" ht="20.100000000000001" customHeight="1">
      <c r="C135" s="161" t="str">
        <f>IF(+'EXHIBIT G'!F113='EXHIBIT G'!F129,"Equal","Not Equal")</f>
        <v>Equal</v>
      </c>
      <c r="D135" s="689" t="s">
        <v>225</v>
      </c>
      <c r="E135" s="689"/>
      <c r="F135" s="689"/>
    </row>
    <row r="136" spans="1:8" ht="20.100000000000001" customHeight="1" thickBot="1">
      <c r="C136" s="16"/>
    </row>
    <row r="137" spans="1:8" ht="24.6" customHeight="1" thickBot="1">
      <c r="C137" s="698" t="s">
        <v>226</v>
      </c>
      <c r="D137" s="699"/>
      <c r="E137" s="699"/>
      <c r="F137" s="699"/>
      <c r="G137" s="700"/>
      <c r="H137" s="28"/>
    </row>
    <row r="138" spans="1:8" ht="199.5" customHeight="1" thickBot="1">
      <c r="C138" s="939"/>
      <c r="D138" s="940"/>
      <c r="E138" s="940"/>
      <c r="F138" s="940"/>
      <c r="G138" s="941"/>
      <c r="H138" s="162"/>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YDfXhDjEGDSs32rOGYYxtYT1bU5TXVWVTD2s3dv33BDehcNktyStJtBAB+aZiYyhColOjlJOmeE5+7oPUcIhNA==" saltValue="0oL08AR349ZsZawnyReLUw=="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 right="0" top="0" bottom="0" header="0" footer="0"/>
      <pageSetup scale="65" orientation="portrait"/>
      <headerFooter alignWithMargins="0">
        <oddFooter>&amp;L&amp;Z&amp;F&amp;R&amp;D</oddFooter>
      </headerFooter>
    </customSheetView>
  </customSheetViews>
  <phoneticPr fontId="0" type="noConversion"/>
  <conditionalFormatting sqref="C114:C115">
    <cfRule type="cellIs" dxfId="2" priority="11" operator="lessThan">
      <formula>0</formula>
    </cfRule>
    <cfRule type="cellIs" dxfId="1" priority="12" operator="greaterThan">
      <formula>0</formula>
    </cfRule>
  </conditionalFormatting>
  <conditionalFormatting sqref="C135">
    <cfRule type="containsText" dxfId="0" priority="1"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zoomScale="70" zoomScaleNormal="70" zoomScaleSheetLayoutView="90" zoomScalePageLayoutView="70" workbookViewId="0"/>
  </sheetViews>
  <sheetFormatPr defaultColWidth="9.140625" defaultRowHeight="21"/>
  <cols>
    <col min="1" max="1" width="9.140625" style="17"/>
    <col min="2" max="2" width="21.28515625" style="17" customWidth="1"/>
    <col min="3" max="3" width="75.140625" style="17" customWidth="1"/>
    <col min="4" max="4" width="40.28515625" style="17" customWidth="1"/>
    <col min="5" max="5" width="24" style="17" customWidth="1"/>
    <col min="6" max="6" width="3" style="17" customWidth="1"/>
    <col min="7" max="9" width="9.140625" style="17"/>
    <col min="10" max="10" width="16.7109375" style="17" customWidth="1"/>
    <col min="11" max="16384" width="9.140625" style="17"/>
  </cols>
  <sheetData>
    <row r="1" spans="2:7" ht="26.25">
      <c r="B1" s="773" t="s">
        <v>227</v>
      </c>
      <c r="C1" s="773"/>
      <c r="D1" s="773"/>
      <c r="E1" s="773"/>
      <c r="F1" s="286"/>
      <c r="G1" s="286"/>
    </row>
    <row r="2" spans="2:7" ht="26.25">
      <c r="B2" s="773" t="s">
        <v>10</v>
      </c>
      <c r="C2" s="773"/>
      <c r="D2" s="773"/>
      <c r="E2" s="773"/>
      <c r="F2" s="497"/>
      <c r="G2" s="497"/>
    </row>
    <row r="3" spans="2:7" ht="26.25">
      <c r="B3" s="773" t="s">
        <v>228</v>
      </c>
      <c r="C3" s="773"/>
      <c r="D3" s="773"/>
      <c r="E3" s="773"/>
      <c r="F3" s="497"/>
      <c r="G3" s="497"/>
    </row>
    <row r="4" spans="2:7" ht="26.25">
      <c r="B4" s="773" t="s">
        <v>229</v>
      </c>
      <c r="C4" s="773"/>
      <c r="D4" s="773"/>
      <c r="E4" s="773"/>
      <c r="F4" s="497"/>
      <c r="G4" s="497"/>
    </row>
    <row r="5" spans="2:7" ht="26.25">
      <c r="B5" s="773" t="s">
        <v>230</v>
      </c>
      <c r="C5" s="773"/>
      <c r="D5" s="773"/>
      <c r="E5" s="773"/>
      <c r="F5" s="497"/>
      <c r="G5" s="497"/>
    </row>
    <row r="6" spans="2:7" ht="25.35" customHeight="1">
      <c r="B6" s="497"/>
      <c r="C6" s="497"/>
      <c r="D6" s="497"/>
      <c r="E6" s="497"/>
      <c r="F6" s="497"/>
      <c r="G6" s="497"/>
    </row>
    <row r="7" spans="2:7" ht="25.35" customHeight="1">
      <c r="B7" s="286"/>
      <c r="C7" s="497"/>
      <c r="D7" s="286"/>
      <c r="E7" s="286"/>
      <c r="F7" s="286"/>
      <c r="G7" s="286"/>
    </row>
    <row r="8" spans="2:7" ht="25.35" customHeight="1">
      <c r="B8" s="338" t="s">
        <v>231</v>
      </c>
      <c r="C8" s="706" t="str">
        <f>'CHECK SHEET'!D7</f>
        <v>South Florida State College</v>
      </c>
      <c r="D8" s="706"/>
      <c r="E8" s="706"/>
      <c r="F8" s="285"/>
      <c r="G8" s="285"/>
    </row>
    <row r="9" spans="2:7" ht="25.35" customHeight="1"/>
    <row r="10" spans="2:7" ht="41.45" customHeight="1">
      <c r="E10" s="584" t="s">
        <v>232</v>
      </c>
    </row>
    <row r="11" spans="2:7" ht="25.35" customHeight="1">
      <c r="B11" s="28" t="s">
        <v>233</v>
      </c>
      <c r="D11" s="28"/>
      <c r="E11" s="163"/>
    </row>
    <row r="12" spans="2:7" ht="25.35" customHeight="1">
      <c r="B12" s="28"/>
      <c r="C12" s="28"/>
      <c r="D12" s="28"/>
    </row>
    <row r="13" spans="2:7" ht="25.35" customHeight="1">
      <c r="B13" s="17" t="s">
        <v>234</v>
      </c>
      <c r="C13" s="28"/>
      <c r="D13" s="28"/>
      <c r="E13" s="460">
        <v>-10947583</v>
      </c>
    </row>
    <row r="14" spans="2:7" ht="25.35" customHeight="1">
      <c r="B14" s="17" t="s">
        <v>235</v>
      </c>
      <c r="D14" s="28"/>
      <c r="E14" s="585">
        <v>15885254</v>
      </c>
    </row>
    <row r="15" spans="2:7" ht="25.35" customHeight="1">
      <c r="B15" s="28"/>
      <c r="D15" s="28"/>
      <c r="E15" s="164"/>
    </row>
    <row r="16" spans="2:7" ht="25.35" customHeight="1">
      <c r="B16" s="17" t="s">
        <v>236</v>
      </c>
      <c r="C16" s="28"/>
      <c r="D16" s="28"/>
      <c r="E16" s="586">
        <f>+E14+E13</f>
        <v>4937671</v>
      </c>
    </row>
    <row r="17" spans="2:7" ht="25.35" customHeight="1">
      <c r="B17" s="28"/>
      <c r="C17" s="28"/>
      <c r="D17" s="28"/>
      <c r="E17" s="165"/>
    </row>
    <row r="18" spans="2:7" ht="25.35" customHeight="1">
      <c r="B18" s="17" t="s">
        <v>237</v>
      </c>
      <c r="C18" s="28"/>
      <c r="D18" s="28"/>
      <c r="E18" s="175">
        <f>+'EXHIBIT D'!G142-SUM(+'EXHIBIT D'!G132+'EXHIBIT D'!G133)</f>
        <v>36536252</v>
      </c>
      <c r="G18" s="138"/>
    </row>
    <row r="19" spans="2:7" ht="25.35" customHeight="1">
      <c r="B19" s="17" t="s">
        <v>238</v>
      </c>
      <c r="D19" s="28"/>
      <c r="E19" s="586">
        <f>+'EXHIBIT D'!G132+'EXHIBIT D'!G133</f>
        <v>100000</v>
      </c>
    </row>
    <row r="20" spans="2:7" ht="25.35" customHeight="1">
      <c r="B20" s="28"/>
      <c r="D20" s="28"/>
      <c r="E20" s="170"/>
    </row>
    <row r="21" spans="2:7" ht="25.35" customHeight="1">
      <c r="B21" s="17" t="s">
        <v>239</v>
      </c>
      <c r="C21" s="28"/>
      <c r="D21" s="28"/>
      <c r="E21" s="587">
        <f>+E19+E18</f>
        <v>36636252</v>
      </c>
    </row>
    <row r="22" spans="2:7" ht="25.35" customHeight="1">
      <c r="B22" s="28"/>
      <c r="C22" s="28"/>
      <c r="D22" s="28"/>
      <c r="E22" s="170"/>
    </row>
    <row r="23" spans="2:7" ht="25.35" customHeight="1">
      <c r="B23" s="28" t="s">
        <v>240</v>
      </c>
      <c r="C23" s="28"/>
      <c r="D23" s="28"/>
      <c r="E23" s="587">
        <f>+E21+E16</f>
        <v>41573923</v>
      </c>
    </row>
    <row r="24" spans="2:7" ht="25.35" customHeight="1">
      <c r="B24" s="28"/>
      <c r="C24" s="28"/>
      <c r="D24" s="28"/>
      <c r="E24" s="170"/>
    </row>
    <row r="25" spans="2:7" ht="25.35" customHeight="1">
      <c r="B25" s="17" t="s">
        <v>241</v>
      </c>
      <c r="C25" s="28"/>
      <c r="D25" s="28"/>
      <c r="E25" s="176">
        <f>'EXHIBIT D'!G248-SUM(+'EXHIBIT D'!G222+'EXHIBIT D'!G223)</f>
        <v>36636252</v>
      </c>
    </row>
    <row r="26" spans="2:7" ht="25.35" customHeight="1">
      <c r="B26" s="17" t="s">
        <v>242</v>
      </c>
      <c r="D26" s="28"/>
      <c r="E26" s="586">
        <f>'EXHIBIT D'!G222+'EXHIBIT D'!G223</f>
        <v>0</v>
      </c>
    </row>
    <row r="27" spans="2:7" ht="25.35" customHeight="1">
      <c r="B27" s="28"/>
      <c r="D27" s="28"/>
      <c r="E27" s="170"/>
    </row>
    <row r="28" spans="2:7" ht="25.35" customHeight="1">
      <c r="B28" s="28" t="s">
        <v>243</v>
      </c>
      <c r="C28" s="28"/>
      <c r="D28" s="28"/>
      <c r="E28" s="588">
        <f>+E26+E25</f>
        <v>36636252</v>
      </c>
    </row>
    <row r="29" spans="2:7" ht="25.35" customHeight="1">
      <c r="B29" s="28"/>
      <c r="C29" s="28"/>
      <c r="D29" s="28"/>
      <c r="E29" s="166"/>
    </row>
    <row r="30" spans="2:7" ht="25.35" customHeight="1">
      <c r="B30" s="28" t="s">
        <v>244</v>
      </c>
      <c r="C30" s="28"/>
      <c r="D30" s="28"/>
      <c r="E30" s="166"/>
    </row>
    <row r="31" spans="2:7" ht="25.35" customHeight="1">
      <c r="B31" s="28"/>
      <c r="C31" s="28"/>
      <c r="D31" s="28"/>
      <c r="E31" s="166"/>
    </row>
    <row r="32" spans="2:7" ht="25.35" customHeight="1">
      <c r="B32" s="17" t="s">
        <v>245</v>
      </c>
      <c r="C32" s="28"/>
      <c r="D32" s="167">
        <f>+E23-E28</f>
        <v>4937671</v>
      </c>
      <c r="E32" s="166"/>
    </row>
    <row r="33" spans="2:10" ht="25.35" customHeight="1">
      <c r="B33" s="17" t="s">
        <v>246</v>
      </c>
      <c r="C33" s="28"/>
      <c r="D33" s="589">
        <f>+'EXHIBIT D'!G186</f>
        <v>0</v>
      </c>
      <c r="E33" s="166"/>
    </row>
    <row r="34" spans="2:10" ht="25.35" customHeight="1">
      <c r="B34" s="28"/>
      <c r="D34" s="28"/>
      <c r="E34" s="166"/>
      <c r="J34" s="168"/>
    </row>
    <row r="35" spans="2:10" ht="25.35" customHeight="1">
      <c r="B35" s="17" t="s">
        <v>247</v>
      </c>
      <c r="C35" s="28"/>
      <c r="D35" s="28"/>
      <c r="E35" s="169">
        <f>+D32+D33</f>
        <v>4937671</v>
      </c>
    </row>
    <row r="36" spans="2:10" ht="25.35" customHeight="1">
      <c r="B36" s="17" t="s">
        <v>248</v>
      </c>
      <c r="C36" s="28"/>
      <c r="D36" s="28"/>
      <c r="E36" s="587">
        <f>-'EXHIBIT D'!G264</f>
        <v>15885254</v>
      </c>
      <c r="J36" s="48"/>
    </row>
    <row r="37" spans="2:10" ht="25.35" customHeight="1">
      <c r="D37" s="28"/>
      <c r="E37" s="169"/>
    </row>
    <row r="38" spans="2:10" ht="25.35" customHeight="1">
      <c r="B38" s="28" t="s">
        <v>249</v>
      </c>
      <c r="D38" s="28"/>
      <c r="E38" s="586">
        <f>+E35-E36</f>
        <v>-10947583</v>
      </c>
    </row>
    <row r="39" spans="2:10" ht="25.35" customHeight="1">
      <c r="B39" s="28"/>
      <c r="C39" s="28"/>
      <c r="D39" s="28"/>
      <c r="E39" s="170"/>
    </row>
    <row r="40" spans="2:10" ht="25.35" customHeight="1">
      <c r="B40" s="17" t="s">
        <v>250</v>
      </c>
      <c r="C40" s="28"/>
      <c r="D40" s="28"/>
      <c r="E40" s="588">
        <f>'EXHIBIT D'!G253+'EXHIBIT D'!G254+'EXHIBIT D'!G255+'EXHIBIT D'!G256+'EXHIBIT D'!G257+'EXHIBIT D'!G258+'EXHIBIT D'!G259+'EXHIBIT D'!G260</f>
        <v>4937671</v>
      </c>
    </row>
    <row r="41" spans="2:10" ht="25.35" customHeight="1">
      <c r="B41" s="17" t="s">
        <v>251</v>
      </c>
      <c r="D41" s="28"/>
      <c r="E41" s="171"/>
    </row>
    <row r="42" spans="2:10" ht="25.35" customHeight="1">
      <c r="D42" s="28"/>
      <c r="E42" s="172"/>
    </row>
    <row r="43" spans="2:10" ht="25.35" customHeight="1">
      <c r="B43" s="28" t="s">
        <v>252</v>
      </c>
      <c r="D43" s="28"/>
      <c r="E43" s="172"/>
    </row>
    <row r="44" spans="2:10" ht="25.35" customHeight="1">
      <c r="B44" s="28" t="s">
        <v>253</v>
      </c>
      <c r="C44" s="28"/>
      <c r="D44" s="28"/>
      <c r="E44" s="590">
        <f>+E40/E23</f>
        <v>0.11876846454928008</v>
      </c>
    </row>
    <row r="45" spans="2:10" ht="25.35" customHeight="1">
      <c r="B45" s="28"/>
      <c r="C45" s="28"/>
      <c r="D45" s="28"/>
      <c r="E45" s="172"/>
    </row>
    <row r="46" spans="2:10" ht="25.35" customHeight="1">
      <c r="B46" s="28" t="s">
        <v>254</v>
      </c>
      <c r="C46" s="28"/>
      <c r="D46" s="28"/>
      <c r="E46" s="172"/>
    </row>
    <row r="47" spans="2:10" ht="25.35" customHeight="1">
      <c r="B47" s="28"/>
      <c r="C47" s="28"/>
      <c r="D47" s="28"/>
      <c r="E47" s="172"/>
    </row>
    <row r="48" spans="2:10" ht="25.35" customHeight="1">
      <c r="B48" s="28"/>
      <c r="C48" s="28"/>
      <c r="D48" s="28"/>
      <c r="E48" s="172"/>
    </row>
    <row r="49" spans="2:5" ht="25.35" customHeight="1">
      <c r="B49" s="28"/>
      <c r="C49" s="28"/>
      <c r="D49" s="28"/>
      <c r="E49" s="172"/>
    </row>
    <row r="50" spans="2:5" ht="25.35" customHeight="1">
      <c r="B50" s="591"/>
      <c r="C50" s="591"/>
      <c r="D50" s="28"/>
      <c r="E50" s="592"/>
    </row>
    <row r="51" spans="2:5" ht="25.35" customHeight="1">
      <c r="B51" s="28" t="s">
        <v>255</v>
      </c>
      <c r="E51" s="173" t="s">
        <v>256</v>
      </c>
    </row>
    <row r="52" spans="2:5" ht="15.75" customHeight="1">
      <c r="C52" s="28"/>
      <c r="E52" s="174"/>
    </row>
    <row r="53" spans="2:5" ht="15.75" customHeight="1">
      <c r="E53" s="174"/>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eQad09kPKxfpFex+M3jCRJakmEKGyuZ4W1yYssyA6Cm2lWMGDdy6FhhaVx4DSu6OgxJoKw4QFsdKz99c28RNRQ==" saltValue="JqDpGkANtTsC9o1M3i6/H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 right="0" top="0" bottom="0" header="0" footer="0"/>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6"/>
  <sheetViews>
    <sheetView showGridLines="0" zoomScale="50" zoomScaleNormal="50" zoomScalePageLayoutView="50" workbookViewId="0"/>
  </sheetViews>
  <sheetFormatPr defaultColWidth="9.140625" defaultRowHeight="12.75"/>
  <cols>
    <col min="1" max="1" width="98.28515625" style="180" customWidth="1"/>
    <col min="2" max="2" width="18" style="180" customWidth="1"/>
    <col min="3" max="3" width="16.42578125" style="180" customWidth="1"/>
    <col min="4" max="4" width="15.28515625" style="180" customWidth="1"/>
    <col min="5" max="5" width="22.42578125" style="180" customWidth="1"/>
    <col min="6" max="6" width="20.7109375" style="180" customWidth="1"/>
    <col min="7" max="7" width="18.7109375" style="180" customWidth="1"/>
    <col min="8" max="8" width="20.28515625" style="180" bestFit="1" customWidth="1"/>
    <col min="9" max="9" width="20.28515625" style="180" customWidth="1"/>
    <col min="10" max="10" width="2" style="180" customWidth="1"/>
    <col min="11" max="11" width="21" style="180" bestFit="1" customWidth="1"/>
    <col min="12" max="12" width="19.140625" style="180" customWidth="1"/>
    <col min="13" max="13" width="5.7109375" style="180" customWidth="1"/>
    <col min="14" max="16384" width="9.140625" style="180"/>
  </cols>
  <sheetData>
    <row r="1" spans="1:18" s="286" customFormat="1" ht="23.1" customHeight="1">
      <c r="I1" s="336" t="s">
        <v>257</v>
      </c>
      <c r="L1" s="336"/>
      <c r="M1" s="336"/>
      <c r="N1" s="336"/>
      <c r="O1" s="336"/>
      <c r="P1" s="336"/>
      <c r="Q1" s="336"/>
      <c r="R1" s="336"/>
    </row>
    <row r="2" spans="1:18" s="286" customFormat="1" ht="20.100000000000001" customHeight="1"/>
    <row r="3" spans="1:18" s="286" customFormat="1" ht="20.100000000000001" customHeight="1">
      <c r="A3" s="773" t="s">
        <v>10</v>
      </c>
      <c r="B3" s="773"/>
      <c r="C3" s="773"/>
      <c r="D3" s="773"/>
      <c r="E3" s="773"/>
      <c r="F3" s="773"/>
      <c r="G3" s="773"/>
      <c r="H3" s="773"/>
      <c r="I3" s="497"/>
      <c r="J3" s="285"/>
      <c r="K3" s="285"/>
    </row>
    <row r="4" spans="1:18" s="286" customFormat="1" ht="20.100000000000001" customHeight="1">
      <c r="A4" s="773" t="s">
        <v>228</v>
      </c>
      <c r="B4" s="773"/>
      <c r="C4" s="773"/>
      <c r="D4" s="773"/>
      <c r="E4" s="773"/>
      <c r="F4" s="773"/>
      <c r="G4" s="773"/>
      <c r="H4" s="773"/>
      <c r="I4" s="497"/>
    </row>
    <row r="5" spans="1:18" s="286" customFormat="1" ht="24" customHeight="1">
      <c r="A5" s="773" t="s">
        <v>258</v>
      </c>
      <c r="B5" s="773"/>
      <c r="C5" s="773"/>
      <c r="D5" s="773"/>
      <c r="E5" s="773"/>
      <c r="F5" s="773"/>
      <c r="G5" s="773"/>
      <c r="H5" s="773"/>
      <c r="I5" s="497"/>
    </row>
    <row r="6" spans="1:18" s="286" customFormat="1" ht="24" customHeight="1">
      <c r="A6" s="773" t="s">
        <v>259</v>
      </c>
      <c r="B6" s="773"/>
      <c r="C6" s="773"/>
      <c r="D6" s="773"/>
      <c r="E6" s="773"/>
      <c r="F6" s="773"/>
      <c r="G6" s="773"/>
      <c r="H6" s="773"/>
      <c r="I6" s="497"/>
    </row>
    <row r="7" spans="1:18" s="286" customFormat="1" ht="20.100000000000001" customHeight="1">
      <c r="A7" s="773"/>
      <c r="B7" s="773"/>
      <c r="C7" s="773"/>
      <c r="D7" s="773"/>
      <c r="E7" s="773"/>
      <c r="F7" s="773"/>
      <c r="G7" s="773"/>
      <c r="H7" s="773"/>
      <c r="I7" s="497"/>
    </row>
    <row r="8" spans="1:18" s="286" customFormat="1" ht="25.35" customHeight="1" thickBot="1">
      <c r="A8" s="773"/>
      <c r="B8" s="775"/>
      <c r="C8" s="773" t="s">
        <v>231</v>
      </c>
      <c r="D8" s="776" t="str">
        <f>'CHECK SHEET'!D7</f>
        <v>South Florida State College</v>
      </c>
      <c r="E8" s="776"/>
      <c r="F8" s="776"/>
      <c r="G8" s="776"/>
      <c r="H8" s="776"/>
    </row>
    <row r="9" spans="1:18" s="17" customFormat="1" ht="20.100000000000001" customHeight="1"/>
    <row r="10" spans="1:18" s="17" customFormat="1" ht="20.100000000000001" customHeight="1">
      <c r="B10" s="28"/>
      <c r="C10" s="28"/>
      <c r="D10" s="28"/>
      <c r="E10" s="774"/>
      <c r="F10" s="31"/>
      <c r="G10" s="31"/>
    </row>
    <row r="11" spans="1:18" s="17" customFormat="1" ht="20.100000000000001" customHeight="1">
      <c r="B11" s="707" t="s">
        <v>260</v>
      </c>
      <c r="C11" s="707"/>
      <c r="D11" s="28"/>
      <c r="E11" s="28"/>
    </row>
    <row r="12" spans="1:18" s="17" customFormat="1" ht="20.100000000000001" customHeight="1" thickBot="1">
      <c r="B12" s="708" t="s">
        <v>261</v>
      </c>
      <c r="C12" s="708"/>
      <c r="D12" s="708"/>
      <c r="E12" s="708"/>
      <c r="J12" s="28"/>
    </row>
    <row r="13" spans="1:18" s="17" customFormat="1" ht="105.75" customHeight="1" thickBot="1">
      <c r="A13" s="339" t="s">
        <v>262</v>
      </c>
      <c r="B13" s="307" t="s">
        <v>263</v>
      </c>
      <c r="C13" s="712" t="s">
        <v>264</v>
      </c>
      <c r="D13" s="307" t="s">
        <v>265</v>
      </c>
      <c r="E13" s="307" t="s">
        <v>266</v>
      </c>
      <c r="F13" s="711" t="s">
        <v>267</v>
      </c>
      <c r="G13" s="307" t="s">
        <v>52</v>
      </c>
      <c r="H13" s="712" t="s">
        <v>268</v>
      </c>
      <c r="J13" s="28"/>
    </row>
    <row r="14" spans="1:18" s="17" customFormat="1" ht="20.100000000000001" customHeight="1">
      <c r="A14" s="28" t="s">
        <v>269</v>
      </c>
      <c r="B14" s="1103">
        <v>91.79</v>
      </c>
      <c r="C14" s="1103">
        <v>4.59</v>
      </c>
      <c r="D14" s="1103">
        <v>9.18</v>
      </c>
      <c r="E14" s="1103">
        <v>9.18</v>
      </c>
      <c r="F14" s="1103">
        <v>4.59</v>
      </c>
      <c r="G14" s="1104">
        <f>SUM(B14:F14)</f>
        <v>119.33000000000001</v>
      </c>
      <c r="H14" s="367">
        <f>G14*30</f>
        <v>3579.9000000000005</v>
      </c>
    </row>
    <row r="15" spans="1:18" s="17" customFormat="1" ht="20.100000000000001" customHeight="1">
      <c r="A15" s="28" t="s">
        <v>270</v>
      </c>
      <c r="B15" s="823">
        <v>79.180000000000007</v>
      </c>
      <c r="C15" s="823">
        <v>5.54</v>
      </c>
      <c r="D15" s="823">
        <v>7.92</v>
      </c>
      <c r="E15" s="823">
        <v>7.92</v>
      </c>
      <c r="F15" s="823">
        <v>3.96</v>
      </c>
      <c r="G15" s="1104">
        <f>SUM(B15:F15)</f>
        <v>104.52000000000001</v>
      </c>
      <c r="H15" s="340">
        <f>G15*30</f>
        <v>3135.6000000000004</v>
      </c>
    </row>
    <row r="16" spans="1:18" s="17" customFormat="1" ht="20.100000000000001" customHeight="1" thickBot="1">
      <c r="A16" s="28" t="s">
        <v>172</v>
      </c>
      <c r="B16" s="824">
        <v>73.2</v>
      </c>
      <c r="C16" s="824">
        <v>7.2</v>
      </c>
      <c r="D16" s="825"/>
      <c r="E16" s="824">
        <v>3.6</v>
      </c>
      <c r="F16" s="824">
        <v>3.6</v>
      </c>
      <c r="G16" s="341">
        <f>SUM(B16:F16)</f>
        <v>87.6</v>
      </c>
      <c r="H16" s="1010">
        <f>G16*30</f>
        <v>2628</v>
      </c>
    </row>
    <row r="17" spans="1:11" s="17" customFormat="1" ht="20.100000000000001" customHeight="1" thickBot="1">
      <c r="A17" s="295"/>
      <c r="B17" s="360"/>
      <c r="C17" s="541"/>
      <c r="D17" s="541"/>
      <c r="E17" s="541"/>
      <c r="F17" s="541"/>
      <c r="G17" s="366"/>
      <c r="H17" s="342"/>
    </row>
    <row r="18" spans="1:11" s="17" customFormat="1" ht="65.099999999999994" customHeight="1" thickBot="1">
      <c r="A18" s="350" t="s">
        <v>262</v>
      </c>
      <c r="B18" s="307" t="s">
        <v>271</v>
      </c>
      <c r="C18" s="369"/>
      <c r="D18" s="369"/>
      <c r="E18" s="369"/>
      <c r="F18" s="369"/>
      <c r="G18" s="365" t="s">
        <v>52</v>
      </c>
      <c r="H18" s="712" t="s">
        <v>272</v>
      </c>
    </row>
    <row r="19" spans="1:11" s="17" customFormat="1" ht="20.100000000000001" customHeight="1">
      <c r="A19" s="28" t="s">
        <v>273</v>
      </c>
      <c r="B19" s="1105">
        <v>28.5</v>
      </c>
      <c r="C19" s="368"/>
      <c r="D19" s="368"/>
      <c r="E19" s="368"/>
      <c r="F19" s="368"/>
      <c r="G19" s="1104">
        <f>B19</f>
        <v>28.5</v>
      </c>
      <c r="H19" s="611">
        <f>G19*3</f>
        <v>85.5</v>
      </c>
    </row>
    <row r="20" spans="1:11" s="17" customFormat="1" ht="20.100000000000001" customHeight="1" thickBot="1">
      <c r="A20" s="28" t="s">
        <v>274</v>
      </c>
      <c r="B20" s="1011">
        <v>28.5</v>
      </c>
      <c r="C20" s="322"/>
      <c r="D20" s="322"/>
      <c r="E20" s="322"/>
      <c r="F20" s="322"/>
      <c r="G20" s="343">
        <f>B20</f>
        <v>28.5</v>
      </c>
      <c r="H20" s="573">
        <f>G20*3</f>
        <v>85.5</v>
      </c>
    </row>
    <row r="21" spans="1:11" s="17" customFormat="1" ht="20.100000000000001" customHeight="1" thickBot="1">
      <c r="A21" s="344"/>
      <c r="B21" s="360"/>
      <c r="C21" s="295"/>
      <c r="D21" s="295"/>
      <c r="E21" s="295"/>
      <c r="F21" s="295"/>
      <c r="G21" s="366"/>
      <c r="H21" s="342"/>
    </row>
    <row r="22" spans="1:11" s="17" customFormat="1" ht="20.100000000000001" customHeight="1">
      <c r="A22" s="28" t="s">
        <v>275</v>
      </c>
      <c r="B22" s="441">
        <v>0</v>
      </c>
      <c r="C22" s="542"/>
      <c r="D22" s="542"/>
      <c r="E22" s="542"/>
      <c r="F22" s="542"/>
      <c r="G22" s="345">
        <f>B22</f>
        <v>0</v>
      </c>
      <c r="H22" s="364">
        <f>G22*2</f>
        <v>0</v>
      </c>
    </row>
    <row r="23" spans="1:11" s="17" customFormat="1" ht="20.100000000000001" customHeight="1" thickBot="1">
      <c r="A23" s="28" t="s">
        <v>276</v>
      </c>
      <c r="B23" s="1012">
        <v>0</v>
      </c>
      <c r="C23" s="322"/>
      <c r="D23" s="322"/>
      <c r="E23" s="322"/>
      <c r="F23" s="322"/>
      <c r="G23" s="1013">
        <f>B23</f>
        <v>0</v>
      </c>
      <c r="H23" s="1010">
        <f>G23*2</f>
        <v>0</v>
      </c>
      <c r="J23" s="346"/>
      <c r="K23" s="346"/>
    </row>
    <row r="24" spans="1:11" s="17" customFormat="1" ht="25.35" customHeight="1">
      <c r="B24" s="346"/>
      <c r="C24" s="28"/>
      <c r="D24" s="28"/>
      <c r="E24" s="28"/>
      <c r="F24" s="28"/>
      <c r="G24" s="346"/>
      <c r="H24" s="346"/>
      <c r="I24" s="346"/>
      <c r="J24" s="346"/>
      <c r="K24" s="346"/>
    </row>
    <row r="25" spans="1:11" s="17" customFormat="1" ht="13.5" customHeight="1">
      <c r="A25" s="28"/>
      <c r="B25" s="346"/>
      <c r="C25" s="346"/>
      <c r="D25" s="346"/>
      <c r="E25" s="346"/>
      <c r="F25" s="346"/>
      <c r="G25" s="346"/>
      <c r="H25" s="346"/>
      <c r="I25" s="346"/>
      <c r="J25" s="346"/>
      <c r="K25" s="346"/>
    </row>
    <row r="26" spans="1:11" s="17" customFormat="1" ht="20.100000000000001" customHeight="1">
      <c r="B26" s="28" t="s">
        <v>277</v>
      </c>
      <c r="C26" s="28"/>
      <c r="D26" s="28"/>
      <c r="E26" s="28"/>
      <c r="F26" s="346"/>
      <c r="G26" s="346"/>
      <c r="H26" s="346"/>
      <c r="I26" s="346"/>
      <c r="J26" s="346"/>
      <c r="K26" s="346"/>
    </row>
    <row r="27" spans="1:11" s="17" customFormat="1" ht="20.100000000000001" customHeight="1" thickBot="1">
      <c r="A27" s="28"/>
      <c r="B27" s="28" t="s">
        <v>261</v>
      </c>
      <c r="C27" s="28"/>
      <c r="D27" s="28"/>
      <c r="E27" s="28"/>
      <c r="F27" s="346"/>
      <c r="G27" s="346"/>
      <c r="H27" s="346"/>
      <c r="I27" s="346"/>
    </row>
    <row r="28" spans="1:11" s="17" customFormat="1" ht="108" customHeight="1" thickBot="1">
      <c r="A28" s="339" t="s">
        <v>262</v>
      </c>
      <c r="B28" s="288" t="s">
        <v>263</v>
      </c>
      <c r="C28" s="307" t="s">
        <v>278</v>
      </c>
      <c r="D28" s="307" t="s">
        <v>264</v>
      </c>
      <c r="E28" s="307" t="s">
        <v>265</v>
      </c>
      <c r="F28" s="307" t="s">
        <v>266</v>
      </c>
      <c r="G28" s="711" t="s">
        <v>267</v>
      </c>
      <c r="H28" s="307" t="s">
        <v>52</v>
      </c>
      <c r="I28" s="712" t="s">
        <v>268</v>
      </c>
      <c r="J28" s="28"/>
      <c r="K28" s="28"/>
    </row>
    <row r="29" spans="1:11" s="17" customFormat="1" ht="20.100000000000001" customHeight="1">
      <c r="A29" s="28" t="str">
        <f t="shared" ref="A29:B31" si="0">A14</f>
        <v>UPPER LEVEL - BACCALAUREATE</v>
      </c>
      <c r="B29" s="347">
        <f t="shared" si="0"/>
        <v>91.79</v>
      </c>
      <c r="C29" s="1103">
        <v>275.37</v>
      </c>
      <c r="D29" s="1103">
        <v>18.36</v>
      </c>
      <c r="E29" s="543">
        <f>D14</f>
        <v>9.18</v>
      </c>
      <c r="F29" s="1103">
        <v>36.72</v>
      </c>
      <c r="G29" s="1103">
        <v>18.36</v>
      </c>
      <c r="H29" s="348">
        <f>SUM(B29:G29)</f>
        <v>449.78000000000009</v>
      </c>
      <c r="I29" s="361">
        <f>H29*30</f>
        <v>13493.400000000003</v>
      </c>
    </row>
    <row r="30" spans="1:11" s="17" customFormat="1" ht="20.100000000000001" customHeight="1">
      <c r="A30" s="28" t="str">
        <f t="shared" si="0"/>
        <v>LOWER LEVEL - CREDIT (A &amp; P, PSV, DEVELOPMENTAL EDUCATION AND EPI)</v>
      </c>
      <c r="B30" s="1014">
        <f t="shared" si="0"/>
        <v>79.180000000000007</v>
      </c>
      <c r="C30" s="826">
        <v>237.54</v>
      </c>
      <c r="D30" s="826">
        <v>22.16</v>
      </c>
      <c r="E30" s="1015">
        <f>D15</f>
        <v>7.92</v>
      </c>
      <c r="F30" s="826">
        <v>31.67</v>
      </c>
      <c r="G30" s="826">
        <v>15.84</v>
      </c>
      <c r="H30" s="1104">
        <f>SUM(B30:G30)</f>
        <v>394.31000000000006</v>
      </c>
      <c r="I30" s="340">
        <f>H30*30</f>
        <v>11829.300000000001</v>
      </c>
    </row>
    <row r="31" spans="1:11" s="17" customFormat="1" ht="20.100000000000001" customHeight="1" thickBot="1">
      <c r="A31" s="28" t="str">
        <f t="shared" si="0"/>
        <v>CAREER CERTIFICATE AND APPLIED TECHNOLOGY DIPLOMA</v>
      </c>
      <c r="B31" s="411">
        <f t="shared" si="0"/>
        <v>73.2</v>
      </c>
      <c r="C31" s="823">
        <v>219.6</v>
      </c>
      <c r="D31" s="823">
        <v>28.8</v>
      </c>
      <c r="E31" s="322"/>
      <c r="F31" s="823">
        <v>14.4</v>
      </c>
      <c r="G31" s="823">
        <v>14.4</v>
      </c>
      <c r="H31" s="341">
        <f>SUM(B31:G31)</f>
        <v>350.4</v>
      </c>
      <c r="I31" s="1010">
        <f>H31*30</f>
        <v>10512</v>
      </c>
    </row>
    <row r="32" spans="1:11" s="17" customFormat="1" ht="20.100000000000001" customHeight="1" thickBot="1">
      <c r="A32" s="344"/>
      <c r="B32" s="295"/>
      <c r="C32" s="295"/>
      <c r="D32" s="295"/>
      <c r="E32" s="295"/>
      <c r="F32" s="295"/>
      <c r="G32" s="295"/>
      <c r="H32" s="295"/>
      <c r="I32" s="349"/>
    </row>
    <row r="33" spans="1:11" s="17" customFormat="1" ht="65.099999999999994" customHeight="1" thickBot="1">
      <c r="A33" s="350" t="s">
        <v>262</v>
      </c>
      <c r="B33" s="307" t="s">
        <v>271</v>
      </c>
      <c r="C33" s="295"/>
      <c r="D33" s="295"/>
      <c r="E33" s="295"/>
      <c r="F33" s="295"/>
      <c r="G33" s="295"/>
      <c r="H33" s="307" t="s">
        <v>52</v>
      </c>
      <c r="I33" s="712" t="s">
        <v>272</v>
      </c>
    </row>
    <row r="34" spans="1:11" s="17" customFormat="1" ht="20.100000000000001" customHeight="1">
      <c r="A34" s="28" t="str">
        <f>A19</f>
        <v>VOCATIONAL PREPARATORY (PER TERM)</v>
      </c>
      <c r="B34" s="351">
        <f>B19</f>
        <v>28.5</v>
      </c>
      <c r="C34" s="368"/>
      <c r="D34" s="368"/>
      <c r="E34" s="368"/>
      <c r="F34" s="368"/>
      <c r="G34" s="368"/>
      <c r="H34" s="1106">
        <f>B34</f>
        <v>28.5</v>
      </c>
      <c r="I34" s="362">
        <f>H34*3</f>
        <v>85.5</v>
      </c>
      <c r="J34" s="346"/>
      <c r="K34" s="346"/>
    </row>
    <row r="35" spans="1:11" s="17" customFormat="1" ht="20.100000000000001" customHeight="1" thickBot="1">
      <c r="A35" s="28" t="str">
        <f>A20</f>
        <v>ADULT GENERAL EDUCATION AND SECONDARY (PER TERM)</v>
      </c>
      <c r="B35" s="1016">
        <f>B20</f>
        <v>28.5</v>
      </c>
      <c r="C35" s="322"/>
      <c r="D35" s="322"/>
      <c r="E35" s="322"/>
      <c r="F35" s="322"/>
      <c r="G35" s="322"/>
      <c r="H35" s="352">
        <f>B35</f>
        <v>28.5</v>
      </c>
      <c r="I35" s="1017">
        <f>H35*3</f>
        <v>85.5</v>
      </c>
    </row>
    <row r="36" spans="1:11" s="17" customFormat="1" ht="20.100000000000001" customHeight="1" thickBot="1">
      <c r="A36" s="344"/>
      <c r="B36" s="442"/>
      <c r="C36" s="295"/>
      <c r="D36" s="295"/>
      <c r="E36" s="295"/>
      <c r="F36" s="295"/>
      <c r="G36" s="295"/>
      <c r="H36" s="442"/>
      <c r="I36" s="443"/>
    </row>
    <row r="37" spans="1:11" s="17" customFormat="1" ht="20.100000000000001" customHeight="1">
      <c r="A37" s="28" t="str">
        <f>A22</f>
        <v>VOCATIONAL PREPARATORY (PER HALF YEAR)</v>
      </c>
      <c r="B37" s="351">
        <f>B22</f>
        <v>0</v>
      </c>
      <c r="C37" s="542"/>
      <c r="D37" s="542"/>
      <c r="E37" s="542"/>
      <c r="F37" s="542"/>
      <c r="G37" s="542"/>
      <c r="H37" s="348">
        <f>B37</f>
        <v>0</v>
      </c>
      <c r="I37" s="361">
        <f>H37*2</f>
        <v>0</v>
      </c>
    </row>
    <row r="38" spans="1:11" s="17" customFormat="1" ht="20.100000000000001" customHeight="1" thickBot="1">
      <c r="A38" s="28" t="str">
        <f>A23</f>
        <v>ADULT GENERAL EDUCATION AND SECONDARY (PER HALF YEAR)</v>
      </c>
      <c r="B38" s="1016">
        <f>B23</f>
        <v>0</v>
      </c>
      <c r="C38" s="322"/>
      <c r="D38" s="322"/>
      <c r="E38" s="322"/>
      <c r="F38" s="322"/>
      <c r="G38" s="322"/>
      <c r="H38" s="1018">
        <f>B38</f>
        <v>0</v>
      </c>
      <c r="I38" s="363">
        <f>H38*2</f>
        <v>0</v>
      </c>
    </row>
    <row r="39" spans="1:11" s="17" customFormat="1" ht="20.100000000000001" customHeight="1">
      <c r="A39" s="28"/>
      <c r="B39" s="353" t="s">
        <v>279</v>
      </c>
    </row>
    <row r="40" spans="1:11" ht="35.450000000000003" customHeight="1">
      <c r="A40" s="181"/>
      <c r="B40" s="777" t="s">
        <v>280</v>
      </c>
      <c r="C40" s="777"/>
      <c r="D40" s="777"/>
      <c r="E40" s="777"/>
      <c r="F40" s="777"/>
      <c r="G40" s="777"/>
      <c r="H40" s="777"/>
      <c r="I40" s="777"/>
      <c r="J40" s="177"/>
    </row>
    <row r="41" spans="1:11" ht="20.25" customHeight="1">
      <c r="A41" s="179"/>
      <c r="B41" s="179"/>
      <c r="C41" s="179"/>
      <c r="D41" s="179"/>
      <c r="E41" s="179"/>
      <c r="F41" s="179"/>
      <c r="G41" s="179"/>
      <c r="H41" s="179"/>
      <c r="I41" s="179"/>
    </row>
    <row r="42" spans="1:11" ht="20.25" customHeight="1">
      <c r="A42" s="179"/>
      <c r="B42" s="179"/>
      <c r="C42" s="179"/>
      <c r="D42" s="179"/>
      <c r="E42" s="179"/>
      <c r="F42" s="179"/>
      <c r="G42" s="179"/>
      <c r="H42" s="179"/>
      <c r="I42" s="179"/>
    </row>
    <row r="43" spans="1:11" ht="20.25" customHeight="1">
      <c r="A43" s="179"/>
      <c r="B43" s="179"/>
      <c r="C43" s="179"/>
      <c r="D43" s="179"/>
      <c r="E43" s="179"/>
      <c r="F43" s="179"/>
      <c r="G43" s="179"/>
      <c r="H43" s="179"/>
      <c r="I43" s="179"/>
    </row>
    <row r="44" spans="1:11" ht="20.25" customHeight="1">
      <c r="A44" s="179"/>
      <c r="B44" s="179"/>
      <c r="C44" s="179"/>
      <c r="D44" s="179"/>
      <c r="E44" s="179"/>
      <c r="F44" s="179"/>
      <c r="G44" s="179"/>
      <c r="H44" s="179"/>
      <c r="I44" s="179"/>
    </row>
    <row r="45" spans="1:11" ht="20.25" customHeight="1">
      <c r="A45" s="179"/>
      <c r="B45" s="179"/>
      <c r="C45" s="179"/>
      <c r="D45" s="179"/>
      <c r="E45" s="179"/>
      <c r="F45" s="179"/>
      <c r="G45" s="179"/>
      <c r="H45" s="179"/>
      <c r="I45" s="179"/>
    </row>
    <row r="46" spans="1:11" ht="20.25" customHeight="1">
      <c r="A46" s="179"/>
      <c r="B46" s="179"/>
      <c r="C46" s="179"/>
      <c r="D46" s="179"/>
      <c r="E46" s="179"/>
      <c r="F46" s="179"/>
      <c r="G46" s="179"/>
      <c r="H46" s="179"/>
      <c r="I46" s="179"/>
    </row>
    <row r="47" spans="1:11" ht="20.25" customHeight="1">
      <c r="A47" s="179"/>
      <c r="B47" s="179"/>
      <c r="C47" s="179"/>
      <c r="D47" s="179"/>
      <c r="E47" s="179"/>
      <c r="F47" s="179"/>
      <c r="G47" s="179"/>
      <c r="H47" s="179"/>
      <c r="I47" s="179"/>
    </row>
    <row r="48" spans="1:11" ht="20.25" customHeight="1">
      <c r="A48" s="179"/>
      <c r="B48" s="179"/>
      <c r="C48" s="179"/>
      <c r="D48" s="179"/>
      <c r="E48" s="179"/>
      <c r="F48" s="179"/>
      <c r="G48" s="179"/>
      <c r="H48" s="179"/>
      <c r="I48" s="179"/>
    </row>
    <row r="49" spans="1:9" ht="20.25" customHeight="1">
      <c r="A49" s="179"/>
      <c r="B49" s="179"/>
      <c r="C49" s="179"/>
      <c r="D49" s="179"/>
      <c r="E49" s="179"/>
      <c r="F49" s="179"/>
      <c r="G49" s="179"/>
      <c r="H49" s="179"/>
      <c r="I49" s="179"/>
    </row>
    <row r="50" spans="1:9" ht="20.25" customHeight="1">
      <c r="A50" s="179"/>
      <c r="B50" s="179"/>
      <c r="C50" s="179"/>
      <c r="D50" s="179"/>
      <c r="E50" s="179"/>
      <c r="F50" s="179"/>
      <c r="G50" s="179"/>
      <c r="H50" s="179"/>
      <c r="I50" s="179"/>
    </row>
    <row r="51" spans="1:9" ht="20.25" customHeight="1">
      <c r="A51" s="179"/>
      <c r="B51" s="179"/>
      <c r="C51" s="179"/>
      <c r="D51" s="179"/>
      <c r="E51" s="179"/>
      <c r="F51" s="179"/>
      <c r="G51" s="179"/>
      <c r="H51" s="179"/>
      <c r="I51" s="179"/>
    </row>
    <row r="52" spans="1:9" ht="20.25" customHeight="1">
      <c r="A52" s="179"/>
      <c r="B52" s="179"/>
      <c r="C52" s="179"/>
      <c r="D52" s="179"/>
      <c r="E52" s="179"/>
      <c r="F52" s="179"/>
      <c r="G52" s="179"/>
      <c r="H52" s="179"/>
      <c r="I52" s="179"/>
    </row>
    <row r="53" spans="1:9" ht="20.25" customHeight="1">
      <c r="B53" s="179"/>
      <c r="C53" s="179"/>
      <c r="D53" s="179"/>
      <c r="E53" s="179"/>
      <c r="F53" s="179"/>
      <c r="G53" s="179"/>
      <c r="H53" s="179"/>
      <c r="I53" s="179"/>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aY4nbGin6vR15gmoXzsG9iKmWAahQilzNIHFspc4TkvYwknsNJO+YijodH2P3wpmwlgqisI2xu/r2ziIro+XCg==" saltValue="cFwK3votSypkFdt2Ur4iBA==" spinCount="100000" sheet="1" objects="1" scenarios="1"/>
  <customSheetViews>
    <customSheetView guid="{8CA1AA3C-D3A6-493D-93EE-74DE1406A5FE}" showGridLines="0" showRuler="0">
      <selection sqref="A1:H1"/>
      <pageMargins left="0" right="0" top="0" bottom="0" header="0" footer="0"/>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7"/>
  <sheetViews>
    <sheetView showGridLines="0" zoomScale="70" zoomScaleNormal="70" zoomScaleSheetLayoutView="50" zoomScalePageLayoutView="50" workbookViewId="0"/>
  </sheetViews>
  <sheetFormatPr defaultColWidth="9.140625" defaultRowHeight="21"/>
  <cols>
    <col min="1" max="1" width="43.7109375" style="17" customWidth="1"/>
    <col min="2" max="2" width="81.140625" style="17" customWidth="1"/>
    <col min="3" max="3" width="18.7109375" style="17" customWidth="1"/>
    <col min="4" max="4" width="23.28515625" style="17" customWidth="1"/>
    <col min="5" max="5" width="29" style="17" customWidth="1"/>
    <col min="6" max="6" width="19.7109375" style="17" customWidth="1"/>
    <col min="7" max="8" width="20.42578125" style="17" customWidth="1"/>
    <col min="9" max="9" width="5.140625" style="17" customWidth="1"/>
    <col min="10" max="16384" width="9.140625" style="17"/>
  </cols>
  <sheetData>
    <row r="1" spans="1:9" ht="23.1" customHeight="1">
      <c r="H1" s="178" t="s">
        <v>281</v>
      </c>
    </row>
    <row r="2" spans="1:9" ht="20.100000000000001" customHeight="1">
      <c r="A2" s="779" t="s">
        <v>10</v>
      </c>
      <c r="B2" s="779"/>
      <c r="C2" s="779"/>
      <c r="D2" s="779"/>
      <c r="E2" s="779"/>
      <c r="F2" s="779"/>
      <c r="G2" s="779"/>
      <c r="H2" s="710"/>
      <c r="I2" s="28"/>
    </row>
    <row r="3" spans="1:9" ht="20.100000000000001" customHeight="1">
      <c r="A3" s="779" t="s">
        <v>282</v>
      </c>
      <c r="B3" s="779"/>
      <c r="C3" s="779"/>
      <c r="D3" s="779"/>
      <c r="E3" s="779"/>
      <c r="F3" s="779"/>
      <c r="G3" s="779"/>
      <c r="H3" s="710"/>
    </row>
    <row r="4" spans="1:9" ht="20.100000000000001" customHeight="1">
      <c r="A4" s="332"/>
      <c r="B4" s="332"/>
      <c r="C4" s="332"/>
      <c r="D4" s="332"/>
      <c r="E4" s="332"/>
      <c r="F4" s="332"/>
      <c r="G4" s="332"/>
      <c r="H4" s="287"/>
    </row>
    <row r="5" spans="1:9" ht="27.6" customHeight="1" thickBot="1">
      <c r="A5" s="779" t="s">
        <v>283</v>
      </c>
      <c r="B5" s="780" t="str">
        <f>'CHECK SHEET'!D7</f>
        <v>South Florida State College</v>
      </c>
      <c r="C5" s="780"/>
      <c r="D5" s="780"/>
      <c r="E5" s="780"/>
      <c r="F5" s="780"/>
      <c r="G5" s="332"/>
      <c r="H5" s="778"/>
    </row>
    <row r="6" spans="1:9" ht="20.100000000000001" customHeight="1">
      <c r="A6" s="332"/>
      <c r="B6" s="332"/>
      <c r="C6" s="332"/>
      <c r="D6" s="332"/>
      <c r="E6" s="332"/>
      <c r="F6" s="332"/>
      <c r="G6" s="332"/>
      <c r="H6" s="778"/>
    </row>
    <row r="7" spans="1:9" ht="20.100000000000001" customHeight="1">
      <c r="A7" s="707" t="s">
        <v>284</v>
      </c>
      <c r="B7" s="707"/>
      <c r="C7" s="707"/>
      <c r="D7" s="707"/>
      <c r="E7" s="707"/>
      <c r="F7" s="707"/>
      <c r="G7" s="707"/>
      <c r="H7" s="707"/>
    </row>
    <row r="8" spans="1:9" ht="20.100000000000001" customHeight="1" thickBot="1">
      <c r="C8" s="28"/>
    </row>
    <row r="9" spans="1:9" ht="85.5" customHeight="1" thickBot="1">
      <c r="A9" s="288" t="s">
        <v>285</v>
      </c>
      <c r="B9" s="288" t="s">
        <v>286</v>
      </c>
      <c r="C9" s="296" t="s">
        <v>287</v>
      </c>
      <c r="D9" s="296" t="s">
        <v>288</v>
      </c>
      <c r="E9" s="296" t="s">
        <v>289</v>
      </c>
      <c r="F9" s="296" t="s">
        <v>290</v>
      </c>
      <c r="G9" s="296" t="s">
        <v>291</v>
      </c>
      <c r="H9" s="297" t="s">
        <v>292</v>
      </c>
      <c r="I9" s="19"/>
    </row>
    <row r="10" spans="1:9" ht="20.100000000000001" customHeight="1">
      <c r="A10" s="544" t="s">
        <v>263</v>
      </c>
      <c r="B10" s="544" t="s">
        <v>293</v>
      </c>
      <c r="C10" s="545">
        <v>40101</v>
      </c>
      <c r="D10" s="625">
        <v>3310</v>
      </c>
      <c r="E10" s="546">
        <v>90</v>
      </c>
      <c r="F10" s="547">
        <f t="shared" ref="F10:F15" si="0">+D10-E10</f>
        <v>3220</v>
      </c>
      <c r="G10" s="547">
        <f>'EXHIBIT B'!B14</f>
        <v>91.79</v>
      </c>
      <c r="H10" s="548">
        <f>ROUND(+F10*G10,0)</f>
        <v>295564</v>
      </c>
    </row>
    <row r="11" spans="1:9" ht="20.100000000000001" customHeight="1">
      <c r="A11" s="626" t="s">
        <v>263</v>
      </c>
      <c r="B11" s="626" t="s">
        <v>170</v>
      </c>
      <c r="C11" s="627" t="s">
        <v>294</v>
      </c>
      <c r="D11" s="625">
        <v>47515</v>
      </c>
      <c r="E11" s="625">
        <v>11041</v>
      </c>
      <c r="F11" s="628">
        <f t="shared" si="0"/>
        <v>36474</v>
      </c>
      <c r="G11" s="628">
        <f>+'EXHIBIT B'!B15</f>
        <v>79.180000000000007</v>
      </c>
      <c r="H11" s="629">
        <f t="shared" ref="H11:H15" si="1">ROUND(+F11*G11,0)</f>
        <v>2888011</v>
      </c>
    </row>
    <row r="12" spans="1:9" ht="20.100000000000001" customHeight="1">
      <c r="A12" s="626" t="s">
        <v>263</v>
      </c>
      <c r="B12" s="626" t="s">
        <v>171</v>
      </c>
      <c r="C12" s="627" t="s">
        <v>295</v>
      </c>
      <c r="D12" s="625">
        <v>30</v>
      </c>
      <c r="E12" s="625">
        <v>6</v>
      </c>
      <c r="F12" s="628">
        <f t="shared" si="0"/>
        <v>24</v>
      </c>
      <c r="G12" s="628">
        <f>+'EXHIBIT B'!B15</f>
        <v>79.180000000000007</v>
      </c>
      <c r="H12" s="629">
        <f t="shared" si="1"/>
        <v>1900</v>
      </c>
    </row>
    <row r="13" spans="1:9" ht="20.100000000000001" customHeight="1">
      <c r="A13" s="626" t="s">
        <v>263</v>
      </c>
      <c r="B13" s="626" t="s">
        <v>172</v>
      </c>
      <c r="C13" s="627" t="s">
        <v>296</v>
      </c>
      <c r="D13" s="1107">
        <v>7400</v>
      </c>
      <c r="E13" s="1107">
        <f>6.18*30</f>
        <v>185.39999999999998</v>
      </c>
      <c r="F13" s="628">
        <f t="shared" si="0"/>
        <v>7214.6</v>
      </c>
      <c r="G13" s="628">
        <f>+'EXHIBIT B'!B16</f>
        <v>73.2</v>
      </c>
      <c r="H13" s="629">
        <f t="shared" si="1"/>
        <v>528109</v>
      </c>
    </row>
    <row r="14" spans="1:9" ht="20.100000000000001" customHeight="1">
      <c r="A14" s="626" t="s">
        <v>263</v>
      </c>
      <c r="B14" s="626" t="s">
        <v>173</v>
      </c>
      <c r="C14" s="627" t="s">
        <v>297</v>
      </c>
      <c r="D14" s="625">
        <v>415</v>
      </c>
      <c r="E14" s="625">
        <v>29</v>
      </c>
      <c r="F14" s="628">
        <f t="shared" si="0"/>
        <v>386</v>
      </c>
      <c r="G14" s="628">
        <f>+'EXHIBIT B'!B15</f>
        <v>79.180000000000007</v>
      </c>
      <c r="H14" s="629">
        <f t="shared" si="1"/>
        <v>30563</v>
      </c>
    </row>
    <row r="15" spans="1:9" ht="20.100000000000001" customHeight="1" thickBot="1">
      <c r="A15" s="630" t="s">
        <v>263</v>
      </c>
      <c r="B15" s="630" t="s">
        <v>174</v>
      </c>
      <c r="C15" s="631">
        <v>40160</v>
      </c>
      <c r="D15" s="632">
        <v>0</v>
      </c>
      <c r="E15" s="632">
        <v>0</v>
      </c>
      <c r="F15" s="633">
        <f t="shared" si="0"/>
        <v>0</v>
      </c>
      <c r="G15" s="633">
        <f>+'EXHIBIT B'!B15</f>
        <v>79.180000000000007</v>
      </c>
      <c r="H15" s="634">
        <f t="shared" si="1"/>
        <v>0</v>
      </c>
    </row>
    <row r="16" spans="1:9" ht="24.95" customHeight="1" thickBot="1">
      <c r="A16" s="298"/>
      <c r="B16" s="298"/>
      <c r="C16" s="298"/>
      <c r="D16" s="299"/>
      <c r="E16" s="299"/>
      <c r="F16" s="300"/>
      <c r="G16" s="300"/>
      <c r="H16" s="301"/>
    </row>
    <row r="17" spans="1:9" ht="24.95" customHeight="1" thickBot="1">
      <c r="A17" s="302"/>
      <c r="B17" s="303" t="s">
        <v>298</v>
      </c>
      <c r="C17" s="303"/>
      <c r="D17" s="304">
        <f>SUM(D10:D15)</f>
        <v>58670</v>
      </c>
      <c r="E17" s="304">
        <f>SUM(E10:E15)</f>
        <v>11351.4</v>
      </c>
      <c r="F17" s="305">
        <f>SUM(F10:F15)</f>
        <v>47318.6</v>
      </c>
      <c r="G17" s="305"/>
      <c r="H17" s="306">
        <f>SUM(H10:H15)</f>
        <v>3744147</v>
      </c>
    </row>
    <row r="18" spans="1:9" ht="88.35" customHeight="1" thickBot="1">
      <c r="A18" s="307" t="s">
        <v>299</v>
      </c>
      <c r="B18" s="288" t="s">
        <v>286</v>
      </c>
      <c r="C18" s="296" t="s">
        <v>287</v>
      </c>
      <c r="D18" s="307" t="s">
        <v>300</v>
      </c>
      <c r="E18" s="296" t="s">
        <v>291</v>
      </c>
      <c r="F18" s="297" t="s">
        <v>292</v>
      </c>
    </row>
    <row r="19" spans="1:9" ht="24.95" customHeight="1">
      <c r="A19" s="1090" t="s">
        <v>278</v>
      </c>
      <c r="B19" s="1090" t="s">
        <v>293</v>
      </c>
      <c r="C19" s="1108">
        <v>40301</v>
      </c>
      <c r="D19" s="827">
        <v>4</v>
      </c>
      <c r="E19" s="1109">
        <f>'EXHIBIT B'!C29</f>
        <v>275.37</v>
      </c>
      <c r="F19" s="1110">
        <f t="shared" ref="F19:F24" si="2">ROUND(+D19*E19,0)</f>
        <v>1101</v>
      </c>
      <c r="G19" s="308"/>
      <c r="H19" s="308"/>
    </row>
    <row r="20" spans="1:9" ht="20.100000000000001" customHeight="1">
      <c r="A20" s="907" t="s">
        <v>278</v>
      </c>
      <c r="B20" s="907" t="s">
        <v>170</v>
      </c>
      <c r="C20" s="1019" t="s">
        <v>301</v>
      </c>
      <c r="D20" s="1020">
        <v>402</v>
      </c>
      <c r="E20" s="1021">
        <f>+'EXHIBIT B'!C30</f>
        <v>237.54</v>
      </c>
      <c r="F20" s="1022">
        <f t="shared" si="2"/>
        <v>95491</v>
      </c>
      <c r="G20" s="48"/>
      <c r="H20" s="48"/>
    </row>
    <row r="21" spans="1:9" ht="20.100000000000001" customHeight="1">
      <c r="A21" s="907" t="s">
        <v>278</v>
      </c>
      <c r="B21" s="907" t="s">
        <v>171</v>
      </c>
      <c r="C21" s="1019" t="s">
        <v>302</v>
      </c>
      <c r="D21" s="1020">
        <v>0</v>
      </c>
      <c r="E21" s="1021">
        <f>+'EXHIBIT B'!C30</f>
        <v>237.54</v>
      </c>
      <c r="F21" s="1022">
        <f t="shared" si="2"/>
        <v>0</v>
      </c>
      <c r="G21" s="48"/>
      <c r="H21" s="48"/>
    </row>
    <row r="22" spans="1:9" ht="20.100000000000001" customHeight="1">
      <c r="A22" s="907" t="s">
        <v>278</v>
      </c>
      <c r="B22" s="907" t="s">
        <v>172</v>
      </c>
      <c r="C22" s="1019" t="s">
        <v>303</v>
      </c>
      <c r="D22" s="1020">
        <v>7</v>
      </c>
      <c r="E22" s="1021">
        <f>+'EXHIBIT B'!C31</f>
        <v>219.6</v>
      </c>
      <c r="F22" s="1022">
        <f t="shared" si="2"/>
        <v>1537</v>
      </c>
      <c r="G22" s="48"/>
      <c r="H22" s="48"/>
    </row>
    <row r="23" spans="1:9" ht="20.100000000000001" customHeight="1">
      <c r="A23" s="907" t="s">
        <v>278</v>
      </c>
      <c r="B23" s="907" t="s">
        <v>173</v>
      </c>
      <c r="C23" s="1019" t="s">
        <v>304</v>
      </c>
      <c r="D23" s="1020">
        <v>13</v>
      </c>
      <c r="E23" s="1021">
        <f>+'EXHIBIT B'!C30</f>
        <v>237.54</v>
      </c>
      <c r="F23" s="1022">
        <f t="shared" si="2"/>
        <v>3088</v>
      </c>
      <c r="G23" s="48"/>
      <c r="H23" s="48"/>
    </row>
    <row r="24" spans="1:9" ht="20.100000000000001" customHeight="1" thickBot="1">
      <c r="A24" s="1023" t="s">
        <v>278</v>
      </c>
      <c r="B24" s="1023" t="s">
        <v>174</v>
      </c>
      <c r="C24" s="1024">
        <v>40360</v>
      </c>
      <c r="D24" s="828">
        <v>0</v>
      </c>
      <c r="E24" s="1025">
        <f>+'EXHIBIT B'!C30</f>
        <v>237.54</v>
      </c>
      <c r="F24" s="1026">
        <f t="shared" si="2"/>
        <v>0</v>
      </c>
      <c r="G24" s="48"/>
      <c r="H24" s="48"/>
    </row>
    <row r="25" spans="1:9" ht="20.100000000000001" customHeight="1" thickBot="1">
      <c r="A25" s="309"/>
      <c r="B25" s="309"/>
      <c r="C25" s="309"/>
      <c r="D25" s="309"/>
      <c r="E25" s="310"/>
      <c r="F25" s="311"/>
      <c r="G25" s="48"/>
      <c r="H25" s="48"/>
    </row>
    <row r="26" spans="1:9" ht="20.100000000000001" customHeight="1" thickBot="1">
      <c r="A26" s="1027"/>
      <c r="B26" s="1027" t="s">
        <v>298</v>
      </c>
      <c r="C26" s="1027"/>
      <c r="D26" s="1028">
        <f>SUM(D19:D24)</f>
        <v>426</v>
      </c>
      <c r="E26" s="1029"/>
      <c r="F26" s="1030">
        <f>SUM(F19:F24)</f>
        <v>101217</v>
      </c>
      <c r="G26" s="312"/>
      <c r="H26" s="312"/>
    </row>
    <row r="27" spans="1:9" ht="20.100000000000001" customHeight="1" thickBot="1">
      <c r="A27" s="313" t="s">
        <v>305</v>
      </c>
      <c r="B27" s="313"/>
      <c r="C27" s="313"/>
      <c r="D27" s="313"/>
      <c r="E27" s="313"/>
      <c r="F27" s="314"/>
      <c r="G27" s="549"/>
      <c r="H27" s="315">
        <f>H17+F26</f>
        <v>3845364</v>
      </c>
    </row>
    <row r="28" spans="1:9" ht="24.95" customHeight="1">
      <c r="I28" s="172"/>
    </row>
    <row r="29" spans="1:9" ht="24.95" customHeight="1">
      <c r="A29" s="707" t="s">
        <v>306</v>
      </c>
      <c r="B29" s="707"/>
      <c r="C29" s="707"/>
      <c r="D29" s="707"/>
      <c r="E29" s="707"/>
      <c r="F29" s="707"/>
      <c r="G29" s="707"/>
      <c r="H29" s="707"/>
      <c r="I29" s="172"/>
    </row>
    <row r="30" spans="1:9" ht="24.95" customHeight="1" thickBot="1">
      <c r="I30" s="172"/>
    </row>
    <row r="31" spans="1:9" ht="88.35" customHeight="1" thickBot="1">
      <c r="A31" s="307" t="s">
        <v>307</v>
      </c>
      <c r="B31" s="316" t="s">
        <v>286</v>
      </c>
      <c r="C31" s="307" t="s">
        <v>287</v>
      </c>
      <c r="D31" s="307" t="s">
        <v>308</v>
      </c>
      <c r="E31" s="307" t="s">
        <v>309</v>
      </c>
      <c r="F31" s="307" t="s">
        <v>290</v>
      </c>
      <c r="G31" s="307" t="s">
        <v>310</v>
      </c>
      <c r="H31" s="712" t="s">
        <v>292</v>
      </c>
      <c r="I31" s="172"/>
    </row>
    <row r="32" spans="1:9" ht="20.100000000000001" customHeight="1">
      <c r="A32" s="550" t="s">
        <v>311</v>
      </c>
      <c r="B32" s="550" t="s">
        <v>312</v>
      </c>
      <c r="C32" s="551" t="s">
        <v>313</v>
      </c>
      <c r="D32" s="552">
        <v>0</v>
      </c>
      <c r="E32" s="552">
        <v>0</v>
      </c>
      <c r="F32" s="553">
        <f>D32-E32</f>
        <v>0</v>
      </c>
      <c r="G32" s="553">
        <f>'EXHIBIT B'!B19</f>
        <v>28.5</v>
      </c>
      <c r="H32" s="554">
        <f>ROUND(+F32*G32,0)</f>
        <v>0</v>
      </c>
    </row>
    <row r="33" spans="1:8" ht="20.100000000000001" customHeight="1">
      <c r="A33" s="907" t="s">
        <v>311</v>
      </c>
      <c r="B33" s="907" t="s">
        <v>314</v>
      </c>
      <c r="C33" s="1019" t="s">
        <v>315</v>
      </c>
      <c r="D33" s="1020">
        <v>1501</v>
      </c>
      <c r="E33" s="1020">
        <v>0</v>
      </c>
      <c r="F33" s="1021">
        <f>D33-E33</f>
        <v>1501</v>
      </c>
      <c r="G33" s="1021">
        <f>'EXHIBIT B'!B20</f>
        <v>28.5</v>
      </c>
      <c r="H33" s="1022">
        <f>ROUND(+F33*G33,0)</f>
        <v>42779</v>
      </c>
    </row>
    <row r="34" spans="1:8" ht="20.100000000000001" customHeight="1">
      <c r="A34" s="907" t="s">
        <v>316</v>
      </c>
      <c r="B34" s="907" t="s">
        <v>312</v>
      </c>
      <c r="C34" s="1019">
        <v>40180</v>
      </c>
      <c r="D34" s="1020">
        <v>0</v>
      </c>
      <c r="E34" s="1020">
        <v>0</v>
      </c>
      <c r="F34" s="1021">
        <f>D34-E34</f>
        <v>0</v>
      </c>
      <c r="G34" s="1021">
        <f>'EXHIBIT B'!B22</f>
        <v>0</v>
      </c>
      <c r="H34" s="1022">
        <f>ROUND(+F34*G34,0)</f>
        <v>0</v>
      </c>
    </row>
    <row r="35" spans="1:8" ht="20.100000000000001" customHeight="1" thickBot="1">
      <c r="A35" s="1031" t="s">
        <v>316</v>
      </c>
      <c r="B35" s="1031" t="s">
        <v>314</v>
      </c>
      <c r="C35" s="1032">
        <v>40190</v>
      </c>
      <c r="D35" s="1033">
        <v>0</v>
      </c>
      <c r="E35" s="1033">
        <v>0</v>
      </c>
      <c r="F35" s="1034">
        <f>D35-E35</f>
        <v>0</v>
      </c>
      <c r="G35" s="1034">
        <f>'EXHIBIT B'!B23</f>
        <v>0</v>
      </c>
      <c r="H35" s="1035">
        <f>ROUND(+F35*G35,0)</f>
        <v>0</v>
      </c>
    </row>
    <row r="36" spans="1:8" ht="20.100000000000001" customHeight="1" thickBot="1">
      <c r="A36" s="317"/>
      <c r="B36" s="292" t="s">
        <v>317</v>
      </c>
      <c r="C36" s="292"/>
      <c r="D36" s="318">
        <f>SUM(D32:D35)</f>
        <v>1501</v>
      </c>
      <c r="E36" s="318">
        <f>SUM(E32:E35)</f>
        <v>0</v>
      </c>
      <c r="F36" s="319">
        <f>D36-E36</f>
        <v>1501</v>
      </c>
      <c r="G36" s="319"/>
      <c r="H36" s="320">
        <f>SUM(H32:H35)</f>
        <v>42779</v>
      </c>
    </row>
    <row r="37" spans="1:8" ht="24.95" customHeight="1" thickBot="1">
      <c r="A37" s="321"/>
      <c r="B37" s="322"/>
      <c r="C37" s="322"/>
      <c r="D37" s="322"/>
      <c r="E37" s="322"/>
      <c r="F37" s="322"/>
    </row>
    <row r="38" spans="1:8" ht="88.35" customHeight="1" thickBot="1">
      <c r="A38" s="323" t="s">
        <v>318</v>
      </c>
      <c r="B38" s="324" t="s">
        <v>286</v>
      </c>
      <c r="C38" s="307" t="s">
        <v>287</v>
      </c>
      <c r="D38" s="325" t="s">
        <v>308</v>
      </c>
      <c r="E38" s="325" t="s">
        <v>310</v>
      </c>
      <c r="F38" s="307" t="s">
        <v>292</v>
      </c>
      <c r="G38" s="19"/>
      <c r="H38" s="19"/>
    </row>
    <row r="39" spans="1:8" ht="20.100000000000001" customHeight="1">
      <c r="A39" s="550" t="s">
        <v>311</v>
      </c>
      <c r="B39" s="550" t="s">
        <v>312</v>
      </c>
      <c r="C39" s="551">
        <v>40380</v>
      </c>
      <c r="D39" s="552">
        <v>0</v>
      </c>
      <c r="E39" s="553">
        <f>'EXHIBIT B'!B34</f>
        <v>28.5</v>
      </c>
      <c r="F39" s="554">
        <f>D39*E39</f>
        <v>0</v>
      </c>
    </row>
    <row r="40" spans="1:8" ht="20.100000000000001" customHeight="1">
      <c r="A40" s="907" t="s">
        <v>311</v>
      </c>
      <c r="B40" s="907" t="s">
        <v>314</v>
      </c>
      <c r="C40" s="1019">
        <v>40390</v>
      </c>
      <c r="D40" s="1020">
        <v>0</v>
      </c>
      <c r="E40" s="1021">
        <f>'EXHIBIT B'!B35</f>
        <v>28.5</v>
      </c>
      <c r="F40" s="1022">
        <f>D40*E40</f>
        <v>0</v>
      </c>
    </row>
    <row r="41" spans="1:8" ht="20.100000000000001" customHeight="1">
      <c r="A41" s="907" t="s">
        <v>316</v>
      </c>
      <c r="B41" s="907" t="s">
        <v>312</v>
      </c>
      <c r="C41" s="1019" t="s">
        <v>319</v>
      </c>
      <c r="D41" s="1020">
        <v>0</v>
      </c>
      <c r="E41" s="1021">
        <f>'EXHIBIT B'!B37</f>
        <v>0</v>
      </c>
      <c r="F41" s="1022">
        <f>D41*E41</f>
        <v>0</v>
      </c>
    </row>
    <row r="42" spans="1:8" ht="20.100000000000001" customHeight="1" thickBot="1">
      <c r="A42" s="1031" t="s">
        <v>316</v>
      </c>
      <c r="B42" s="1031" t="s">
        <v>314</v>
      </c>
      <c r="C42" s="1032" t="s">
        <v>320</v>
      </c>
      <c r="D42" s="1033">
        <v>0</v>
      </c>
      <c r="E42" s="1034">
        <f>'EXHIBIT B'!B38</f>
        <v>0</v>
      </c>
      <c r="F42" s="1035">
        <f>D42*E42</f>
        <v>0</v>
      </c>
    </row>
    <row r="43" spans="1:8" ht="20.100000000000001" customHeight="1" thickBot="1">
      <c r="A43" s="326"/>
      <c r="B43" s="313" t="s">
        <v>298</v>
      </c>
      <c r="C43" s="313"/>
      <c r="D43" s="314">
        <f>SUM(D39:D42)</f>
        <v>0</v>
      </c>
      <c r="E43" s="327"/>
      <c r="F43" s="328">
        <f>SUM(F39:F42)</f>
        <v>0</v>
      </c>
    </row>
    <row r="44" spans="1:8" ht="20.100000000000001" customHeight="1" thickBot="1">
      <c r="A44" s="329" t="s">
        <v>321</v>
      </c>
      <c r="B44" s="313"/>
      <c r="C44" s="313"/>
      <c r="D44" s="313"/>
      <c r="E44" s="313"/>
      <c r="F44" s="313"/>
      <c r="G44" s="292"/>
      <c r="H44" s="555">
        <f>H36+F43</f>
        <v>42779</v>
      </c>
    </row>
    <row r="45" spans="1:8" ht="20.100000000000001" customHeight="1" thickBot="1">
      <c r="A45" s="309"/>
      <c r="B45" s="309"/>
      <c r="C45" s="309"/>
      <c r="D45" s="309"/>
      <c r="E45" s="309"/>
      <c r="F45" s="309"/>
      <c r="G45" s="309"/>
      <c r="H45" s="310"/>
    </row>
    <row r="46" spans="1:8" ht="20.100000000000001" customHeight="1" thickBot="1">
      <c r="A46" s="313" t="s">
        <v>322</v>
      </c>
      <c r="B46" s="313"/>
      <c r="C46" s="313"/>
      <c r="D46" s="313"/>
      <c r="E46" s="313"/>
      <c r="F46" s="313"/>
      <c r="G46" s="330"/>
      <c r="H46" s="315">
        <f>H27+H44</f>
        <v>3888143</v>
      </c>
    </row>
    <row r="47" spans="1:8" ht="24.75" customHeight="1">
      <c r="A47" s="713"/>
      <c r="B47" s="713"/>
      <c r="C47" s="713"/>
      <c r="D47" s="713"/>
      <c r="E47" s="713"/>
      <c r="F47" s="713"/>
      <c r="G47" s="331"/>
      <c r="H47" s="331"/>
    </row>
    <row r="48" spans="1:8" ht="24.95" customHeight="1">
      <c r="A48" s="28" t="s">
        <v>323</v>
      </c>
      <c r="H48" s="19"/>
    </row>
    <row r="49" spans="1:10" ht="24.95" customHeight="1">
      <c r="A49" s="28"/>
    </row>
    <row r="50" spans="1:10" ht="43.35" customHeight="1" thickBot="1">
      <c r="A50" s="950" t="s">
        <v>324</v>
      </c>
      <c r="B50" s="950"/>
      <c r="C50" s="951"/>
      <c r="D50" s="951"/>
      <c r="E50" s="951"/>
      <c r="F50" s="951"/>
    </row>
    <row r="51" spans="1:10" ht="44.45" customHeight="1" thickBot="1">
      <c r="A51" s="288" t="s">
        <v>325</v>
      </c>
      <c r="B51" s="288" t="s">
        <v>326</v>
      </c>
      <c r="C51" s="781" t="s">
        <v>327</v>
      </c>
      <c r="D51" s="782"/>
      <c r="E51" s="781" t="s">
        <v>328</v>
      </c>
      <c r="F51" s="782"/>
    </row>
    <row r="52" spans="1:10" ht="24.95" customHeight="1" thickBot="1">
      <c r="A52" s="289"/>
      <c r="B52" s="290"/>
      <c r="C52" s="556"/>
      <c r="D52" s="557"/>
      <c r="E52" s="556"/>
      <c r="F52" s="557"/>
    </row>
    <row r="53" spans="1:10" ht="24.95" customHeight="1" thickBot="1">
      <c r="A53" s="295" t="s">
        <v>188</v>
      </c>
      <c r="B53" s="291"/>
      <c r="C53" s="558"/>
      <c r="D53" s="559"/>
      <c r="E53" s="558"/>
      <c r="F53" s="559"/>
    </row>
    <row r="54" spans="1:10" ht="24.95" customHeight="1">
      <c r="A54" s="1111" t="s">
        <v>329</v>
      </c>
      <c r="B54" s="1036">
        <v>0</v>
      </c>
      <c r="C54" s="829"/>
      <c r="D54" s="830"/>
      <c r="E54" s="829"/>
      <c r="F54" s="830"/>
    </row>
    <row r="55" spans="1:10" ht="24.95" customHeight="1">
      <c r="A55" s="1037"/>
      <c r="B55" s="1020">
        <v>0</v>
      </c>
      <c r="C55" s="831"/>
      <c r="D55" s="832"/>
      <c r="E55" s="831"/>
      <c r="F55" s="832"/>
      <c r="J55" s="92"/>
    </row>
    <row r="56" spans="1:10" ht="24.95" customHeight="1">
      <c r="A56" s="1037"/>
      <c r="B56" s="1020">
        <v>0</v>
      </c>
      <c r="C56" s="831"/>
      <c r="D56" s="832"/>
      <c r="E56" s="831"/>
      <c r="F56" s="832"/>
    </row>
    <row r="57" spans="1:10" ht="24.95" customHeight="1">
      <c r="A57" s="1037"/>
      <c r="B57" s="1020">
        <v>0</v>
      </c>
      <c r="C57" s="831"/>
      <c r="D57" s="832"/>
      <c r="E57" s="831"/>
      <c r="F57" s="832"/>
    </row>
    <row r="58" spans="1:10" ht="24.95" customHeight="1">
      <c r="A58" s="1037"/>
      <c r="B58" s="1020">
        <v>0</v>
      </c>
      <c r="C58" s="831"/>
      <c r="D58" s="832"/>
      <c r="E58" s="831"/>
      <c r="F58" s="832"/>
    </row>
    <row r="59" spans="1:10" ht="24.95" customHeight="1" thickBot="1">
      <c r="A59" s="1038"/>
      <c r="B59" s="1039">
        <v>0</v>
      </c>
      <c r="C59" s="833"/>
      <c r="D59" s="834"/>
      <c r="E59" s="835"/>
      <c r="F59" s="836"/>
    </row>
    <row r="60" spans="1:10" ht="24.95" customHeight="1" thickBot="1">
      <c r="A60" s="292" t="s">
        <v>330</v>
      </c>
      <c r="B60" s="293">
        <f>SUM(B54:B59)</f>
        <v>0</v>
      </c>
      <c r="C60" s="837"/>
      <c r="D60" s="838"/>
      <c r="E60" s="837"/>
      <c r="F60" s="838"/>
    </row>
    <row r="61" spans="1:10" ht="24.95" customHeight="1" thickBot="1">
      <c r="A61" s="294"/>
      <c r="B61" s="294"/>
      <c r="C61" s="560"/>
      <c r="D61" s="561"/>
      <c r="E61" s="560"/>
      <c r="F61" s="561"/>
    </row>
    <row r="62" spans="1:10" ht="24.95" customHeight="1" thickBot="1">
      <c r="A62" s="295" t="s">
        <v>185</v>
      </c>
      <c r="B62" s="291"/>
      <c r="C62" s="558"/>
      <c r="D62" s="559"/>
      <c r="E62" s="558"/>
      <c r="F62" s="559"/>
    </row>
    <row r="63" spans="1:10" ht="24.95" customHeight="1">
      <c r="A63" s="1111" t="s">
        <v>331</v>
      </c>
      <c r="B63" s="1112">
        <v>100000</v>
      </c>
      <c r="C63" s="829"/>
      <c r="D63" s="830" t="s">
        <v>332</v>
      </c>
      <c r="E63" s="829"/>
      <c r="F63" s="830" t="s">
        <v>333</v>
      </c>
    </row>
    <row r="64" spans="1:10" ht="24.95" customHeight="1">
      <c r="A64" s="1037"/>
      <c r="B64" s="1020">
        <v>0</v>
      </c>
      <c r="C64" s="831"/>
      <c r="D64" s="832"/>
      <c r="E64" s="831"/>
      <c r="F64" s="832"/>
    </row>
    <row r="65" spans="1:6" ht="24.95" customHeight="1">
      <c r="A65" s="1037"/>
      <c r="B65" s="1020">
        <v>0</v>
      </c>
      <c r="C65" s="831"/>
      <c r="D65" s="832"/>
      <c r="E65" s="831"/>
      <c r="F65" s="832"/>
    </row>
    <row r="66" spans="1:6" ht="24.95" customHeight="1">
      <c r="A66" s="1037"/>
      <c r="B66" s="1020">
        <v>0</v>
      </c>
      <c r="C66" s="831"/>
      <c r="D66" s="832"/>
      <c r="E66" s="831"/>
      <c r="F66" s="832"/>
    </row>
    <row r="67" spans="1:6" ht="24.95" customHeight="1">
      <c r="A67" s="1037"/>
      <c r="B67" s="1020">
        <v>0</v>
      </c>
      <c r="C67" s="831"/>
      <c r="D67" s="832"/>
      <c r="E67" s="831"/>
      <c r="F67" s="832"/>
    </row>
    <row r="68" spans="1:6" ht="24.95" customHeight="1" thickBot="1">
      <c r="A68" s="1038"/>
      <c r="B68" s="1039">
        <v>0</v>
      </c>
      <c r="C68" s="835"/>
      <c r="D68" s="836"/>
      <c r="E68" s="835"/>
      <c r="F68" s="836"/>
    </row>
    <row r="69" spans="1:6" ht="24.95" customHeight="1" thickBot="1">
      <c r="A69" s="292" t="s">
        <v>334</v>
      </c>
      <c r="B69" s="293">
        <f>SUM(B63:B68)</f>
        <v>100000</v>
      </c>
      <c r="C69" s="839"/>
      <c r="D69" s="840"/>
      <c r="E69" s="839"/>
      <c r="F69" s="840"/>
    </row>
    <row r="70" spans="1:6" ht="24.95" customHeight="1" thickBot="1">
      <c r="A70" s="292" t="s">
        <v>335</v>
      </c>
      <c r="B70" s="293">
        <f>+B69+B60</f>
        <v>100000</v>
      </c>
      <c r="C70" s="839"/>
      <c r="D70" s="840"/>
      <c r="E70" s="841"/>
      <c r="F70" s="842"/>
    </row>
    <row r="71" spans="1:6" ht="24.95" customHeight="1"/>
    <row r="72" spans="1:6" ht="20.100000000000001"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aOnLGf25XTc04JCM2QLXiBMTCtwIZQRPIvOZoPAJURWcxLE6g2feaVBG7dXftSlGxoGE6dYWZAK5xrKX8YsXgw==" saltValue="mAncZoWrz4m5/cSIryfkZw=="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 right="0" top="0" bottom="0" header="0" footer="0"/>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3"/>
  <sheetViews>
    <sheetView showGridLines="0" zoomScale="60" zoomScaleNormal="60" zoomScaleSheetLayoutView="70" zoomScalePageLayoutView="60" workbookViewId="0"/>
  </sheetViews>
  <sheetFormatPr defaultColWidth="9.140625" defaultRowHeight="12.75"/>
  <cols>
    <col min="1" max="1" width="31.28515625" style="180" customWidth="1"/>
    <col min="2" max="2" width="100.42578125" style="180" customWidth="1"/>
    <col min="3" max="3" width="18.7109375" style="180" customWidth="1"/>
    <col min="4" max="4" width="25.7109375" style="180" customWidth="1"/>
    <col min="5" max="5" width="21.42578125" style="180" customWidth="1"/>
    <col min="6" max="6" width="6.85546875" style="180" customWidth="1"/>
    <col min="7" max="7" width="9.140625" style="180"/>
    <col min="8" max="8" width="59" style="180" customWidth="1"/>
    <col min="9" max="9" width="13.7109375" style="180" customWidth="1"/>
    <col min="10" max="10" width="12.7109375" style="180" bestFit="1" customWidth="1"/>
    <col min="11" max="11" width="14" style="180" customWidth="1"/>
    <col min="12" max="28" width="12.7109375" style="180" customWidth="1"/>
    <col min="29" max="29" width="11" style="180" customWidth="1"/>
    <col min="30" max="30" width="12.7109375" style="180" customWidth="1"/>
    <col min="31" max="31" width="12.42578125" style="180" customWidth="1"/>
    <col min="32" max="32" width="11.42578125" style="180" customWidth="1"/>
    <col min="33" max="33" width="2.28515625" style="180" customWidth="1"/>
    <col min="34" max="34" width="20.140625" style="180" customWidth="1"/>
    <col min="35" max="35" width="6" style="180" customWidth="1"/>
    <col min="36" max="36" width="14.42578125" style="180" customWidth="1"/>
    <col min="37" max="37" width="13.7109375" style="180" customWidth="1"/>
    <col min="38" max="38" width="2.140625" style="180" customWidth="1"/>
    <col min="39" max="40" width="9.140625" style="180"/>
    <col min="41" max="41" width="11.28515625" style="180" customWidth="1"/>
    <col min="42" max="42" width="11.42578125" style="180" customWidth="1"/>
    <col min="43" max="43" width="11" style="180" customWidth="1"/>
    <col min="44" max="44" width="11.140625" style="180" customWidth="1"/>
    <col min="45" max="16384" width="9.140625" style="180"/>
  </cols>
  <sheetData>
    <row r="1" spans="1:47" s="17" customFormat="1" ht="24" customHeight="1">
      <c r="A1" s="286"/>
      <c r="B1" s="286"/>
      <c r="C1" s="286"/>
      <c r="D1" s="286"/>
      <c r="E1" s="336" t="s">
        <v>336</v>
      </c>
      <c r="F1" s="286"/>
    </row>
    <row r="2" spans="1:47" s="17" customFormat="1" ht="24" customHeight="1">
      <c r="A2" s="286"/>
      <c r="B2" s="286"/>
      <c r="C2" s="286"/>
      <c r="D2" s="286"/>
      <c r="E2" s="286"/>
      <c r="F2" s="286"/>
    </row>
    <row r="3" spans="1:47" s="17" customFormat="1" ht="24" customHeight="1">
      <c r="A3" s="773" t="s">
        <v>10</v>
      </c>
      <c r="B3" s="773"/>
      <c r="C3" s="773"/>
      <c r="D3" s="773"/>
      <c r="E3" s="773"/>
      <c r="F3" s="286"/>
    </row>
    <row r="4" spans="1:47" s="17" customFormat="1" ht="23.45" customHeight="1">
      <c r="A4" s="773" t="s">
        <v>337</v>
      </c>
      <c r="B4" s="773"/>
      <c r="C4" s="773"/>
      <c r="D4" s="773"/>
      <c r="E4" s="773"/>
      <c r="F4" s="286"/>
    </row>
    <row r="5" spans="1:47" s="17" customFormat="1" ht="23.1" customHeight="1">
      <c r="A5" s="773"/>
      <c r="B5" s="773"/>
      <c r="C5" s="773"/>
      <c r="D5" s="773"/>
      <c r="E5" s="773"/>
      <c r="F5" s="286"/>
    </row>
    <row r="6" spans="1:47" s="17" customFormat="1" ht="24.95" customHeight="1">
      <c r="A6" s="775"/>
      <c r="B6" s="775"/>
      <c r="C6" s="775"/>
      <c r="D6" s="775"/>
      <c r="E6" s="775"/>
      <c r="F6" s="286"/>
    </row>
    <row r="7" spans="1:47" s="17" customFormat="1" ht="24.95" customHeight="1" thickBot="1">
      <c r="A7" s="773" t="s">
        <v>283</v>
      </c>
      <c r="B7" s="776" t="str">
        <f>'CHECK SHEET'!D7</f>
        <v>South Florida State College</v>
      </c>
      <c r="C7" s="776"/>
      <c r="D7" s="776"/>
      <c r="E7" s="776"/>
      <c r="F7" s="709"/>
    </row>
    <row r="8" spans="1:47" s="17" customFormat="1" ht="24.95" customHeight="1">
      <c r="A8" s="783"/>
      <c r="B8" s="783"/>
      <c r="C8" s="783"/>
      <c r="D8" s="783"/>
      <c r="E8" s="783"/>
    </row>
    <row r="9" spans="1:47" s="17" customFormat="1" ht="24.95" customHeight="1">
      <c r="A9" s="784"/>
      <c r="B9" s="784"/>
      <c r="C9" s="784"/>
      <c r="D9" s="784"/>
      <c r="E9" s="784"/>
    </row>
    <row r="10" spans="1:47" s="17" customFormat="1" ht="42.6" customHeight="1">
      <c r="A10" s="785" t="s">
        <v>338</v>
      </c>
      <c r="B10" s="785"/>
      <c r="C10" s="785"/>
      <c r="D10" s="785"/>
      <c r="E10" s="785"/>
    </row>
    <row r="11" spans="1:47" ht="24.95" customHeight="1" thickBot="1">
      <c r="A11" s="179"/>
      <c r="B11" s="179"/>
      <c r="C11" s="179"/>
      <c r="D11" s="179"/>
      <c r="E11" s="179"/>
      <c r="AT11" s="179"/>
      <c r="AU11" s="179"/>
    </row>
    <row r="12" spans="1:47" ht="78" customHeight="1" thickBot="1">
      <c r="A12" s="419" t="s">
        <v>339</v>
      </c>
      <c r="B12" s="419" t="s">
        <v>286</v>
      </c>
      <c r="C12" s="420" t="s">
        <v>340</v>
      </c>
      <c r="D12" s="420" t="s">
        <v>341</v>
      </c>
      <c r="E12" s="420" t="s">
        <v>342</v>
      </c>
    </row>
    <row r="13" spans="1:47" ht="24" customHeight="1">
      <c r="A13" s="421" t="s">
        <v>263</v>
      </c>
      <c r="B13" s="421" t="s">
        <v>293</v>
      </c>
      <c r="C13" s="422">
        <v>40101</v>
      </c>
      <c r="D13" s="562">
        <v>0</v>
      </c>
      <c r="E13" s="562">
        <v>0</v>
      </c>
    </row>
    <row r="14" spans="1:47" ht="24.95" customHeight="1">
      <c r="A14" s="1040" t="s">
        <v>263</v>
      </c>
      <c r="B14" s="1040" t="s">
        <v>170</v>
      </c>
      <c r="C14" s="1041" t="s">
        <v>294</v>
      </c>
      <c r="D14" s="444">
        <v>0</v>
      </c>
      <c r="E14" s="444">
        <v>0</v>
      </c>
    </row>
    <row r="15" spans="1:47" ht="24.95" customHeight="1">
      <c r="A15" s="1040" t="s">
        <v>263</v>
      </c>
      <c r="B15" s="1040" t="s">
        <v>171</v>
      </c>
      <c r="C15" s="1041" t="s">
        <v>295</v>
      </c>
      <c r="D15" s="444">
        <v>0</v>
      </c>
      <c r="E15" s="444">
        <v>0</v>
      </c>
    </row>
    <row r="16" spans="1:47" ht="24.95" customHeight="1">
      <c r="A16" s="1040" t="s">
        <v>263</v>
      </c>
      <c r="B16" s="1040" t="s">
        <v>172</v>
      </c>
      <c r="C16" s="1041" t="s">
        <v>296</v>
      </c>
      <c r="D16" s="444">
        <v>0</v>
      </c>
      <c r="E16" s="444">
        <v>0</v>
      </c>
    </row>
    <row r="17" spans="1:5" ht="24.95" customHeight="1">
      <c r="A17" s="1040" t="s">
        <v>263</v>
      </c>
      <c r="B17" s="1040" t="s">
        <v>173</v>
      </c>
      <c r="C17" s="1041" t="s">
        <v>297</v>
      </c>
      <c r="D17" s="445">
        <v>0</v>
      </c>
      <c r="E17" s="445">
        <v>0</v>
      </c>
    </row>
    <row r="18" spans="1:5" ht="24.95" customHeight="1" thickBot="1">
      <c r="A18" s="1040" t="s">
        <v>263</v>
      </c>
      <c r="B18" s="1040" t="s">
        <v>174</v>
      </c>
      <c r="C18" s="1041">
        <v>40160</v>
      </c>
      <c r="D18" s="446">
        <v>0</v>
      </c>
      <c r="E18" s="446">
        <v>0</v>
      </c>
    </row>
    <row r="19" spans="1:5" ht="24.95" customHeight="1" thickBot="1">
      <c r="A19" s="423"/>
      <c r="B19" s="488"/>
      <c r="C19" s="489"/>
      <c r="D19" s="843"/>
      <c r="E19" s="844"/>
    </row>
    <row r="20" spans="1:5" ht="24.95" customHeight="1" thickBot="1">
      <c r="A20" s="1042"/>
      <c r="B20" s="1042" t="s">
        <v>298</v>
      </c>
      <c r="C20" s="1042"/>
      <c r="D20" s="1042"/>
      <c r="E20" s="1043">
        <f>SUM(E13:E18)</f>
        <v>0</v>
      </c>
    </row>
    <row r="21" spans="1:5" ht="78" customHeight="1" thickBot="1">
      <c r="A21" s="419" t="s">
        <v>339</v>
      </c>
      <c r="B21" s="419" t="s">
        <v>286</v>
      </c>
      <c r="C21" s="420" t="s">
        <v>340</v>
      </c>
      <c r="D21" s="420" t="s">
        <v>343</v>
      </c>
      <c r="E21" s="420" t="s">
        <v>342</v>
      </c>
    </row>
    <row r="22" spans="1:5" s="177" customFormat="1" ht="24.95" customHeight="1">
      <c r="A22" s="563" t="s">
        <v>278</v>
      </c>
      <c r="B22" s="177" t="s">
        <v>293</v>
      </c>
      <c r="C22" s="490">
        <v>40301</v>
      </c>
      <c r="D22" s="562">
        <v>0</v>
      </c>
      <c r="E22" s="562">
        <v>0</v>
      </c>
    </row>
    <row r="23" spans="1:5" s="177" customFormat="1" ht="24.95" customHeight="1">
      <c r="A23" s="1040" t="s">
        <v>278</v>
      </c>
      <c r="B23" s="603" t="s">
        <v>170</v>
      </c>
      <c r="C23" s="1044" t="s">
        <v>301</v>
      </c>
      <c r="D23" s="1045">
        <v>0</v>
      </c>
      <c r="E23" s="1045">
        <v>0</v>
      </c>
    </row>
    <row r="24" spans="1:5" s="177" customFormat="1" ht="24.95" customHeight="1">
      <c r="A24" s="1040" t="s">
        <v>278</v>
      </c>
      <c r="B24" s="603" t="s">
        <v>171</v>
      </c>
      <c r="C24" s="1044" t="s">
        <v>302</v>
      </c>
      <c r="D24" s="1045">
        <v>0</v>
      </c>
      <c r="E24" s="1045">
        <v>0</v>
      </c>
    </row>
    <row r="25" spans="1:5" s="177" customFormat="1" ht="24.95" customHeight="1">
      <c r="A25" s="1040" t="s">
        <v>278</v>
      </c>
      <c r="B25" s="603" t="s">
        <v>172</v>
      </c>
      <c r="C25" s="1044" t="s">
        <v>303</v>
      </c>
      <c r="D25" s="1045">
        <v>0</v>
      </c>
      <c r="E25" s="1045">
        <v>0</v>
      </c>
    </row>
    <row r="26" spans="1:5" s="177" customFormat="1" ht="24.95" customHeight="1">
      <c r="A26" s="1040" t="s">
        <v>278</v>
      </c>
      <c r="B26" s="603" t="s">
        <v>173</v>
      </c>
      <c r="C26" s="1044" t="s">
        <v>304</v>
      </c>
      <c r="D26" s="1045">
        <v>0</v>
      </c>
      <c r="E26" s="1045">
        <v>0</v>
      </c>
    </row>
    <row r="27" spans="1:5" s="177" customFormat="1" ht="24.95" customHeight="1" thickBot="1">
      <c r="A27" s="370" t="s">
        <v>278</v>
      </c>
      <c r="B27" s="177" t="s">
        <v>174</v>
      </c>
      <c r="C27" s="424">
        <v>40360</v>
      </c>
      <c r="D27" s="446">
        <v>0</v>
      </c>
      <c r="E27" s="447">
        <v>0</v>
      </c>
    </row>
    <row r="28" spans="1:5" ht="24.95" customHeight="1" thickBot="1">
      <c r="A28" s="491"/>
      <c r="B28" s="492"/>
      <c r="C28" s="491"/>
      <c r="D28" s="425"/>
      <c r="E28" s="493"/>
    </row>
    <row r="29" spans="1:5" ht="24.95" customHeight="1" thickBot="1">
      <c r="A29" s="564"/>
      <c r="B29" s="494" t="s">
        <v>298</v>
      </c>
      <c r="C29" s="426"/>
      <c r="D29" s="426"/>
      <c r="E29" s="495">
        <f>SUM(E22:E27)</f>
        <v>0</v>
      </c>
    </row>
    <row r="30" spans="1:5" ht="24.95" customHeight="1" thickBot="1">
      <c r="A30" s="426" t="s">
        <v>344</v>
      </c>
      <c r="B30" s="427"/>
      <c r="C30" s="428"/>
      <c r="D30" s="428"/>
      <c r="E30" s="429">
        <f>E20+E29</f>
        <v>0</v>
      </c>
    </row>
    <row r="31" spans="1:5" ht="24.95" customHeight="1">
      <c r="A31" s="179"/>
      <c r="B31" s="179"/>
      <c r="C31" s="179"/>
      <c r="D31" s="179"/>
      <c r="E31" s="179"/>
    </row>
    <row r="32" spans="1:5" ht="24.95" customHeight="1" thickBot="1">
      <c r="A32" s="16" t="s">
        <v>345</v>
      </c>
      <c r="B32" s="179"/>
      <c r="C32" s="179"/>
      <c r="D32" s="179"/>
      <c r="E32" s="179"/>
    </row>
    <row r="33" spans="1:5" ht="24.95" customHeight="1">
      <c r="A33" s="714"/>
      <c r="B33" s="715"/>
      <c r="C33" s="715"/>
      <c r="D33" s="715"/>
      <c r="E33" s="716"/>
    </row>
    <row r="34" spans="1:5" ht="24.95" customHeight="1">
      <c r="A34" s="717"/>
      <c r="B34" s="718"/>
      <c r="C34" s="718"/>
      <c r="D34" s="718"/>
      <c r="E34" s="719"/>
    </row>
    <row r="35" spans="1:5" ht="24.95" customHeight="1">
      <c r="A35" s="717"/>
      <c r="B35" s="718"/>
      <c r="C35" s="718"/>
      <c r="D35" s="718"/>
      <c r="E35" s="719"/>
    </row>
    <row r="36" spans="1:5" ht="24.95" customHeight="1">
      <c r="A36" s="717"/>
      <c r="B36" s="718"/>
      <c r="C36" s="718"/>
      <c r="D36" s="718"/>
      <c r="E36" s="719"/>
    </row>
    <row r="37" spans="1:5" ht="24.95" customHeight="1" thickBot="1">
      <c r="A37" s="720"/>
      <c r="B37" s="721"/>
      <c r="C37" s="721"/>
      <c r="D37" s="721"/>
      <c r="E37" s="722"/>
    </row>
    <row r="38" spans="1:5" ht="20.25" customHeight="1">
      <c r="A38" s="179"/>
      <c r="B38" s="179"/>
      <c r="C38" s="179"/>
      <c r="D38" s="179"/>
      <c r="E38" s="179"/>
    </row>
    <row r="39" spans="1:5" ht="20.25" customHeight="1"/>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430"/>
      <c r="AI59" s="430"/>
    </row>
    <row r="60" spans="34:35" ht="20.25" customHeight="1">
      <c r="AH60" s="430"/>
      <c r="AI60" s="430"/>
    </row>
    <row r="61" spans="34:35" ht="20.25" customHeight="1">
      <c r="AH61" s="430"/>
    </row>
    <row r="62" spans="34:35" ht="20.25" customHeight="1"/>
    <row r="63" spans="34:35" ht="20.25" customHeight="1">
      <c r="AH63" s="430"/>
      <c r="AI63" s="430"/>
    </row>
    <row r="64" spans="34:35" ht="20.25" customHeight="1">
      <c r="AH64" s="430"/>
      <c r="AI64" s="430"/>
    </row>
    <row r="65" spans="1:35" ht="20.25" customHeight="1">
      <c r="A65" s="179"/>
      <c r="B65" s="179"/>
      <c r="C65" s="179"/>
      <c r="D65" s="179"/>
      <c r="E65" s="179"/>
      <c r="AH65" s="430"/>
      <c r="AI65" s="430"/>
    </row>
    <row r="66" spans="1:35" ht="20.25" customHeight="1">
      <c r="A66" s="179"/>
      <c r="B66" s="179"/>
      <c r="C66" s="179"/>
      <c r="D66" s="179"/>
      <c r="E66" s="179"/>
    </row>
    <row r="67" spans="1:35" ht="20.25" customHeight="1">
      <c r="A67" s="179"/>
      <c r="B67" s="179"/>
      <c r="C67" s="179"/>
      <c r="D67" s="179"/>
      <c r="E67" s="179"/>
      <c r="AH67" s="430"/>
    </row>
    <row r="68" spans="1:35" ht="20.25" customHeight="1">
      <c r="A68" s="179"/>
      <c r="B68" s="179"/>
      <c r="C68" s="179"/>
      <c r="D68" s="179"/>
      <c r="E68" s="179"/>
      <c r="AH68" s="430"/>
      <c r="AI68" s="430"/>
    </row>
    <row r="69" spans="1:35" ht="20.25" customHeight="1">
      <c r="AH69" s="430"/>
      <c r="AI69" s="430"/>
    </row>
    <row r="70" spans="1:35" ht="20.25" customHeight="1">
      <c r="AH70" s="430"/>
    </row>
    <row r="71" spans="1:35" ht="20.25" customHeight="1">
      <c r="AH71" s="430"/>
    </row>
    <row r="72" spans="1:35" ht="20.25" customHeight="1">
      <c r="AH72" s="430"/>
    </row>
    <row r="73" spans="1:35" ht="20.25" customHeight="1">
      <c r="AH73" s="430"/>
      <c r="AI73" s="430"/>
    </row>
    <row r="74" spans="1:35" ht="20.25" customHeight="1"/>
    <row r="75" spans="1:35" ht="20.25" customHeight="1">
      <c r="AH75" s="430"/>
    </row>
    <row r="76" spans="1:35" ht="20.25" customHeight="1">
      <c r="AH76" s="430"/>
      <c r="AI76" s="430"/>
    </row>
    <row r="77" spans="1:35" ht="20.25" customHeight="1">
      <c r="AH77" s="430"/>
      <c r="AI77" s="430"/>
    </row>
    <row r="78" spans="1:35" ht="20.25" customHeight="1">
      <c r="AH78" s="430"/>
      <c r="AI78" s="430"/>
    </row>
    <row r="79" spans="1:35" ht="20.25" customHeight="1">
      <c r="AH79" s="430"/>
      <c r="AI79" s="430"/>
    </row>
    <row r="80" spans="1:35" ht="20.25" customHeight="1">
      <c r="AH80" s="430"/>
    </row>
    <row r="81" spans="3:35" ht="20.25" customHeight="1">
      <c r="AH81" s="430"/>
      <c r="AI81" s="430"/>
    </row>
    <row r="82" spans="3:35" ht="20.25" customHeight="1">
      <c r="AH82" s="430"/>
      <c r="AI82" s="430"/>
    </row>
    <row r="83" spans="3:35" ht="20.25" customHeight="1">
      <c r="AH83" s="430"/>
      <c r="AI83" s="430"/>
    </row>
    <row r="84" spans="3:35" ht="20.25" customHeight="1"/>
    <row r="85" spans="3:35" ht="20.25" customHeight="1">
      <c r="AH85" s="430"/>
      <c r="AI85" s="430"/>
    </row>
    <row r="86" spans="3:35" ht="18" customHeight="1">
      <c r="AH86" s="430"/>
      <c r="AI86" s="430"/>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180">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theme="3" tint="0.79998168889431442"/>
  </sheetPr>
  <dimension ref="A1:L269"/>
  <sheetViews>
    <sheetView showGridLines="0" zoomScale="70" zoomScaleNormal="70" zoomScaleSheetLayoutView="70" zoomScalePageLayoutView="70" workbookViewId="0"/>
  </sheetViews>
  <sheetFormatPr defaultColWidth="9.140625" defaultRowHeight="18.75"/>
  <cols>
    <col min="1" max="1" width="57" style="177" customWidth="1"/>
    <col min="2" max="2" width="1.42578125" style="177" customWidth="1"/>
    <col min="3" max="3" width="21.28515625" style="177" customWidth="1"/>
    <col min="4" max="4" width="9.140625" style="177"/>
    <col min="5" max="5" width="49.42578125" style="177" customWidth="1"/>
    <col min="6" max="6" width="17" style="177" customWidth="1"/>
    <col min="7" max="7" width="25.42578125" style="177" customWidth="1"/>
    <col min="8" max="8" width="1.85546875" style="177" customWidth="1"/>
    <col min="9" max="9" width="11.7109375" style="177" bestFit="1" customWidth="1"/>
    <col min="10" max="10" width="15.42578125" style="177" bestFit="1" customWidth="1"/>
    <col min="11" max="16384" width="9.140625" style="177"/>
  </cols>
  <sheetData>
    <row r="1" spans="1:8" ht="26.25">
      <c r="A1" s="786"/>
      <c r="B1" s="786"/>
      <c r="C1" s="786"/>
      <c r="D1" s="786"/>
      <c r="E1" s="786"/>
      <c r="F1" s="786"/>
      <c r="G1" s="787"/>
    </row>
    <row r="2" spans="1:8" ht="30" customHeight="1" thickBot="1">
      <c r="A2" s="787" t="s">
        <v>231</v>
      </c>
      <c r="B2" s="776" t="str">
        <f>'CHECK SHEET'!D7</f>
        <v>South Florida State College</v>
      </c>
      <c r="C2" s="776"/>
      <c r="D2" s="776"/>
      <c r="E2" s="776"/>
      <c r="F2" s="776"/>
      <c r="G2" s="788"/>
    </row>
    <row r="3" spans="1:8" ht="23.1" customHeight="1">
      <c r="A3" s="773" t="s">
        <v>349</v>
      </c>
      <c r="B3" s="773"/>
      <c r="C3" s="773"/>
      <c r="D3" s="773"/>
      <c r="E3" s="773"/>
      <c r="F3" s="773"/>
      <c r="G3" s="773"/>
    </row>
    <row r="4" spans="1:8" ht="23.45" customHeight="1">
      <c r="A4" s="773" t="s">
        <v>350</v>
      </c>
      <c r="B4" s="773"/>
      <c r="C4" s="773"/>
      <c r="D4" s="773"/>
      <c r="E4" s="773"/>
      <c r="F4" s="773"/>
      <c r="G4" s="773"/>
    </row>
    <row r="5" spans="1:8" ht="23.45" customHeight="1">
      <c r="A5" s="773" t="s">
        <v>351</v>
      </c>
      <c r="B5" s="773"/>
      <c r="C5" s="773"/>
      <c r="D5" s="773"/>
      <c r="E5" s="773"/>
      <c r="F5" s="773"/>
      <c r="G5" s="773"/>
    </row>
    <row r="6" spans="1:8" ht="20.100000000000001" customHeight="1">
      <c r="A6" s="789"/>
      <c r="B6" s="789"/>
      <c r="C6" s="789"/>
      <c r="D6" s="789"/>
      <c r="E6" s="789"/>
      <c r="F6" s="789"/>
      <c r="G6" s="789"/>
    </row>
    <row r="7" spans="1:8" ht="38.450000000000003" customHeight="1">
      <c r="A7" s="790" t="s">
        <v>352</v>
      </c>
      <c r="B7" s="790"/>
      <c r="C7" s="790"/>
      <c r="D7" s="790"/>
      <c r="E7" s="790"/>
      <c r="F7" s="790"/>
      <c r="G7" s="790"/>
      <c r="H7" s="183"/>
    </row>
    <row r="8" spans="1:8" ht="20.100000000000001" customHeight="1">
      <c r="A8" s="182"/>
      <c r="B8" s="182"/>
      <c r="C8" s="182"/>
      <c r="D8" s="182"/>
      <c r="E8" s="182"/>
      <c r="F8" s="182"/>
      <c r="G8" s="182"/>
      <c r="H8" s="183"/>
    </row>
    <row r="9" spans="1:8" ht="76.349999999999994" customHeight="1">
      <c r="A9" s="516" t="s">
        <v>353</v>
      </c>
      <c r="B9" s="517" t="s">
        <v>354</v>
      </c>
      <c r="C9" s="517"/>
      <c r="D9" s="517"/>
      <c r="E9" s="517"/>
      <c r="F9" s="518" t="s">
        <v>340</v>
      </c>
      <c r="G9" s="519" t="s">
        <v>355</v>
      </c>
    </row>
    <row r="10" spans="1:8" ht="20.100000000000001" customHeight="1">
      <c r="A10" s="535" t="s">
        <v>285</v>
      </c>
      <c r="B10" s="536"/>
      <c r="C10" s="536"/>
      <c r="D10" s="536"/>
      <c r="E10" s="536"/>
      <c r="F10" s="537"/>
      <c r="G10" s="538"/>
    </row>
    <row r="11" spans="1:8" ht="20.100000000000001" customHeight="1">
      <c r="A11" s="499"/>
      <c r="B11" s="184"/>
      <c r="C11" s="184"/>
      <c r="D11" s="184"/>
      <c r="E11" s="184"/>
      <c r="F11" s="185"/>
      <c r="G11" s="186"/>
    </row>
    <row r="12" spans="1:8" ht="20.100000000000001" customHeight="1">
      <c r="A12" s="499" t="s">
        <v>263</v>
      </c>
      <c r="B12" s="184"/>
      <c r="C12" s="184" t="s">
        <v>293</v>
      </c>
      <c r="D12" s="184"/>
      <c r="E12" s="184"/>
      <c r="F12" s="187">
        <v>40101</v>
      </c>
      <c r="G12" s="188">
        <f>+'EXHIBIT C'!H10+'EXHIBIT C(2)'!E13</f>
        <v>295564</v>
      </c>
    </row>
    <row r="13" spans="1:8" ht="20.100000000000001" customHeight="1">
      <c r="A13" s="499" t="s">
        <v>263</v>
      </c>
      <c r="B13" s="184"/>
      <c r="C13" s="177" t="s">
        <v>170</v>
      </c>
      <c r="D13" s="184"/>
      <c r="E13" s="184"/>
      <c r="F13" s="189" t="s">
        <v>294</v>
      </c>
      <c r="G13" s="188">
        <f>+'EXHIBIT C'!H11+'EXHIBIT C(2)'!E14</f>
        <v>2888011</v>
      </c>
    </row>
    <row r="14" spans="1:8" ht="20.100000000000001" customHeight="1">
      <c r="A14" s="499" t="s">
        <v>263</v>
      </c>
      <c r="B14" s="184"/>
      <c r="C14" s="184" t="s">
        <v>171</v>
      </c>
      <c r="D14" s="184"/>
      <c r="E14" s="184"/>
      <c r="F14" s="189" t="s">
        <v>295</v>
      </c>
      <c r="G14" s="520">
        <f>+'EXHIBIT C'!H12+'EXHIBIT C(2)'!E15</f>
        <v>1900</v>
      </c>
    </row>
    <row r="15" spans="1:8" ht="20.100000000000001" customHeight="1">
      <c r="A15" s="499" t="s">
        <v>263</v>
      </c>
      <c r="B15" s="184"/>
      <c r="C15" s="190" t="s">
        <v>356</v>
      </c>
      <c r="D15" s="184"/>
      <c r="E15" s="184"/>
      <c r="F15" s="189" t="s">
        <v>296</v>
      </c>
      <c r="G15" s="520">
        <f>+'EXHIBIT C'!H13+'EXHIBIT C(2)'!E16</f>
        <v>528109</v>
      </c>
    </row>
    <row r="16" spans="1:8" ht="20.100000000000001" customHeight="1">
      <c r="A16" s="499" t="s">
        <v>263</v>
      </c>
      <c r="B16" s="184"/>
      <c r="C16" s="190" t="s">
        <v>357</v>
      </c>
      <c r="D16" s="184"/>
      <c r="E16" s="184"/>
      <c r="F16" s="189" t="s">
        <v>297</v>
      </c>
      <c r="G16" s="521">
        <f>+'EXHIBIT C'!H14+'EXHIBIT C(2)'!E17</f>
        <v>30563</v>
      </c>
    </row>
    <row r="17" spans="1:7" ht="20.100000000000001" customHeight="1">
      <c r="A17" s="499" t="s">
        <v>263</v>
      </c>
      <c r="B17" s="184"/>
      <c r="C17" s="177" t="s">
        <v>174</v>
      </c>
      <c r="D17" s="184"/>
      <c r="E17" s="184"/>
      <c r="F17" s="187">
        <v>40160</v>
      </c>
      <c r="G17" s="521">
        <f>+'EXHIBIT C'!H15+'EXHIBIT C(2)'!E18</f>
        <v>0</v>
      </c>
    </row>
    <row r="18" spans="1:7" ht="20.100000000000001" customHeight="1">
      <c r="A18" s="499"/>
      <c r="B18" s="184"/>
      <c r="C18" s="184"/>
      <c r="D18" s="184"/>
      <c r="E18" s="184"/>
      <c r="F18" s="189"/>
      <c r="G18" s="191"/>
    </row>
    <row r="19" spans="1:7" ht="20.100000000000001" customHeight="1">
      <c r="A19" s="500" t="s">
        <v>358</v>
      </c>
      <c r="B19" s="184"/>
      <c r="C19" s="184"/>
      <c r="D19" s="184"/>
      <c r="E19" s="184"/>
      <c r="F19" s="189"/>
      <c r="G19" s="1046">
        <f>SUM(G12:G17)</f>
        <v>3744147</v>
      </c>
    </row>
    <row r="20" spans="1:7" ht="20.100000000000001" customHeight="1">
      <c r="A20" s="499"/>
      <c r="B20" s="184"/>
      <c r="C20" s="184"/>
      <c r="D20" s="184"/>
      <c r="E20" s="184"/>
      <c r="F20" s="189"/>
      <c r="G20" s="192"/>
    </row>
    <row r="21" spans="1:7" ht="20.100000000000001" customHeight="1">
      <c r="A21" s="499" t="s">
        <v>278</v>
      </c>
      <c r="B21" s="184"/>
      <c r="C21" s="184" t="s">
        <v>293</v>
      </c>
      <c r="D21" s="184"/>
      <c r="E21" s="184"/>
      <c r="F21" s="187">
        <v>40301</v>
      </c>
      <c r="G21" s="193">
        <f>+'EXHIBIT C'!F19+'EXHIBIT C(2)'!E22</f>
        <v>1101</v>
      </c>
    </row>
    <row r="22" spans="1:7" ht="20.100000000000001" customHeight="1">
      <c r="A22" s="499" t="s">
        <v>278</v>
      </c>
      <c r="B22" s="184"/>
      <c r="C22" s="177" t="s">
        <v>170</v>
      </c>
      <c r="D22" s="184"/>
      <c r="E22" s="184"/>
      <c r="F22" s="189" t="s">
        <v>301</v>
      </c>
      <c r="G22" s="193">
        <f>+'EXHIBIT C'!F20+'EXHIBIT C(2)'!E23</f>
        <v>95491</v>
      </c>
    </row>
    <row r="23" spans="1:7" ht="20.100000000000001" customHeight="1">
      <c r="A23" s="499" t="s">
        <v>278</v>
      </c>
      <c r="B23" s="184"/>
      <c r="C23" s="184" t="s">
        <v>171</v>
      </c>
      <c r="D23" s="184"/>
      <c r="E23" s="184"/>
      <c r="F23" s="189" t="s">
        <v>302</v>
      </c>
      <c r="G23" s="198">
        <f>+'EXHIBIT C'!F21+'EXHIBIT C(2)'!E24</f>
        <v>0</v>
      </c>
    </row>
    <row r="24" spans="1:7" ht="20.100000000000001" customHeight="1">
      <c r="A24" s="499" t="s">
        <v>278</v>
      </c>
      <c r="B24" s="184"/>
      <c r="C24" s="190" t="s">
        <v>356</v>
      </c>
      <c r="D24" s="184"/>
      <c r="E24" s="184"/>
      <c r="F24" s="189" t="s">
        <v>303</v>
      </c>
      <c r="G24" s="198">
        <f>+'EXHIBIT C'!F22+'EXHIBIT C(2)'!E25</f>
        <v>1537</v>
      </c>
    </row>
    <row r="25" spans="1:7" ht="20.100000000000001" customHeight="1">
      <c r="A25" s="499" t="s">
        <v>278</v>
      </c>
      <c r="B25" s="184"/>
      <c r="C25" s="190" t="s">
        <v>357</v>
      </c>
      <c r="D25" s="184"/>
      <c r="E25" s="184"/>
      <c r="F25" s="189" t="s">
        <v>304</v>
      </c>
      <c r="G25" s="198">
        <f>+'EXHIBIT C'!F23+'EXHIBIT C(2)'!E26</f>
        <v>3088</v>
      </c>
    </row>
    <row r="26" spans="1:7" ht="20.100000000000001" customHeight="1">
      <c r="A26" s="499" t="s">
        <v>278</v>
      </c>
      <c r="B26" s="184"/>
      <c r="C26" s="177" t="s">
        <v>174</v>
      </c>
      <c r="D26" s="184"/>
      <c r="E26" s="184"/>
      <c r="F26" s="187">
        <v>40360</v>
      </c>
      <c r="G26" s="198">
        <f>+'EXHIBIT C'!F24+'EXHIBIT C(2)'!E27</f>
        <v>0</v>
      </c>
    </row>
    <row r="27" spans="1:7" ht="20.100000000000001" customHeight="1">
      <c r="A27" s="499"/>
      <c r="B27" s="184"/>
      <c r="C27" s="184"/>
      <c r="D27" s="184"/>
      <c r="E27" s="184"/>
      <c r="F27" s="189"/>
      <c r="G27" s="194"/>
    </row>
    <row r="28" spans="1:7" ht="20.100000000000001" customHeight="1">
      <c r="A28" s="500" t="s">
        <v>359</v>
      </c>
      <c r="B28" s="184"/>
      <c r="C28" s="184"/>
      <c r="D28" s="184"/>
      <c r="E28" s="184"/>
      <c r="F28" s="189"/>
      <c r="G28" s="1047">
        <f>SUM(G21:G26)</f>
        <v>101217</v>
      </c>
    </row>
    <row r="29" spans="1:7" ht="20.100000000000001" customHeight="1">
      <c r="A29" s="499"/>
      <c r="B29" s="184"/>
      <c r="C29" s="184"/>
      <c r="D29" s="184"/>
      <c r="E29" s="184"/>
      <c r="F29" s="189"/>
      <c r="G29" s="195"/>
    </row>
    <row r="30" spans="1:7" ht="20.100000000000001" customHeight="1">
      <c r="A30" s="499" t="s">
        <v>360</v>
      </c>
      <c r="B30" s="184"/>
      <c r="C30" s="723" t="s">
        <v>312</v>
      </c>
      <c r="D30" s="723"/>
      <c r="E30" s="723"/>
      <c r="F30" s="189" t="s">
        <v>313</v>
      </c>
      <c r="G30" s="196">
        <f>'EXHIBIT C'!H32</f>
        <v>0</v>
      </c>
    </row>
    <row r="31" spans="1:7" ht="20.100000000000001" customHeight="1">
      <c r="A31" s="499" t="s">
        <v>360</v>
      </c>
      <c r="B31" s="184"/>
      <c r="C31" s="177" t="s">
        <v>314</v>
      </c>
      <c r="D31" s="184"/>
      <c r="E31" s="184"/>
      <c r="F31" s="189" t="s">
        <v>315</v>
      </c>
      <c r="G31" s="196">
        <f>'EXHIBIT C'!H33</f>
        <v>42779</v>
      </c>
    </row>
    <row r="32" spans="1:7" ht="20.100000000000001" customHeight="1">
      <c r="A32" s="499" t="s">
        <v>361</v>
      </c>
      <c r="B32" s="184"/>
      <c r="C32" s="184" t="s">
        <v>312</v>
      </c>
      <c r="D32" s="184"/>
      <c r="E32" s="184"/>
      <c r="F32" s="189" t="s">
        <v>313</v>
      </c>
      <c r="G32" s="196">
        <f>'EXHIBIT C'!H34</f>
        <v>0</v>
      </c>
    </row>
    <row r="33" spans="1:7" ht="20.100000000000001" customHeight="1">
      <c r="A33" s="499" t="s">
        <v>361</v>
      </c>
      <c r="B33" s="184"/>
      <c r="C33" s="177" t="s">
        <v>314</v>
      </c>
      <c r="D33" s="184"/>
      <c r="E33" s="184"/>
      <c r="F33" s="189" t="s">
        <v>315</v>
      </c>
      <c r="G33" s="196">
        <f>'EXHIBIT C'!H35</f>
        <v>0</v>
      </c>
    </row>
    <row r="34" spans="1:7" ht="20.100000000000001" customHeight="1">
      <c r="A34" s="499"/>
      <c r="B34" s="184"/>
      <c r="C34" s="184"/>
      <c r="D34" s="184"/>
      <c r="E34" s="184"/>
      <c r="F34" s="189"/>
      <c r="G34" s="197"/>
    </row>
    <row r="35" spans="1:7" ht="20.100000000000001" customHeight="1">
      <c r="A35" s="500" t="s">
        <v>362</v>
      </c>
      <c r="B35" s="184"/>
      <c r="C35" s="184"/>
      <c r="D35" s="184"/>
      <c r="E35" s="184"/>
      <c r="F35" s="189"/>
      <c r="G35" s="1047">
        <f>SUM(G30:G33)</f>
        <v>42779</v>
      </c>
    </row>
    <row r="36" spans="1:7" ht="20.100000000000001" customHeight="1">
      <c r="A36" s="499"/>
      <c r="B36" s="184"/>
      <c r="C36" s="184"/>
      <c r="D36" s="184"/>
      <c r="E36" s="184"/>
      <c r="F36" s="189"/>
      <c r="G36" s="194"/>
    </row>
    <row r="37" spans="1:7" ht="20.100000000000001" customHeight="1">
      <c r="A37" s="499" t="s">
        <v>363</v>
      </c>
      <c r="B37" s="184"/>
      <c r="C37" s="184" t="s">
        <v>312</v>
      </c>
      <c r="D37" s="184"/>
      <c r="E37" s="184"/>
      <c r="F37" s="189" t="s">
        <v>319</v>
      </c>
      <c r="G37" s="198">
        <f>'EXHIBIT C'!F39</f>
        <v>0</v>
      </c>
    </row>
    <row r="38" spans="1:7" ht="20.100000000000001" customHeight="1">
      <c r="A38" s="499" t="s">
        <v>363</v>
      </c>
      <c r="B38" s="184"/>
      <c r="C38" s="724" t="s">
        <v>314</v>
      </c>
      <c r="D38" s="724"/>
      <c r="E38" s="724"/>
      <c r="F38" s="189" t="s">
        <v>320</v>
      </c>
      <c r="G38" s="198">
        <f>'EXHIBIT C'!F40</f>
        <v>0</v>
      </c>
    </row>
    <row r="39" spans="1:7" ht="20.100000000000001" customHeight="1">
      <c r="A39" s="499" t="s">
        <v>364</v>
      </c>
      <c r="B39" s="184"/>
      <c r="C39" s="184" t="s">
        <v>312</v>
      </c>
      <c r="D39" s="184"/>
      <c r="E39" s="184"/>
      <c r="F39" s="189" t="s">
        <v>319</v>
      </c>
      <c r="G39" s="198">
        <f>'EXHIBIT C'!F41</f>
        <v>0</v>
      </c>
    </row>
    <row r="40" spans="1:7" ht="20.100000000000001" customHeight="1">
      <c r="A40" s="499" t="s">
        <v>364</v>
      </c>
      <c r="B40" s="184"/>
      <c r="C40" s="724" t="s">
        <v>314</v>
      </c>
      <c r="D40" s="724"/>
      <c r="E40" s="724"/>
      <c r="F40" s="189" t="s">
        <v>320</v>
      </c>
      <c r="G40" s="198">
        <f>'EXHIBIT C'!F42</f>
        <v>0</v>
      </c>
    </row>
    <row r="41" spans="1:7" ht="20.100000000000001" customHeight="1">
      <c r="A41" s="499"/>
      <c r="B41" s="184"/>
      <c r="C41" s="184"/>
      <c r="D41" s="184"/>
      <c r="E41" s="184"/>
      <c r="F41" s="189"/>
      <c r="G41" s="194"/>
    </row>
    <row r="42" spans="1:7" ht="20.100000000000001" customHeight="1">
      <c r="A42" s="500" t="s">
        <v>365</v>
      </c>
      <c r="B42" s="184"/>
      <c r="C42" s="184"/>
      <c r="D42" s="184"/>
      <c r="E42" s="184"/>
      <c r="F42" s="189"/>
      <c r="G42" s="1047">
        <f>SUM(G37:G41)</f>
        <v>0</v>
      </c>
    </row>
    <row r="43" spans="1:7" ht="20.100000000000001" customHeight="1">
      <c r="A43" s="499"/>
      <c r="B43" s="184"/>
      <c r="C43" s="184"/>
      <c r="D43" s="184"/>
      <c r="E43" s="184"/>
      <c r="F43" s="189"/>
      <c r="G43" s="195"/>
    </row>
    <row r="44" spans="1:7" ht="20.100000000000001" customHeight="1">
      <c r="A44" s="500" t="s">
        <v>366</v>
      </c>
      <c r="B44" s="184"/>
      <c r="C44" s="184"/>
      <c r="D44" s="184"/>
      <c r="E44" s="184"/>
      <c r="F44" s="189"/>
      <c r="G44" s="1113">
        <f>G19+G28+G35+G42</f>
        <v>3888143</v>
      </c>
    </row>
    <row r="45" spans="1:7" ht="20.100000000000001" customHeight="1">
      <c r="A45" s="499"/>
      <c r="B45" s="184"/>
      <c r="C45" s="184"/>
      <c r="D45" s="184"/>
      <c r="E45" s="184"/>
      <c r="F45" s="189"/>
      <c r="G45" s="194"/>
    </row>
    <row r="46" spans="1:7" ht="20.100000000000001" customHeight="1">
      <c r="A46" s="499" t="s">
        <v>367</v>
      </c>
      <c r="B46" s="184"/>
      <c r="C46" s="184"/>
      <c r="D46" s="184"/>
      <c r="E46" s="184"/>
      <c r="F46" s="189" t="s">
        <v>368</v>
      </c>
      <c r="G46" s="448">
        <v>0</v>
      </c>
    </row>
    <row r="47" spans="1:7" ht="20.100000000000001" customHeight="1">
      <c r="A47" s="499" t="s">
        <v>369</v>
      </c>
      <c r="B47" s="199"/>
      <c r="C47" s="199"/>
      <c r="D47" s="199"/>
      <c r="E47" s="199"/>
      <c r="F47" s="200" t="s">
        <v>370</v>
      </c>
      <c r="G47" s="448">
        <v>557834</v>
      </c>
    </row>
    <row r="48" spans="1:7" ht="20.100000000000001" customHeight="1">
      <c r="A48" s="499" t="s">
        <v>371</v>
      </c>
      <c r="C48" s="199"/>
      <c r="D48" s="199"/>
      <c r="E48" s="199"/>
      <c r="F48" s="200" t="s">
        <v>372</v>
      </c>
      <c r="G48" s="448">
        <v>0</v>
      </c>
    </row>
    <row r="49" spans="1:7" ht="20.100000000000001" customHeight="1">
      <c r="A49" s="499" t="s">
        <v>373</v>
      </c>
      <c r="B49" s="184"/>
      <c r="C49" s="184"/>
      <c r="D49" s="184"/>
      <c r="E49" s="184"/>
      <c r="F49" s="189" t="s">
        <v>374</v>
      </c>
      <c r="G49" s="448">
        <v>0</v>
      </c>
    </row>
    <row r="50" spans="1:7" ht="20.100000000000001" customHeight="1">
      <c r="A50" s="499" t="s">
        <v>375</v>
      </c>
      <c r="B50" s="184"/>
      <c r="C50" s="184"/>
      <c r="D50" s="184"/>
      <c r="E50" s="184"/>
      <c r="F50" s="189" t="s">
        <v>376</v>
      </c>
      <c r="G50" s="448">
        <v>495023</v>
      </c>
    </row>
    <row r="51" spans="1:7" ht="20.100000000000001" customHeight="1">
      <c r="A51" s="499" t="s">
        <v>377</v>
      </c>
      <c r="B51" s="184"/>
      <c r="C51" s="184"/>
      <c r="D51" s="184"/>
      <c r="E51" s="184"/>
      <c r="F51" s="187">
        <v>40450</v>
      </c>
      <c r="G51" s="448">
        <v>0</v>
      </c>
    </row>
    <row r="52" spans="1:7" ht="20.100000000000001" customHeight="1">
      <c r="A52" s="499" t="s">
        <v>378</v>
      </c>
      <c r="B52" s="184"/>
      <c r="C52" s="184"/>
      <c r="D52" s="184"/>
      <c r="E52" s="184"/>
      <c r="F52" s="189" t="s">
        <v>379</v>
      </c>
      <c r="G52" s="448">
        <v>0</v>
      </c>
    </row>
    <row r="53" spans="1:7" ht="20.100000000000001" customHeight="1">
      <c r="A53" s="499" t="s">
        <v>380</v>
      </c>
      <c r="B53" s="184"/>
      <c r="C53" s="184"/>
      <c r="D53" s="184"/>
      <c r="E53" s="184"/>
      <c r="F53" s="200" t="s">
        <v>381</v>
      </c>
      <c r="G53" s="448">
        <v>0</v>
      </c>
    </row>
    <row r="54" spans="1:7" ht="20.100000000000001" customHeight="1">
      <c r="A54" s="499" t="s">
        <v>382</v>
      </c>
      <c r="B54" s="184"/>
      <c r="C54" s="184"/>
      <c r="D54" s="184"/>
      <c r="E54" s="184"/>
      <c r="F54" s="189" t="s">
        <v>383</v>
      </c>
      <c r="G54" s="448">
        <v>0</v>
      </c>
    </row>
    <row r="55" spans="1:7" ht="20.100000000000001" customHeight="1">
      <c r="A55" s="499" t="s">
        <v>384</v>
      </c>
      <c r="B55" s="184"/>
      <c r="C55" s="184"/>
      <c r="D55" s="184"/>
      <c r="E55" s="184"/>
      <c r="F55" s="200" t="s">
        <v>385</v>
      </c>
      <c r="G55" s="448">
        <v>0</v>
      </c>
    </row>
    <row r="56" spans="1:7" ht="20.100000000000001" customHeight="1">
      <c r="A56" s="499" t="s">
        <v>386</v>
      </c>
      <c r="B56" s="184"/>
      <c r="C56" s="184"/>
      <c r="D56" s="184"/>
      <c r="E56" s="184"/>
      <c r="F56" s="189" t="s">
        <v>387</v>
      </c>
      <c r="G56" s="448">
        <v>0</v>
      </c>
    </row>
    <row r="57" spans="1:7" ht="20.100000000000001" customHeight="1">
      <c r="A57" s="499" t="s">
        <v>388</v>
      </c>
      <c r="B57" s="184"/>
      <c r="C57" s="184"/>
      <c r="D57" s="184"/>
      <c r="E57" s="184"/>
      <c r="F57" s="189" t="s">
        <v>389</v>
      </c>
      <c r="G57" s="448">
        <v>0</v>
      </c>
    </row>
    <row r="58" spans="1:7" ht="20.100000000000001" customHeight="1">
      <c r="A58" s="499" t="s">
        <v>390</v>
      </c>
      <c r="B58" s="184"/>
      <c r="C58" s="184"/>
      <c r="D58" s="184"/>
      <c r="E58" s="184"/>
      <c r="F58" s="201" t="s">
        <v>391</v>
      </c>
      <c r="G58" s="448">
        <v>192000</v>
      </c>
    </row>
    <row r="59" spans="1:7" ht="20.100000000000001" customHeight="1">
      <c r="A59" s="499" t="s">
        <v>392</v>
      </c>
      <c r="B59" s="184"/>
      <c r="C59" s="184"/>
      <c r="D59" s="184"/>
      <c r="E59" s="184"/>
      <c r="F59" s="189" t="s">
        <v>393</v>
      </c>
      <c r="G59" s="448">
        <v>69500</v>
      </c>
    </row>
    <row r="60" spans="1:7" ht="20.100000000000001" customHeight="1">
      <c r="A60" s="499" t="s">
        <v>394</v>
      </c>
      <c r="B60" s="184"/>
      <c r="C60" s="184"/>
      <c r="D60" s="184"/>
      <c r="E60" s="184"/>
      <c r="F60" s="200" t="s">
        <v>395</v>
      </c>
      <c r="G60" s="448">
        <v>0</v>
      </c>
    </row>
    <row r="61" spans="1:7" ht="20.100000000000001" customHeight="1">
      <c r="A61" s="499" t="s">
        <v>396</v>
      </c>
      <c r="B61" s="184"/>
      <c r="C61" s="184"/>
      <c r="D61" s="184"/>
      <c r="E61" s="184"/>
      <c r="F61" s="200" t="s">
        <v>397</v>
      </c>
      <c r="G61" s="448">
        <v>0</v>
      </c>
    </row>
    <row r="62" spans="1:7" ht="20.100000000000001" customHeight="1">
      <c r="A62" s="499"/>
      <c r="B62" s="184"/>
      <c r="C62" s="184"/>
      <c r="D62" s="184"/>
      <c r="E62" s="184"/>
      <c r="F62" s="189"/>
      <c r="G62" s="1048"/>
    </row>
    <row r="63" spans="1:7" ht="20.100000000000001" customHeight="1">
      <c r="A63" s="500" t="s">
        <v>398</v>
      </c>
      <c r="B63" s="184"/>
      <c r="C63" s="184"/>
      <c r="D63" s="184"/>
      <c r="E63" s="184"/>
      <c r="F63" s="189"/>
      <c r="G63" s="1114">
        <f>SUM(G44:G61)</f>
        <v>5202500</v>
      </c>
    </row>
    <row r="64" spans="1:7" ht="20.100000000000001" customHeight="1">
      <c r="A64" s="499"/>
      <c r="B64" s="184"/>
      <c r="C64" s="184"/>
      <c r="D64" s="184"/>
      <c r="E64" s="184"/>
      <c r="F64" s="189"/>
      <c r="G64" s="194"/>
    </row>
    <row r="65" spans="1:7" ht="20.100000000000001" customHeight="1">
      <c r="A65" s="1049" t="s">
        <v>399</v>
      </c>
      <c r="B65" s="725"/>
      <c r="C65" s="725"/>
      <c r="D65" s="725"/>
      <c r="E65" s="725"/>
      <c r="F65" s="726"/>
      <c r="G65" s="635"/>
    </row>
    <row r="66" spans="1:7" ht="20.100000000000001" customHeight="1">
      <c r="A66" s="499"/>
      <c r="B66" s="184"/>
      <c r="C66" s="184"/>
      <c r="D66" s="184"/>
      <c r="E66" s="184"/>
      <c r="F66" s="189"/>
      <c r="G66" s="194"/>
    </row>
    <row r="67" spans="1:7" ht="20.100000000000001" customHeight="1">
      <c r="A67" s="499" t="s">
        <v>400</v>
      </c>
      <c r="B67" s="184"/>
      <c r="C67" s="184"/>
      <c r="D67" s="184"/>
      <c r="E67" s="184"/>
      <c r="F67" s="189" t="s">
        <v>401</v>
      </c>
      <c r="G67" s="448">
        <v>0</v>
      </c>
    </row>
    <row r="68" spans="1:7" ht="20.100000000000001" customHeight="1">
      <c r="A68" s="499" t="s">
        <v>402</v>
      </c>
      <c r="B68" s="184"/>
      <c r="C68" s="184"/>
      <c r="D68" s="184"/>
      <c r="E68" s="184"/>
      <c r="F68" s="189" t="s">
        <v>403</v>
      </c>
      <c r="G68" s="448">
        <v>1000000</v>
      </c>
    </row>
    <row r="69" spans="1:7" ht="20.100000000000001" customHeight="1">
      <c r="A69" s="499" t="s">
        <v>404</v>
      </c>
      <c r="B69" s="184"/>
      <c r="C69" s="184"/>
      <c r="D69" s="184"/>
      <c r="E69" s="184"/>
      <c r="F69" s="189" t="s">
        <v>405</v>
      </c>
      <c r="G69" s="448">
        <v>0</v>
      </c>
    </row>
    <row r="70" spans="1:7" ht="20.100000000000001" customHeight="1">
      <c r="A70" s="499"/>
      <c r="B70" s="184"/>
      <c r="C70" s="184"/>
      <c r="D70" s="184"/>
      <c r="E70" s="184"/>
      <c r="F70" s="189"/>
      <c r="G70" s="1048"/>
    </row>
    <row r="71" spans="1:7" ht="20.100000000000001" customHeight="1">
      <c r="A71" s="500" t="s">
        <v>406</v>
      </c>
      <c r="B71" s="184"/>
      <c r="C71" s="184"/>
      <c r="D71" s="184"/>
      <c r="E71" s="184"/>
      <c r="F71" s="189"/>
      <c r="G71" s="222">
        <f>SUM(G67:G69)</f>
        <v>1000000</v>
      </c>
    </row>
    <row r="72" spans="1:7" ht="20.100000000000001" customHeight="1">
      <c r="A72" s="1115"/>
      <c r="B72" s="574"/>
      <c r="C72" s="574"/>
      <c r="D72" s="574"/>
      <c r="E72" s="574"/>
      <c r="F72" s="575"/>
      <c r="G72" s="636"/>
    </row>
    <row r="73" spans="1:7" ht="20.100000000000001" customHeight="1">
      <c r="A73" s="1049" t="s">
        <v>407</v>
      </c>
      <c r="B73" s="725"/>
      <c r="C73" s="725"/>
      <c r="D73" s="725"/>
      <c r="E73" s="725"/>
      <c r="F73" s="726"/>
      <c r="G73" s="1050"/>
    </row>
    <row r="74" spans="1:7" ht="20.100000000000001" customHeight="1">
      <c r="A74" s="499"/>
      <c r="B74" s="184"/>
      <c r="C74" s="184"/>
      <c r="D74" s="184"/>
      <c r="E74" s="184"/>
      <c r="F74" s="189"/>
      <c r="G74" s="202"/>
    </row>
    <row r="75" spans="1:7" ht="20.100000000000001" customHeight="1">
      <c r="A75" s="499" t="s">
        <v>408</v>
      </c>
      <c r="B75" s="184"/>
      <c r="C75" s="184"/>
      <c r="D75" s="184"/>
      <c r="E75" s="184"/>
      <c r="F75" s="189" t="s">
        <v>409</v>
      </c>
      <c r="G75" s="522">
        <f>'CHECK SHEET'!D84</f>
        <v>23622370</v>
      </c>
    </row>
    <row r="76" spans="1:7" ht="20.100000000000001" customHeight="1">
      <c r="A76" s="499" t="s">
        <v>410</v>
      </c>
      <c r="B76" s="184"/>
      <c r="C76" s="184"/>
      <c r="D76" s="184"/>
      <c r="E76" s="184"/>
      <c r="F76" s="187">
        <v>42130</v>
      </c>
      <c r="G76" s="523">
        <v>1471106</v>
      </c>
    </row>
    <row r="77" spans="1:7" ht="20.100000000000001" customHeight="1">
      <c r="A77" s="501" t="s">
        <v>411</v>
      </c>
      <c r="B77" s="502"/>
      <c r="C77" s="502"/>
      <c r="D77" s="502"/>
      <c r="E77" s="502"/>
      <c r="F77" s="203" t="s">
        <v>412</v>
      </c>
      <c r="G77" s="524">
        <f>1675698-1471106</f>
        <v>204592</v>
      </c>
    </row>
    <row r="78" spans="1:7" ht="20.100000000000001" customHeight="1">
      <c r="A78" s="501" t="s">
        <v>413</v>
      </c>
      <c r="B78" s="502"/>
      <c r="C78" s="502"/>
      <c r="D78" s="502"/>
      <c r="E78" s="502"/>
      <c r="F78" s="203" t="s">
        <v>414</v>
      </c>
      <c r="G78" s="523">
        <v>0</v>
      </c>
    </row>
    <row r="79" spans="1:7" ht="20.100000000000001" customHeight="1">
      <c r="A79" s="499" t="s">
        <v>415</v>
      </c>
      <c r="B79" s="184"/>
      <c r="C79" s="184"/>
      <c r="D79" s="184"/>
      <c r="E79" s="184"/>
      <c r="F79" s="189" t="s">
        <v>416</v>
      </c>
      <c r="G79" s="523">
        <v>1100</v>
      </c>
    </row>
    <row r="80" spans="1:7" ht="20.100000000000001" customHeight="1">
      <c r="A80" s="499" t="s">
        <v>417</v>
      </c>
      <c r="B80" s="184"/>
      <c r="C80" s="184"/>
      <c r="D80" s="184"/>
      <c r="E80" s="184"/>
      <c r="F80" s="189" t="s">
        <v>418</v>
      </c>
      <c r="G80" s="523">
        <v>165000</v>
      </c>
    </row>
    <row r="81" spans="1:10" ht="20.100000000000001" customHeight="1">
      <c r="A81" s="499" t="s">
        <v>419</v>
      </c>
      <c r="B81" s="184"/>
      <c r="C81" s="184"/>
      <c r="D81" s="184"/>
      <c r="E81" s="184"/>
      <c r="F81" s="189" t="s">
        <v>420</v>
      </c>
      <c r="G81" s="522">
        <f>'CHECK SHEET'!D86</f>
        <v>3933834</v>
      </c>
    </row>
    <row r="82" spans="1:10" ht="20.100000000000001" customHeight="1">
      <c r="A82" s="503" t="s">
        <v>421</v>
      </c>
      <c r="B82" s="504"/>
      <c r="C82" s="504"/>
      <c r="D82" s="504"/>
      <c r="E82" s="504"/>
      <c r="F82" s="202" t="s">
        <v>422</v>
      </c>
      <c r="G82" s="523">
        <v>0</v>
      </c>
    </row>
    <row r="83" spans="1:10" ht="20.100000000000001" customHeight="1">
      <c r="A83" s="499" t="s">
        <v>423</v>
      </c>
      <c r="B83" s="184"/>
      <c r="C83" s="184"/>
      <c r="D83" s="184"/>
      <c r="E83" s="184"/>
      <c r="F83" s="189" t="s">
        <v>424</v>
      </c>
      <c r="G83" s="523">
        <v>750</v>
      </c>
    </row>
    <row r="84" spans="1:10" ht="20.100000000000001" customHeight="1">
      <c r="A84" s="499"/>
      <c r="B84" s="184"/>
      <c r="C84" s="184"/>
      <c r="D84" s="184"/>
      <c r="E84" s="184"/>
      <c r="F84" s="189"/>
      <c r="G84" s="1051"/>
    </row>
    <row r="85" spans="1:10" ht="20.100000000000001" customHeight="1">
      <c r="A85" s="500" t="s">
        <v>425</v>
      </c>
      <c r="B85" s="184"/>
      <c r="C85" s="184"/>
      <c r="D85" s="184"/>
      <c r="E85" s="184"/>
      <c r="F85" s="189"/>
      <c r="G85" s="223">
        <f>SUM(G75:G83)</f>
        <v>29398752</v>
      </c>
    </row>
    <row r="86" spans="1:10" ht="20.100000000000001" customHeight="1">
      <c r="A86" s="1115"/>
      <c r="B86" s="574"/>
      <c r="C86" s="574"/>
      <c r="D86" s="574"/>
      <c r="E86" s="574"/>
      <c r="F86" s="575"/>
      <c r="G86" s="636"/>
    </row>
    <row r="87" spans="1:10" ht="20.100000000000001" customHeight="1">
      <c r="A87" s="727" t="s">
        <v>426</v>
      </c>
      <c r="B87" s="728"/>
      <c r="C87" s="728"/>
      <c r="D87" s="728"/>
      <c r="E87" s="728"/>
      <c r="F87" s="729"/>
      <c r="G87" s="1050"/>
    </row>
    <row r="88" spans="1:10" ht="20.100000000000001" customHeight="1">
      <c r="A88" s="499"/>
      <c r="B88" s="184"/>
      <c r="C88" s="184"/>
      <c r="D88" s="184"/>
      <c r="E88" s="184"/>
      <c r="F88" s="189"/>
      <c r="G88" s="202"/>
    </row>
    <row r="89" spans="1:10" ht="20.100000000000001" customHeight="1">
      <c r="A89" s="499" t="s">
        <v>427</v>
      </c>
      <c r="B89" s="184"/>
      <c r="C89" s="184"/>
      <c r="D89" s="184"/>
      <c r="E89" s="184"/>
      <c r="F89" s="189" t="s">
        <v>428</v>
      </c>
      <c r="G89" s="451">
        <v>0</v>
      </c>
    </row>
    <row r="90" spans="1:10" ht="20.100000000000001" customHeight="1">
      <c r="A90" s="499" t="s">
        <v>429</v>
      </c>
      <c r="B90" s="184"/>
      <c r="C90" s="184"/>
      <c r="D90" s="184"/>
      <c r="E90" s="184"/>
      <c r="F90" s="865">
        <v>43518</v>
      </c>
      <c r="G90" s="525">
        <v>0</v>
      </c>
      <c r="J90" s="204"/>
    </row>
    <row r="91" spans="1:10" ht="20.100000000000001" customHeight="1">
      <c r="A91" s="499" t="s">
        <v>430</v>
      </c>
      <c r="B91" s="184"/>
      <c r="C91" s="184"/>
      <c r="D91" s="184"/>
      <c r="E91" s="184"/>
      <c r="F91" s="865">
        <v>43519</v>
      </c>
      <c r="G91" s="525">
        <v>0</v>
      </c>
    </row>
    <row r="92" spans="1:10" ht="20.100000000000001" customHeight="1">
      <c r="A92" s="499" t="s">
        <v>431</v>
      </c>
      <c r="B92" s="184"/>
      <c r="C92" s="184"/>
      <c r="D92" s="184"/>
      <c r="E92" s="184"/>
      <c r="F92" s="207">
        <v>43521</v>
      </c>
      <c r="G92" s="525">
        <v>0</v>
      </c>
    </row>
    <row r="93" spans="1:10" ht="20.100000000000001" customHeight="1">
      <c r="A93" s="499" t="s">
        <v>432</v>
      </c>
      <c r="B93" s="184"/>
      <c r="C93" s="184"/>
      <c r="D93" s="184"/>
      <c r="E93" s="184"/>
      <c r="F93" s="207">
        <v>43526</v>
      </c>
      <c r="G93" s="525">
        <v>0</v>
      </c>
    </row>
    <row r="94" spans="1:10" ht="20.100000000000001" customHeight="1">
      <c r="A94" s="499" t="s">
        <v>433</v>
      </c>
      <c r="B94" s="184"/>
      <c r="C94" s="184"/>
      <c r="D94" s="184"/>
      <c r="E94" s="184"/>
      <c r="F94" s="189" t="s">
        <v>434</v>
      </c>
      <c r="G94" s="448">
        <v>750000</v>
      </c>
    </row>
    <row r="95" spans="1:10" ht="20.100000000000001" customHeight="1">
      <c r="A95" s="604"/>
      <c r="B95" s="576"/>
      <c r="C95" s="576"/>
      <c r="D95" s="576"/>
      <c r="E95" s="576"/>
      <c r="F95" s="593"/>
      <c r="G95" s="1051"/>
    </row>
    <row r="96" spans="1:10" ht="20.100000000000001" customHeight="1">
      <c r="A96" s="500" t="s">
        <v>435</v>
      </c>
      <c r="B96" s="184"/>
      <c r="C96" s="184"/>
      <c r="D96" s="184"/>
      <c r="E96" s="184"/>
      <c r="F96" s="205"/>
      <c r="G96" s="1116">
        <f>SUM(G89:G94)</f>
        <v>750000</v>
      </c>
    </row>
    <row r="97" spans="1:7" ht="20.100000000000001" customHeight="1">
      <c r="A97" s="499"/>
      <c r="B97" s="184"/>
      <c r="C97" s="184"/>
      <c r="D97" s="184"/>
      <c r="E97" s="184"/>
      <c r="F97" s="189"/>
      <c r="G97" s="206"/>
    </row>
    <row r="98" spans="1:7" ht="20.100000000000001" customHeight="1">
      <c r="A98" s="730" t="s">
        <v>436</v>
      </c>
      <c r="B98" s="731"/>
      <c r="C98" s="731"/>
      <c r="D98" s="731"/>
      <c r="E98" s="731"/>
      <c r="F98" s="732"/>
      <c r="G98" s="637"/>
    </row>
    <row r="99" spans="1:7" ht="20.100000000000001" customHeight="1">
      <c r="A99" s="499"/>
      <c r="B99" s="184"/>
      <c r="C99" s="184"/>
      <c r="D99" s="184"/>
      <c r="E99" s="184"/>
      <c r="F99" s="189"/>
      <c r="G99" s="206"/>
    </row>
    <row r="100" spans="1:7" ht="20.100000000000001" customHeight="1">
      <c r="A100" s="499" t="s">
        <v>437</v>
      </c>
      <c r="B100" s="184"/>
      <c r="C100" s="184"/>
      <c r="D100" s="184"/>
      <c r="E100" s="184"/>
      <c r="F100" s="189" t="s">
        <v>438</v>
      </c>
      <c r="G100" s="451">
        <v>0</v>
      </c>
    </row>
    <row r="101" spans="1:7" ht="20.100000000000001" customHeight="1">
      <c r="A101" s="499" t="s">
        <v>439</v>
      </c>
      <c r="B101" s="184"/>
      <c r="C101" s="184"/>
      <c r="D101" s="184"/>
      <c r="E101" s="184"/>
      <c r="F101" s="189" t="s">
        <v>440</v>
      </c>
      <c r="G101" s="449">
        <v>0</v>
      </c>
    </row>
    <row r="102" spans="1:7" ht="20.100000000000001" customHeight="1">
      <c r="A102" s="499" t="s">
        <v>441</v>
      </c>
      <c r="B102" s="184"/>
      <c r="C102" s="184"/>
      <c r="D102" s="184"/>
      <c r="E102" s="184"/>
      <c r="F102" s="207">
        <v>44400</v>
      </c>
      <c r="G102" s="450">
        <v>20000</v>
      </c>
    </row>
    <row r="103" spans="1:7" ht="20.100000000000001" customHeight="1">
      <c r="A103" s="499" t="s">
        <v>442</v>
      </c>
      <c r="B103" s="184"/>
      <c r="C103" s="184"/>
      <c r="D103" s="184"/>
      <c r="E103" s="184"/>
      <c r="F103" s="189" t="s">
        <v>443</v>
      </c>
      <c r="G103" s="449">
        <v>0</v>
      </c>
    </row>
    <row r="104" spans="1:7" ht="20.100000000000001" customHeight="1">
      <c r="A104" s="499"/>
      <c r="B104" s="184"/>
      <c r="C104" s="184"/>
      <c r="D104" s="184"/>
      <c r="E104" s="184"/>
      <c r="F104" s="189"/>
      <c r="G104" s="1052"/>
    </row>
    <row r="105" spans="1:7" ht="20.100000000000001" customHeight="1">
      <c r="A105" s="500" t="s">
        <v>444</v>
      </c>
      <c r="B105" s="184"/>
      <c r="C105" s="184"/>
      <c r="D105" s="184"/>
      <c r="E105" s="184"/>
      <c r="F105" s="189"/>
      <c r="G105" s="1116">
        <f>SUM(G100:G103)</f>
        <v>20000</v>
      </c>
    </row>
    <row r="106" spans="1:7" ht="20.100000000000001" customHeight="1">
      <c r="A106" s="499"/>
      <c r="B106" s="184"/>
      <c r="C106" s="184"/>
      <c r="D106" s="184"/>
      <c r="E106" s="184"/>
      <c r="F106" s="189"/>
      <c r="G106" s="206"/>
    </row>
    <row r="107" spans="1:7" ht="20.100000000000001" customHeight="1">
      <c r="A107" s="1049" t="s">
        <v>445</v>
      </c>
      <c r="B107" s="725"/>
      <c r="C107" s="725"/>
      <c r="D107" s="725"/>
      <c r="E107" s="725"/>
      <c r="F107" s="726"/>
      <c r="G107" s="638"/>
    </row>
    <row r="108" spans="1:7" ht="20.100000000000001" customHeight="1">
      <c r="A108" s="499"/>
      <c r="B108" s="184"/>
      <c r="C108" s="184"/>
      <c r="D108" s="184"/>
      <c r="E108" s="184"/>
      <c r="F108" s="189"/>
      <c r="G108" s="206"/>
    </row>
    <row r="109" spans="1:7" ht="20.100000000000001" customHeight="1">
      <c r="A109" s="499" t="s">
        <v>446</v>
      </c>
      <c r="B109" s="184"/>
      <c r="C109" s="184"/>
      <c r="D109" s="184"/>
      <c r="E109" s="184"/>
      <c r="F109" s="189" t="s">
        <v>447</v>
      </c>
      <c r="G109" s="451">
        <v>0</v>
      </c>
    </row>
    <row r="110" spans="1:7" ht="20.100000000000001" customHeight="1">
      <c r="A110" s="499" t="s">
        <v>448</v>
      </c>
      <c r="B110" s="184"/>
      <c r="C110" s="184"/>
      <c r="D110" s="184"/>
      <c r="E110" s="184"/>
      <c r="F110" s="189" t="s">
        <v>449</v>
      </c>
      <c r="G110" s="449">
        <v>70000</v>
      </c>
    </row>
    <row r="111" spans="1:7" ht="20.100000000000001" customHeight="1">
      <c r="A111" s="499" t="s">
        <v>450</v>
      </c>
      <c r="B111" s="184"/>
      <c r="C111" s="184"/>
      <c r="D111" s="184"/>
      <c r="E111" s="184"/>
      <c r="F111" s="189" t="s">
        <v>451</v>
      </c>
      <c r="G111" s="449">
        <v>0</v>
      </c>
    </row>
    <row r="112" spans="1:7" ht="20.100000000000001" customHeight="1">
      <c r="A112" s="499" t="s">
        <v>452</v>
      </c>
      <c r="B112" s="184"/>
      <c r="C112" s="184"/>
      <c r="D112" s="184"/>
      <c r="E112" s="184"/>
      <c r="F112" s="189" t="s">
        <v>453</v>
      </c>
      <c r="G112" s="449">
        <v>45000</v>
      </c>
    </row>
    <row r="113" spans="1:7" ht="20.100000000000001" customHeight="1">
      <c r="A113" s="499" t="s">
        <v>454</v>
      </c>
      <c r="B113" s="184"/>
      <c r="C113" s="184"/>
      <c r="D113" s="184"/>
      <c r="E113" s="184"/>
      <c r="F113" s="189" t="s">
        <v>455</v>
      </c>
      <c r="G113" s="1117">
        <v>0</v>
      </c>
    </row>
    <row r="114" spans="1:7" ht="20.100000000000001" customHeight="1">
      <c r="A114" s="499"/>
      <c r="B114" s="184"/>
      <c r="C114" s="184"/>
      <c r="D114" s="184"/>
      <c r="E114" s="184"/>
      <c r="F114" s="189"/>
      <c r="G114" s="1052"/>
    </row>
    <row r="115" spans="1:7" ht="20.100000000000001" customHeight="1">
      <c r="A115" s="1118" t="s">
        <v>456</v>
      </c>
      <c r="B115" s="1119"/>
      <c r="C115" s="1119"/>
      <c r="D115" s="1119"/>
      <c r="E115" s="1119"/>
      <c r="F115" s="1120"/>
      <c r="G115" s="1116">
        <f>SUM(G109:G113)</f>
        <v>115000</v>
      </c>
    </row>
    <row r="116" spans="1:7" ht="20.100000000000001" customHeight="1">
      <c r="A116" s="499"/>
      <c r="B116" s="184"/>
      <c r="C116" s="184"/>
      <c r="D116" s="184"/>
      <c r="E116" s="184"/>
      <c r="F116" s="505"/>
      <c r="G116" s="506"/>
    </row>
    <row r="117" spans="1:7" ht="20.100000000000001" customHeight="1">
      <c r="A117" s="1121" t="s">
        <v>457</v>
      </c>
      <c r="B117" s="577"/>
      <c r="C117" s="577"/>
      <c r="D117" s="577"/>
      <c r="E117" s="577"/>
      <c r="F117" s="578" t="s">
        <v>458</v>
      </c>
      <c r="G117" s="1122">
        <v>0</v>
      </c>
    </row>
    <row r="118" spans="1:7" ht="20.100000000000001" customHeight="1">
      <c r="A118" s="507"/>
      <c r="F118" s="207"/>
      <c r="G118" s="208"/>
    </row>
    <row r="119" spans="1:7" ht="20.100000000000001" customHeight="1">
      <c r="A119" s="500" t="s">
        <v>459</v>
      </c>
      <c r="C119" s="184"/>
      <c r="D119" s="184"/>
      <c r="F119" s="207"/>
      <c r="G119" s="1116">
        <f>G117</f>
        <v>0</v>
      </c>
    </row>
    <row r="120" spans="1:7" ht="20.100000000000001" customHeight="1">
      <c r="A120" s="507"/>
      <c r="F120" s="207"/>
      <c r="G120" s="206"/>
    </row>
    <row r="121" spans="1:7" ht="20.100000000000001" customHeight="1">
      <c r="A121" s="730" t="s">
        <v>460</v>
      </c>
      <c r="B121" s="731"/>
      <c r="C121" s="731"/>
      <c r="D121" s="731"/>
      <c r="E121" s="731"/>
      <c r="F121" s="732"/>
      <c r="G121" s="637"/>
    </row>
    <row r="122" spans="1:7" ht="20.100000000000001" customHeight="1">
      <c r="A122" s="499"/>
      <c r="B122" s="184"/>
      <c r="C122" s="184"/>
      <c r="D122" s="184"/>
      <c r="E122" s="184"/>
      <c r="F122" s="189"/>
      <c r="G122" s="206"/>
    </row>
    <row r="123" spans="1:7" ht="20.100000000000001" customHeight="1">
      <c r="A123" s="499" t="s">
        <v>461</v>
      </c>
      <c r="B123" s="184"/>
      <c r="C123" s="184"/>
      <c r="D123" s="184"/>
      <c r="E123" s="184"/>
      <c r="F123" s="189" t="s">
        <v>462</v>
      </c>
      <c r="G123" s="451">
        <v>25000</v>
      </c>
    </row>
    <row r="124" spans="1:7" ht="20.100000000000001" customHeight="1">
      <c r="A124" s="499" t="s">
        <v>463</v>
      </c>
      <c r="B124" s="184"/>
      <c r="C124" s="184"/>
      <c r="D124" s="184"/>
      <c r="E124" s="184"/>
      <c r="F124" s="189" t="s">
        <v>464</v>
      </c>
      <c r="G124" s="449">
        <v>0</v>
      </c>
    </row>
    <row r="125" spans="1:7" ht="20.100000000000001" customHeight="1">
      <c r="A125" s="499" t="s">
        <v>465</v>
      </c>
      <c r="B125" s="184"/>
      <c r="C125" s="184"/>
      <c r="D125" s="184"/>
      <c r="E125" s="184"/>
      <c r="F125" s="189" t="s">
        <v>466</v>
      </c>
      <c r="G125" s="449">
        <v>0</v>
      </c>
    </row>
    <row r="126" spans="1:7" ht="20.100000000000001" customHeight="1">
      <c r="A126" s="499" t="s">
        <v>467</v>
      </c>
      <c r="B126" s="184"/>
      <c r="C126" s="184"/>
      <c r="D126" s="184"/>
      <c r="E126" s="184"/>
      <c r="F126" s="189" t="s">
        <v>468</v>
      </c>
      <c r="G126" s="449">
        <v>25000</v>
      </c>
    </row>
    <row r="127" spans="1:7" ht="20.100000000000001" customHeight="1">
      <c r="A127" s="499"/>
      <c r="B127" s="184"/>
      <c r="C127" s="184"/>
      <c r="D127" s="184"/>
      <c r="E127" s="184"/>
      <c r="F127" s="189"/>
      <c r="G127" s="1052"/>
    </row>
    <row r="128" spans="1:7" ht="20.100000000000001" customHeight="1">
      <c r="A128" s="500" t="s">
        <v>469</v>
      </c>
      <c r="B128" s="184"/>
      <c r="C128" s="184"/>
      <c r="D128" s="184"/>
      <c r="E128" s="184"/>
      <c r="F128" s="189"/>
      <c r="G128" s="1116">
        <f>SUM(G123:G126)</f>
        <v>50000</v>
      </c>
    </row>
    <row r="129" spans="1:7" ht="20.100000000000001" customHeight="1">
      <c r="A129" s="499"/>
      <c r="B129" s="184"/>
      <c r="C129" s="184"/>
      <c r="D129" s="184"/>
      <c r="E129" s="184"/>
      <c r="F129" s="189"/>
      <c r="G129" s="206"/>
    </row>
    <row r="130" spans="1:7" ht="20.100000000000001" customHeight="1">
      <c r="A130" s="1049" t="s">
        <v>470</v>
      </c>
      <c r="B130" s="725"/>
      <c r="C130" s="725"/>
      <c r="D130" s="725"/>
      <c r="E130" s="725"/>
      <c r="F130" s="726"/>
      <c r="G130" s="638"/>
    </row>
    <row r="131" spans="1:7" ht="20.100000000000001" customHeight="1">
      <c r="A131" s="499"/>
      <c r="B131" s="184"/>
      <c r="C131" s="184"/>
      <c r="D131" s="184"/>
      <c r="E131" s="184"/>
      <c r="F131" s="189"/>
      <c r="G131" s="206"/>
    </row>
    <row r="132" spans="1:7" ht="20.100000000000001" customHeight="1">
      <c r="A132" s="499" t="s">
        <v>471</v>
      </c>
      <c r="B132" s="184"/>
      <c r="C132" s="184"/>
      <c r="D132" s="508"/>
      <c r="E132" s="199"/>
      <c r="F132" s="942" t="s">
        <v>472</v>
      </c>
      <c r="G132" s="451">
        <v>0</v>
      </c>
    </row>
    <row r="133" spans="1:7" ht="20.100000000000001" customHeight="1">
      <c r="A133" s="499" t="s">
        <v>473</v>
      </c>
      <c r="B133" s="184"/>
      <c r="C133" s="184"/>
      <c r="D133" s="508"/>
      <c r="E133" s="199"/>
      <c r="F133" s="942">
        <v>49200</v>
      </c>
      <c r="G133" s="449">
        <v>100000</v>
      </c>
    </row>
    <row r="134" spans="1:7" ht="20.100000000000001" customHeight="1">
      <c r="A134" s="499" t="s">
        <v>474</v>
      </c>
      <c r="B134" s="184"/>
      <c r="C134" s="184"/>
      <c r="D134" s="184"/>
      <c r="E134" s="184"/>
      <c r="F134" s="906" t="s">
        <v>475</v>
      </c>
      <c r="G134" s="449">
        <v>0</v>
      </c>
    </row>
    <row r="135" spans="1:7" ht="20.100000000000001" customHeight="1">
      <c r="A135" s="499" t="s">
        <v>476</v>
      </c>
      <c r="B135" s="184"/>
      <c r="C135" s="184"/>
      <c r="D135" s="184"/>
      <c r="E135" s="184"/>
      <c r="F135" s="187">
        <v>49520</v>
      </c>
      <c r="G135" s="449">
        <v>0</v>
      </c>
    </row>
    <row r="136" spans="1:7" ht="20.100000000000001" customHeight="1">
      <c r="A136" s="875" t="s">
        <v>477</v>
      </c>
      <c r="B136" s="184"/>
      <c r="C136" s="184"/>
      <c r="D136" s="184"/>
      <c r="E136" s="184"/>
      <c r="F136" s="207">
        <v>49521</v>
      </c>
      <c r="G136" s="449">
        <v>0</v>
      </c>
    </row>
    <row r="137" spans="1:7" ht="20.100000000000001" customHeight="1">
      <c r="A137" s="499" t="s">
        <v>478</v>
      </c>
      <c r="B137" s="184"/>
      <c r="C137" s="184"/>
      <c r="D137" s="184"/>
      <c r="E137" s="184"/>
      <c r="F137" s="189" t="s">
        <v>479</v>
      </c>
      <c r="G137" s="449">
        <v>0</v>
      </c>
    </row>
    <row r="138" spans="1:7" ht="20.100000000000001" customHeight="1">
      <c r="A138" s="499" t="s">
        <v>480</v>
      </c>
      <c r="B138" s="184"/>
      <c r="C138" s="184"/>
      <c r="D138" s="184"/>
      <c r="E138" s="184"/>
      <c r="F138" s="189" t="s">
        <v>481</v>
      </c>
      <c r="G138" s="449">
        <v>0</v>
      </c>
    </row>
    <row r="139" spans="1:7" ht="20.100000000000001" customHeight="1">
      <c r="A139" s="499"/>
      <c r="B139" s="184"/>
      <c r="C139" s="184"/>
      <c r="D139" s="184"/>
      <c r="E139" s="184"/>
      <c r="F139" s="189"/>
      <c r="G139" s="1052"/>
    </row>
    <row r="140" spans="1:7" ht="20.100000000000001" customHeight="1">
      <c r="A140" s="500" t="s">
        <v>482</v>
      </c>
      <c r="B140" s="184"/>
      <c r="C140" s="184"/>
      <c r="D140" s="184"/>
      <c r="E140" s="184"/>
      <c r="F140" s="189"/>
      <c r="G140" s="1116">
        <f>SUM(G132:G138)</f>
        <v>100000</v>
      </c>
    </row>
    <row r="141" spans="1:7" ht="20.100000000000001" customHeight="1">
      <c r="A141" s="499"/>
      <c r="B141" s="184"/>
      <c r="C141" s="184"/>
      <c r="D141" s="184"/>
      <c r="E141" s="184"/>
      <c r="F141" s="189"/>
      <c r="G141" s="206"/>
    </row>
    <row r="142" spans="1:7" ht="20.100000000000001" customHeight="1" thickBot="1">
      <c r="A142" s="528" t="s">
        <v>483</v>
      </c>
      <c r="B142" s="529"/>
      <c r="C142" s="529"/>
      <c r="D142" s="529"/>
      <c r="E142" s="529"/>
      <c r="F142" s="530"/>
      <c r="G142" s="532">
        <f>G63+G71+G85+G96+G105+G115+G119+G128+G140</f>
        <v>36636252</v>
      </c>
    </row>
    <row r="143" spans="1:7" ht="20.100000000000001" customHeight="1" thickTop="1">
      <c r="A143" s="1115"/>
      <c r="B143" s="574"/>
      <c r="C143" s="574"/>
      <c r="D143" s="574"/>
      <c r="E143" s="574"/>
      <c r="F143" s="618"/>
      <c r="G143" s="619"/>
    </row>
    <row r="144" spans="1:7" ht="20.100000000000001" customHeight="1">
      <c r="A144" s="1049" t="s">
        <v>484</v>
      </c>
      <c r="B144" s="725"/>
      <c r="C144" s="725"/>
      <c r="D144" s="725"/>
      <c r="E144" s="725"/>
      <c r="F144" s="726"/>
      <c r="G144" s="1053"/>
    </row>
    <row r="145" spans="1:7" ht="20.100000000000001" customHeight="1">
      <c r="A145" s="499"/>
      <c r="B145" s="184"/>
      <c r="C145" s="184"/>
      <c r="D145" s="184"/>
      <c r="E145" s="184"/>
      <c r="F145" s="189"/>
      <c r="G145" s="209"/>
    </row>
    <row r="146" spans="1:7" ht="20.100000000000001" customHeight="1">
      <c r="A146" s="499" t="s">
        <v>485</v>
      </c>
      <c r="B146" s="184"/>
      <c r="C146" s="184"/>
      <c r="D146" s="184"/>
      <c r="E146" s="184"/>
      <c r="F146" s="189" t="s">
        <v>486</v>
      </c>
      <c r="G146" s="449">
        <v>641829</v>
      </c>
    </row>
    <row r="147" spans="1:7" ht="20.100000000000001" customHeight="1">
      <c r="A147" s="499" t="s">
        <v>487</v>
      </c>
      <c r="F147" s="189" t="s">
        <v>488</v>
      </c>
      <c r="G147" s="449">
        <v>620332</v>
      </c>
    </row>
    <row r="148" spans="1:7" ht="20.100000000000001" customHeight="1">
      <c r="A148" s="499" t="s">
        <v>489</v>
      </c>
      <c r="F148" s="189" t="s">
        <v>490</v>
      </c>
      <c r="G148" s="449">
        <v>889036</v>
      </c>
    </row>
    <row r="149" spans="1:7" ht="20.100000000000001" customHeight="1">
      <c r="A149" s="499" t="s">
        <v>491</v>
      </c>
      <c r="F149" s="189" t="s">
        <v>492</v>
      </c>
      <c r="G149" s="449">
        <v>0</v>
      </c>
    </row>
    <row r="150" spans="1:7" ht="20.100000000000001" customHeight="1">
      <c r="A150" s="499" t="s">
        <v>493</v>
      </c>
      <c r="F150" s="189" t="s">
        <v>494</v>
      </c>
      <c r="G150" s="449">
        <v>0</v>
      </c>
    </row>
    <row r="151" spans="1:7" ht="20.100000000000001" customHeight="1">
      <c r="A151" s="499" t="s">
        <v>495</v>
      </c>
      <c r="B151" s="184"/>
      <c r="C151" s="184"/>
      <c r="D151" s="184"/>
      <c r="E151" s="184"/>
      <c r="F151" s="189" t="s">
        <v>496</v>
      </c>
      <c r="G151" s="449">
        <f>4814111+147096+230017+150415</f>
        <v>5341639</v>
      </c>
    </row>
    <row r="152" spans="1:7" ht="20.100000000000001" customHeight="1">
      <c r="A152" s="499" t="s">
        <v>497</v>
      </c>
      <c r="B152" s="184"/>
      <c r="C152" s="184"/>
      <c r="D152" s="184"/>
      <c r="E152" s="184"/>
      <c r="F152" s="189" t="s">
        <v>498</v>
      </c>
      <c r="G152" s="449">
        <v>639812</v>
      </c>
    </row>
    <row r="153" spans="1:7" ht="20.100000000000001" customHeight="1">
      <c r="A153" s="499" t="s">
        <v>499</v>
      </c>
      <c r="B153" s="184"/>
      <c r="C153" s="184"/>
      <c r="D153" s="184"/>
      <c r="E153" s="184"/>
      <c r="F153" s="189" t="s">
        <v>500</v>
      </c>
      <c r="G153" s="449">
        <v>12342</v>
      </c>
    </row>
    <row r="154" spans="1:7" ht="20.100000000000001" customHeight="1">
      <c r="A154" s="499" t="s">
        <v>501</v>
      </c>
      <c r="B154" s="184"/>
      <c r="C154" s="184"/>
      <c r="D154" s="184"/>
      <c r="E154" s="184"/>
      <c r="F154" s="189" t="s">
        <v>502</v>
      </c>
      <c r="G154" s="449">
        <v>0</v>
      </c>
    </row>
    <row r="155" spans="1:7" ht="20.100000000000001" customHeight="1">
      <c r="A155" s="499" t="s">
        <v>503</v>
      </c>
      <c r="B155" s="184"/>
      <c r="C155" s="184"/>
      <c r="D155" s="184"/>
      <c r="E155" s="184"/>
      <c r="F155" s="189" t="s">
        <v>504</v>
      </c>
      <c r="G155" s="449">
        <v>0</v>
      </c>
    </row>
    <row r="156" spans="1:7" ht="20.100000000000001" customHeight="1">
      <c r="A156" s="499" t="s">
        <v>505</v>
      </c>
      <c r="B156" s="184"/>
      <c r="C156" s="184"/>
      <c r="D156" s="184"/>
      <c r="E156" s="184"/>
      <c r="F156" s="187">
        <v>52500</v>
      </c>
      <c r="G156" s="449">
        <v>0</v>
      </c>
    </row>
    <row r="157" spans="1:7" ht="20.100000000000001" customHeight="1">
      <c r="A157" s="499" t="s">
        <v>506</v>
      </c>
      <c r="B157" s="184"/>
      <c r="C157" s="184"/>
      <c r="D157" s="184"/>
      <c r="E157" s="184"/>
      <c r="F157" s="189" t="s">
        <v>507</v>
      </c>
      <c r="G157" s="449">
        <v>0</v>
      </c>
    </row>
    <row r="158" spans="1:7" ht="20.100000000000001" customHeight="1">
      <c r="A158" s="499" t="s">
        <v>508</v>
      </c>
      <c r="B158" s="184"/>
      <c r="C158" s="184"/>
      <c r="D158" s="184"/>
      <c r="E158" s="184"/>
      <c r="F158" s="189" t="s">
        <v>509</v>
      </c>
      <c r="G158" s="449">
        <v>0</v>
      </c>
    </row>
    <row r="159" spans="1:7" ht="20.100000000000001" customHeight="1">
      <c r="A159" s="499" t="s">
        <v>510</v>
      </c>
      <c r="B159" s="184"/>
      <c r="C159" s="184"/>
      <c r="D159" s="184"/>
      <c r="E159" s="184"/>
      <c r="F159" s="189" t="s">
        <v>511</v>
      </c>
      <c r="G159" s="449">
        <v>0</v>
      </c>
    </row>
    <row r="160" spans="1:7" ht="20.100000000000001" customHeight="1">
      <c r="A160" s="499" t="s">
        <v>512</v>
      </c>
      <c r="B160" s="184"/>
      <c r="C160" s="184"/>
      <c r="D160" s="184"/>
      <c r="E160" s="184"/>
      <c r="F160" s="189" t="s">
        <v>513</v>
      </c>
      <c r="G160" s="449">
        <v>0</v>
      </c>
    </row>
    <row r="161" spans="1:7" ht="20.100000000000001" customHeight="1">
      <c r="A161" s="499" t="s">
        <v>514</v>
      </c>
      <c r="B161" s="184"/>
      <c r="C161" s="184"/>
      <c r="D161" s="184"/>
      <c r="E161" s="184"/>
      <c r="F161" s="189" t="s">
        <v>515</v>
      </c>
      <c r="G161" s="449">
        <f>904874+3392846</f>
        <v>4297720</v>
      </c>
    </row>
    <row r="162" spans="1:7" ht="20.100000000000001" customHeight="1">
      <c r="A162" s="499" t="s">
        <v>516</v>
      </c>
      <c r="B162" s="184"/>
      <c r="C162" s="184"/>
      <c r="D162" s="184"/>
      <c r="E162" s="184"/>
      <c r="F162" s="189" t="s">
        <v>517</v>
      </c>
      <c r="G162" s="449">
        <v>4351</v>
      </c>
    </row>
    <row r="163" spans="1:7" ht="20.100000000000001" customHeight="1">
      <c r="A163" s="499" t="s">
        <v>518</v>
      </c>
      <c r="B163" s="184"/>
      <c r="C163" s="184"/>
      <c r="D163" s="184"/>
      <c r="E163" s="184"/>
      <c r="F163" s="189" t="s">
        <v>519</v>
      </c>
      <c r="G163" s="449">
        <v>0</v>
      </c>
    </row>
    <row r="164" spans="1:7" ht="20.100000000000001" customHeight="1">
      <c r="A164" s="499" t="s">
        <v>520</v>
      </c>
      <c r="B164" s="184"/>
      <c r="C164" s="184"/>
      <c r="D164" s="184"/>
      <c r="E164" s="184"/>
      <c r="F164" s="189" t="s">
        <v>521</v>
      </c>
      <c r="G164" s="449">
        <v>0</v>
      </c>
    </row>
    <row r="165" spans="1:7" ht="20.100000000000001" customHeight="1">
      <c r="A165" s="499" t="s">
        <v>522</v>
      </c>
      <c r="B165" s="184"/>
      <c r="C165" s="184"/>
      <c r="D165" s="184"/>
      <c r="E165" s="184"/>
      <c r="F165" s="189" t="s">
        <v>523</v>
      </c>
      <c r="G165" s="449">
        <v>60541</v>
      </c>
    </row>
    <row r="166" spans="1:7" ht="20.100000000000001" customHeight="1">
      <c r="A166" s="499" t="s">
        <v>524</v>
      </c>
      <c r="B166" s="184"/>
      <c r="C166" s="184"/>
      <c r="D166" s="184"/>
      <c r="E166" s="184"/>
      <c r="F166" s="189" t="s">
        <v>525</v>
      </c>
      <c r="G166" s="449">
        <v>3164340</v>
      </c>
    </row>
    <row r="167" spans="1:7" ht="20.100000000000001" customHeight="1">
      <c r="A167" s="499" t="s">
        <v>526</v>
      </c>
      <c r="B167" s="184"/>
      <c r="C167" s="184"/>
      <c r="D167" s="184"/>
      <c r="E167" s="184"/>
      <c r="F167" s="189" t="s">
        <v>527</v>
      </c>
      <c r="G167" s="449">
        <v>50000</v>
      </c>
    </row>
    <row r="168" spans="1:7" ht="20.100000000000001" customHeight="1">
      <c r="A168" s="499" t="s">
        <v>528</v>
      </c>
      <c r="B168" s="184"/>
      <c r="C168" s="184"/>
      <c r="D168" s="184"/>
      <c r="E168" s="184"/>
      <c r="F168" s="189" t="s">
        <v>529</v>
      </c>
      <c r="G168" s="449">
        <v>855518</v>
      </c>
    </row>
    <row r="169" spans="1:7" ht="20.100000000000001" customHeight="1">
      <c r="A169" s="499" t="s">
        <v>530</v>
      </c>
      <c r="B169" s="184"/>
      <c r="C169" s="184"/>
      <c r="D169" s="184"/>
      <c r="E169" s="184"/>
      <c r="F169" s="189" t="s">
        <v>531</v>
      </c>
      <c r="G169" s="449">
        <v>0</v>
      </c>
    </row>
    <row r="170" spans="1:7" ht="20.100000000000001" customHeight="1">
      <c r="A170" s="499" t="s">
        <v>532</v>
      </c>
      <c r="B170" s="184"/>
      <c r="C170" s="184"/>
      <c r="D170" s="184"/>
      <c r="E170" s="184"/>
      <c r="F170" s="189" t="s">
        <v>533</v>
      </c>
      <c r="G170" s="449">
        <v>0</v>
      </c>
    </row>
    <row r="171" spans="1:7" ht="20.100000000000001" customHeight="1">
      <c r="A171" s="499" t="s">
        <v>534</v>
      </c>
      <c r="B171" s="184"/>
      <c r="C171" s="184"/>
      <c r="D171" s="184"/>
      <c r="E171" s="184"/>
      <c r="F171" s="187">
        <v>56001</v>
      </c>
      <c r="G171" s="449">
        <v>1359500</v>
      </c>
    </row>
    <row r="172" spans="1:7" ht="20.100000000000001" customHeight="1">
      <c r="A172" s="499" t="s">
        <v>535</v>
      </c>
      <c r="B172" s="184"/>
      <c r="C172" s="184"/>
      <c r="D172" s="184"/>
      <c r="E172" s="184"/>
      <c r="F172" s="187">
        <v>56002</v>
      </c>
      <c r="G172" s="449">
        <v>0</v>
      </c>
    </row>
    <row r="173" spans="1:7" ht="20.100000000000001" customHeight="1">
      <c r="A173" s="499" t="s">
        <v>536</v>
      </c>
      <c r="B173" s="184"/>
      <c r="C173" s="184"/>
      <c r="D173" s="184"/>
      <c r="E173" s="184"/>
      <c r="F173" s="187">
        <v>56003</v>
      </c>
      <c r="G173" s="449">
        <v>0</v>
      </c>
    </row>
    <row r="174" spans="1:7" ht="20.100000000000001" customHeight="1">
      <c r="A174" s="499" t="s">
        <v>537</v>
      </c>
      <c r="B174" s="184"/>
      <c r="C174" s="184"/>
      <c r="D174" s="184"/>
      <c r="E174" s="184"/>
      <c r="F174" s="210" t="s">
        <v>538</v>
      </c>
      <c r="G174" s="449">
        <v>0</v>
      </c>
    </row>
    <row r="175" spans="1:7" ht="20.100000000000001" customHeight="1">
      <c r="A175" s="499" t="s">
        <v>539</v>
      </c>
      <c r="B175" s="184"/>
      <c r="C175" s="184"/>
      <c r="D175" s="184"/>
      <c r="E175" s="184"/>
      <c r="F175" s="189" t="s">
        <v>540</v>
      </c>
      <c r="G175" s="449">
        <v>88740</v>
      </c>
    </row>
    <row r="176" spans="1:7" ht="20.100000000000001" customHeight="1">
      <c r="A176" s="507" t="s">
        <v>541</v>
      </c>
      <c r="F176" s="207" t="s">
        <v>542</v>
      </c>
      <c r="G176" s="449">
        <v>0</v>
      </c>
    </row>
    <row r="177" spans="1:7" ht="20.100000000000001" customHeight="1">
      <c r="A177" s="499" t="s">
        <v>543</v>
      </c>
      <c r="B177" s="184"/>
      <c r="C177" s="184"/>
      <c r="D177" s="184"/>
      <c r="E177" s="184"/>
      <c r="F177" s="189" t="s">
        <v>544</v>
      </c>
      <c r="G177" s="449">
        <v>285161</v>
      </c>
    </row>
    <row r="178" spans="1:7" ht="20.100000000000001" customHeight="1">
      <c r="A178" s="499" t="s">
        <v>545</v>
      </c>
      <c r="B178" s="184"/>
      <c r="C178" s="184"/>
      <c r="D178" s="184"/>
      <c r="E178" s="184"/>
      <c r="F178" s="189" t="s">
        <v>546</v>
      </c>
      <c r="G178" s="449">
        <v>25000</v>
      </c>
    </row>
    <row r="179" spans="1:7" ht="20.100000000000001" customHeight="1">
      <c r="A179" s="499" t="s">
        <v>547</v>
      </c>
      <c r="B179" s="184"/>
      <c r="C179" s="184"/>
      <c r="D179" s="184"/>
      <c r="E179" s="184"/>
      <c r="F179" s="189" t="s">
        <v>548</v>
      </c>
      <c r="G179" s="449">
        <v>0</v>
      </c>
    </row>
    <row r="180" spans="1:7" ht="20.100000000000001" customHeight="1">
      <c r="A180" s="499" t="s">
        <v>549</v>
      </c>
      <c r="B180" s="184"/>
      <c r="C180" s="184"/>
      <c r="D180" s="184"/>
      <c r="E180" s="184"/>
      <c r="F180" s="189" t="s">
        <v>550</v>
      </c>
      <c r="G180" s="449">
        <v>0</v>
      </c>
    </row>
    <row r="181" spans="1:7" ht="20.100000000000001" customHeight="1">
      <c r="A181" s="499" t="s">
        <v>551</v>
      </c>
      <c r="B181" s="184"/>
      <c r="C181" s="184"/>
      <c r="D181" s="184"/>
      <c r="E181" s="184"/>
      <c r="F181" s="189" t="s">
        <v>552</v>
      </c>
      <c r="G181" s="449">
        <v>0</v>
      </c>
    </row>
    <row r="182" spans="1:7" ht="20.100000000000001" customHeight="1">
      <c r="A182" s="499" t="s">
        <v>553</v>
      </c>
      <c r="B182" s="184"/>
      <c r="C182" s="184"/>
      <c r="D182" s="184"/>
      <c r="E182" s="184"/>
      <c r="F182" s="189" t="s">
        <v>554</v>
      </c>
      <c r="G182" s="449">
        <v>0</v>
      </c>
    </row>
    <row r="183" spans="1:7" ht="20.100000000000001" customHeight="1">
      <c r="A183" s="499" t="s">
        <v>555</v>
      </c>
      <c r="B183" s="184"/>
      <c r="C183" s="184"/>
      <c r="D183" s="184"/>
      <c r="E183" s="184"/>
      <c r="F183" s="189" t="s">
        <v>556</v>
      </c>
      <c r="G183" s="449">
        <v>15000</v>
      </c>
    </row>
    <row r="184" spans="1:7" ht="20.100000000000001" customHeight="1">
      <c r="A184" s="499" t="s">
        <v>557</v>
      </c>
      <c r="B184" s="184"/>
      <c r="C184" s="184"/>
      <c r="D184" s="184"/>
      <c r="E184" s="184"/>
      <c r="F184" s="189" t="s">
        <v>558</v>
      </c>
      <c r="G184" s="449">
        <f>1598760+59683</f>
        <v>1658443</v>
      </c>
    </row>
    <row r="185" spans="1:7" ht="20.100000000000001" customHeight="1">
      <c r="A185" s="499" t="s">
        <v>559</v>
      </c>
      <c r="B185" s="184"/>
      <c r="C185" s="184"/>
      <c r="D185" s="184"/>
      <c r="E185" s="184"/>
      <c r="F185" s="189" t="s">
        <v>560</v>
      </c>
      <c r="G185" s="449">
        <v>2218299</v>
      </c>
    </row>
    <row r="186" spans="1:7" ht="20.100000000000001" customHeight="1">
      <c r="A186" s="499" t="s">
        <v>561</v>
      </c>
      <c r="B186" s="184"/>
      <c r="C186" s="184"/>
      <c r="D186" s="184"/>
      <c r="E186" s="184"/>
      <c r="F186" s="189" t="s">
        <v>562</v>
      </c>
      <c r="G186" s="449">
        <v>0</v>
      </c>
    </row>
    <row r="187" spans="1:7" ht="20.100000000000001" customHeight="1">
      <c r="A187" s="499" t="s">
        <v>563</v>
      </c>
      <c r="B187" s="184"/>
      <c r="C187" s="184"/>
      <c r="D187" s="184"/>
      <c r="E187" s="184"/>
      <c r="F187" s="189" t="s">
        <v>564</v>
      </c>
      <c r="G187" s="449">
        <v>0</v>
      </c>
    </row>
    <row r="188" spans="1:7" ht="20.100000000000001" customHeight="1">
      <c r="A188" s="499" t="s">
        <v>565</v>
      </c>
      <c r="B188" s="184"/>
      <c r="C188" s="184"/>
      <c r="D188" s="184"/>
      <c r="E188" s="184"/>
      <c r="F188" s="189" t="s">
        <v>566</v>
      </c>
      <c r="G188" s="449">
        <v>0</v>
      </c>
    </row>
    <row r="189" spans="1:7" ht="20.100000000000001" customHeight="1">
      <c r="A189" s="499" t="s">
        <v>567</v>
      </c>
      <c r="B189" s="184"/>
      <c r="C189" s="184"/>
      <c r="D189" s="184"/>
      <c r="E189" s="184"/>
      <c r="F189" s="207">
        <v>59600</v>
      </c>
      <c r="G189" s="449">
        <v>0</v>
      </c>
    </row>
    <row r="190" spans="1:7" ht="20.100000000000001" customHeight="1">
      <c r="A190" s="499" t="s">
        <v>568</v>
      </c>
      <c r="B190" s="184"/>
      <c r="C190" s="184"/>
      <c r="D190" s="184"/>
      <c r="E190" s="184"/>
      <c r="F190" s="189" t="s">
        <v>569</v>
      </c>
      <c r="G190" s="449">
        <f>2623821-615177+475575</f>
        <v>2484219</v>
      </c>
    </row>
    <row r="191" spans="1:7" ht="20.100000000000001" customHeight="1">
      <c r="A191" s="499" t="s">
        <v>570</v>
      </c>
      <c r="B191" s="184"/>
      <c r="C191" s="184"/>
      <c r="D191" s="184"/>
      <c r="E191" s="184"/>
      <c r="F191" s="189" t="s">
        <v>571</v>
      </c>
      <c r="G191" s="449">
        <v>60000</v>
      </c>
    </row>
    <row r="192" spans="1:7" ht="20.100000000000001" customHeight="1">
      <c r="A192" s="499" t="s">
        <v>572</v>
      </c>
      <c r="B192" s="184"/>
      <c r="C192" s="184"/>
      <c r="D192" s="184"/>
      <c r="E192" s="184"/>
      <c r="F192" s="189" t="s">
        <v>573</v>
      </c>
      <c r="G192" s="449">
        <f>825000-475575</f>
        <v>349425</v>
      </c>
    </row>
    <row r="193" spans="1:7" ht="20.100000000000001" customHeight="1">
      <c r="A193" s="499"/>
      <c r="B193" s="184"/>
      <c r="C193" s="184"/>
      <c r="D193" s="184"/>
      <c r="E193" s="184"/>
      <c r="F193" s="189"/>
      <c r="G193" s="1054"/>
    </row>
    <row r="194" spans="1:7" ht="20.100000000000001" customHeight="1">
      <c r="A194" s="512" t="s">
        <v>574</v>
      </c>
      <c r="B194" s="513"/>
      <c r="C194" s="513"/>
      <c r="D194" s="513"/>
      <c r="E194" s="513"/>
      <c r="F194" s="526"/>
      <c r="G194" s="527">
        <f>SUM(G146:G192)</f>
        <v>25121247</v>
      </c>
    </row>
    <row r="195" spans="1:7" ht="20.100000000000001" customHeight="1">
      <c r="A195" s="509"/>
      <c r="B195" s="211"/>
      <c r="C195" s="211"/>
      <c r="D195" s="211"/>
      <c r="E195" s="211"/>
      <c r="F195" s="224"/>
      <c r="G195" s="212"/>
    </row>
    <row r="196" spans="1:7" ht="20.100000000000001" customHeight="1">
      <c r="A196" s="639" t="s">
        <v>575</v>
      </c>
      <c r="B196" s="605"/>
      <c r="C196" s="605"/>
      <c r="D196" s="605"/>
      <c r="E196" s="605"/>
      <c r="F196" s="635"/>
      <c r="G196" s="640"/>
    </row>
    <row r="197" spans="1:7" ht="20.100000000000001" customHeight="1">
      <c r="A197" s="499"/>
      <c r="B197" s="184"/>
      <c r="C197" s="184"/>
      <c r="D197" s="184"/>
      <c r="E197" s="184"/>
      <c r="F197" s="189"/>
      <c r="G197" s="209"/>
    </row>
    <row r="198" spans="1:7" ht="20.100000000000001" customHeight="1">
      <c r="A198" s="499" t="s">
        <v>576</v>
      </c>
      <c r="B198" s="184"/>
      <c r="C198" s="184"/>
      <c r="D198" s="184"/>
      <c r="E198" s="184"/>
      <c r="F198" s="189" t="s">
        <v>577</v>
      </c>
      <c r="G198" s="453">
        <v>297787</v>
      </c>
    </row>
    <row r="199" spans="1:7" ht="20.100000000000001" customHeight="1">
      <c r="A199" s="499" t="s">
        <v>578</v>
      </c>
      <c r="B199" s="184"/>
      <c r="C199" s="184"/>
      <c r="D199" s="184"/>
      <c r="E199" s="184"/>
      <c r="F199" s="189" t="s">
        <v>579</v>
      </c>
      <c r="G199" s="453">
        <v>27913</v>
      </c>
    </row>
    <row r="200" spans="1:7" ht="20.100000000000001" customHeight="1">
      <c r="A200" s="499" t="s">
        <v>580</v>
      </c>
      <c r="B200" s="184"/>
      <c r="C200" s="184"/>
      <c r="D200" s="184"/>
      <c r="E200" s="184"/>
      <c r="F200" s="189" t="s">
        <v>581</v>
      </c>
      <c r="G200" s="453">
        <v>276100</v>
      </c>
    </row>
    <row r="201" spans="1:7" ht="20.100000000000001" customHeight="1">
      <c r="A201" s="499" t="s">
        <v>582</v>
      </c>
      <c r="B201" s="184"/>
      <c r="C201" s="184"/>
      <c r="D201" s="184"/>
      <c r="E201" s="184"/>
      <c r="F201" s="189" t="s">
        <v>583</v>
      </c>
      <c r="G201" s="453">
        <v>37974</v>
      </c>
    </row>
    <row r="202" spans="1:7" ht="20.100000000000001" customHeight="1">
      <c r="A202" s="499" t="s">
        <v>584</v>
      </c>
      <c r="B202" s="184"/>
      <c r="C202" s="184"/>
      <c r="D202" s="184"/>
      <c r="E202" s="184"/>
      <c r="F202" s="189" t="s">
        <v>585</v>
      </c>
      <c r="G202" s="453">
        <v>1828769</v>
      </c>
    </row>
    <row r="203" spans="1:7" ht="20.100000000000001" customHeight="1">
      <c r="A203" s="499" t="s">
        <v>586</v>
      </c>
      <c r="B203" s="184"/>
      <c r="C203" s="184"/>
      <c r="D203" s="184"/>
      <c r="E203" s="184"/>
      <c r="F203" s="189" t="s">
        <v>587</v>
      </c>
      <c r="G203" s="453">
        <v>153210</v>
      </c>
    </row>
    <row r="204" spans="1:7" ht="20.100000000000001" customHeight="1">
      <c r="A204" s="499" t="s">
        <v>588</v>
      </c>
      <c r="B204" s="184"/>
      <c r="C204" s="184"/>
      <c r="D204" s="184"/>
      <c r="E204" s="184"/>
      <c r="F204" s="865">
        <v>63100</v>
      </c>
      <c r="G204" s="453">
        <v>0</v>
      </c>
    </row>
    <row r="205" spans="1:7" ht="20.100000000000001" customHeight="1">
      <c r="A205" s="499" t="s">
        <v>589</v>
      </c>
      <c r="B205" s="184"/>
      <c r="C205" s="184"/>
      <c r="D205" s="184"/>
      <c r="E205" s="184"/>
      <c r="F205" s="189" t="s">
        <v>590</v>
      </c>
      <c r="G205" s="453">
        <v>701195</v>
      </c>
    </row>
    <row r="206" spans="1:7" ht="20.100000000000001" customHeight="1">
      <c r="A206" s="499" t="s">
        <v>591</v>
      </c>
      <c r="B206" s="184"/>
      <c r="C206" s="184"/>
      <c r="D206" s="184"/>
      <c r="E206" s="184"/>
      <c r="F206" s="189" t="s">
        <v>592</v>
      </c>
      <c r="G206" s="453">
        <f>1826515+28450</f>
        <v>1854965</v>
      </c>
    </row>
    <row r="207" spans="1:7" ht="20.100000000000001" customHeight="1">
      <c r="A207" s="499" t="s">
        <v>593</v>
      </c>
      <c r="B207" s="184"/>
      <c r="C207" s="184"/>
      <c r="D207" s="184"/>
      <c r="E207" s="184"/>
      <c r="F207" s="189" t="s">
        <v>594</v>
      </c>
      <c r="G207" s="453">
        <v>1048821</v>
      </c>
    </row>
    <row r="208" spans="1:7" ht="20.100000000000001" customHeight="1">
      <c r="A208" s="499" t="s">
        <v>595</v>
      </c>
      <c r="B208" s="184"/>
      <c r="C208" s="184"/>
      <c r="D208" s="184"/>
      <c r="E208" s="184"/>
      <c r="F208" s="189" t="s">
        <v>596</v>
      </c>
      <c r="G208" s="453">
        <v>0</v>
      </c>
    </row>
    <row r="209" spans="1:9" ht="20.100000000000001" customHeight="1">
      <c r="A209" s="499" t="s">
        <v>597</v>
      </c>
      <c r="B209" s="184"/>
      <c r="C209" s="184"/>
      <c r="D209" s="184"/>
      <c r="E209" s="184"/>
      <c r="F209" s="189" t="s">
        <v>598</v>
      </c>
      <c r="G209" s="453">
        <v>4000</v>
      </c>
    </row>
    <row r="210" spans="1:9" ht="20.100000000000001" customHeight="1">
      <c r="A210" s="499" t="s">
        <v>599</v>
      </c>
      <c r="B210" s="184"/>
      <c r="C210" s="184"/>
      <c r="D210" s="184"/>
      <c r="E210" s="184"/>
      <c r="F210" s="189" t="s">
        <v>600</v>
      </c>
      <c r="G210" s="453">
        <v>463577</v>
      </c>
    </row>
    <row r="211" spans="1:9" ht="20.100000000000001" customHeight="1">
      <c r="A211" s="499" t="s">
        <v>601</v>
      </c>
      <c r="B211" s="184"/>
      <c r="C211" s="184"/>
      <c r="D211" s="184"/>
      <c r="E211" s="184"/>
      <c r="F211" s="189" t="s">
        <v>602</v>
      </c>
      <c r="G211" s="453">
        <v>978185</v>
      </c>
    </row>
    <row r="212" spans="1:9" ht="20.100000000000001" customHeight="1">
      <c r="A212" s="499" t="s">
        <v>603</v>
      </c>
      <c r="F212" s="207" t="s">
        <v>604</v>
      </c>
      <c r="G212" s="453">
        <v>134343</v>
      </c>
    </row>
    <row r="213" spans="1:9" ht="20.100000000000001" customHeight="1">
      <c r="A213" s="499" t="s">
        <v>605</v>
      </c>
      <c r="B213" s="184"/>
      <c r="C213" s="184"/>
      <c r="D213" s="184"/>
      <c r="E213" s="184"/>
      <c r="F213" s="189" t="s">
        <v>606</v>
      </c>
      <c r="G213" s="453">
        <v>458936</v>
      </c>
    </row>
    <row r="214" spans="1:9" ht="20.100000000000001" customHeight="1">
      <c r="A214" s="499" t="s">
        <v>607</v>
      </c>
      <c r="B214" s="184"/>
      <c r="C214" s="184"/>
      <c r="D214" s="184"/>
      <c r="E214" s="184"/>
      <c r="F214" s="189" t="s">
        <v>608</v>
      </c>
      <c r="G214" s="453">
        <v>150325</v>
      </c>
    </row>
    <row r="215" spans="1:9" ht="20.100000000000001" customHeight="1">
      <c r="A215" s="499" t="s">
        <v>609</v>
      </c>
      <c r="B215" s="184"/>
      <c r="C215" s="184"/>
      <c r="D215" s="184"/>
      <c r="E215" s="184"/>
      <c r="F215" s="189" t="s">
        <v>610</v>
      </c>
      <c r="G215" s="453">
        <v>61115</v>
      </c>
    </row>
    <row r="216" spans="1:9" ht="20.100000000000001" customHeight="1">
      <c r="A216" s="499" t="s">
        <v>611</v>
      </c>
      <c r="B216" s="184"/>
      <c r="C216" s="184"/>
      <c r="D216" s="184"/>
      <c r="E216" s="184"/>
      <c r="F216" s="205" t="s">
        <v>612</v>
      </c>
      <c r="G216" s="453">
        <v>42100</v>
      </c>
    </row>
    <row r="217" spans="1:9" ht="20.100000000000001" customHeight="1">
      <c r="A217" s="499" t="s">
        <v>613</v>
      </c>
      <c r="B217" s="184"/>
      <c r="C217" s="184"/>
      <c r="D217" s="184"/>
      <c r="E217" s="184"/>
      <c r="F217" s="189" t="s">
        <v>614</v>
      </c>
      <c r="G217" s="453">
        <v>0</v>
      </c>
    </row>
    <row r="218" spans="1:9" ht="20.100000000000001" customHeight="1">
      <c r="A218" s="499" t="s">
        <v>615</v>
      </c>
      <c r="B218" s="184"/>
      <c r="C218" s="184"/>
      <c r="D218" s="184"/>
      <c r="E218" s="184"/>
      <c r="F218" s="189" t="s">
        <v>616</v>
      </c>
      <c r="G218" s="453">
        <v>0</v>
      </c>
    </row>
    <row r="219" spans="1:9" ht="20.100000000000001" customHeight="1">
      <c r="A219" s="499" t="s">
        <v>617</v>
      </c>
      <c r="B219" s="184"/>
      <c r="C219" s="184"/>
      <c r="D219" s="184"/>
      <c r="E219" s="184"/>
      <c r="F219" s="189" t="s">
        <v>618</v>
      </c>
      <c r="G219" s="453">
        <v>45000</v>
      </c>
    </row>
    <row r="220" spans="1:9" ht="20.100000000000001" customHeight="1">
      <c r="A220" s="499" t="s">
        <v>619</v>
      </c>
      <c r="B220" s="184"/>
      <c r="C220" s="184"/>
      <c r="D220" s="184"/>
      <c r="E220" s="184"/>
      <c r="F220" s="189" t="s">
        <v>620</v>
      </c>
      <c r="G220" s="453">
        <v>0</v>
      </c>
    </row>
    <row r="221" spans="1:9" ht="20.100000000000001" customHeight="1">
      <c r="A221" s="499" t="s">
        <v>621</v>
      </c>
      <c r="B221" s="184"/>
      <c r="C221" s="184"/>
      <c r="D221" s="184"/>
      <c r="E221" s="184"/>
      <c r="F221" s="189" t="s">
        <v>622</v>
      </c>
      <c r="G221" s="453">
        <v>0</v>
      </c>
    </row>
    <row r="222" spans="1:9" ht="20.100000000000001" customHeight="1">
      <c r="A222" s="510" t="s">
        <v>623</v>
      </c>
      <c r="B222" s="184"/>
      <c r="C222" s="184"/>
      <c r="D222" s="213"/>
      <c r="E222" s="184"/>
      <c r="F222" s="944">
        <v>69100</v>
      </c>
      <c r="G222" s="453">
        <v>0</v>
      </c>
    </row>
    <row r="223" spans="1:9" ht="20.100000000000001" customHeight="1">
      <c r="A223" s="510" t="s">
        <v>624</v>
      </c>
      <c r="B223" s="214"/>
      <c r="C223" s="214"/>
      <c r="D223" s="215"/>
      <c r="E223" s="214"/>
      <c r="F223" s="943">
        <v>69200</v>
      </c>
      <c r="G223" s="453">
        <v>0</v>
      </c>
    </row>
    <row r="224" spans="1:9" ht="20.100000000000001" customHeight="1">
      <c r="A224" s="499" t="s">
        <v>625</v>
      </c>
      <c r="B224" s="184"/>
      <c r="C224" s="184"/>
      <c r="D224" s="184"/>
      <c r="E224" s="184"/>
      <c r="F224" s="189" t="s">
        <v>626</v>
      </c>
      <c r="G224" s="453">
        <v>65000</v>
      </c>
      <c r="I224" s="216"/>
    </row>
    <row r="225" spans="1:7" ht="20.100000000000001" customHeight="1">
      <c r="A225" s="499" t="s">
        <v>627</v>
      </c>
      <c r="B225" s="184"/>
      <c r="C225" s="184"/>
      <c r="D225" s="184"/>
      <c r="E225" s="184"/>
      <c r="F225" s="189" t="s">
        <v>628</v>
      </c>
      <c r="G225" s="453"/>
    </row>
    <row r="226" spans="1:7" ht="20.100000000000001" customHeight="1">
      <c r="A226" s="499" t="s">
        <v>629</v>
      </c>
      <c r="B226" s="184"/>
      <c r="C226" s="184"/>
      <c r="D226" s="184"/>
      <c r="E226" s="184"/>
      <c r="F226" s="189" t="s">
        <v>630</v>
      </c>
      <c r="G226" s="1123">
        <v>360572</v>
      </c>
    </row>
    <row r="227" spans="1:7" ht="20.100000000000001" customHeight="1">
      <c r="A227" s="499"/>
      <c r="B227" s="184"/>
      <c r="C227" s="184"/>
      <c r="D227" s="184"/>
      <c r="E227" s="184"/>
      <c r="F227" s="189"/>
      <c r="G227" s="217"/>
    </row>
    <row r="228" spans="1:7" ht="20.100000000000001" customHeight="1">
      <c r="A228" s="1121" t="s">
        <v>631</v>
      </c>
      <c r="B228" s="574"/>
      <c r="C228" s="574"/>
      <c r="D228" s="574"/>
      <c r="E228" s="574"/>
      <c r="F228" s="575"/>
      <c r="G228" s="1124">
        <f>SUM(G198:G226)</f>
        <v>8989887</v>
      </c>
    </row>
    <row r="229" spans="1:7" ht="20.100000000000001" customHeight="1">
      <c r="A229" s="509"/>
      <c r="B229" s="211"/>
      <c r="C229" s="211"/>
      <c r="D229" s="211"/>
      <c r="E229" s="211"/>
      <c r="F229" s="579"/>
      <c r="G229" s="580"/>
    </row>
    <row r="230" spans="1:7" ht="20.100000000000001" customHeight="1">
      <c r="A230" s="1049" t="s">
        <v>203</v>
      </c>
      <c r="B230" s="725"/>
      <c r="C230" s="725"/>
      <c r="D230" s="725"/>
      <c r="E230" s="725"/>
      <c r="F230" s="726"/>
      <c r="G230" s="641"/>
    </row>
    <row r="231" spans="1:7" ht="20.100000000000001" customHeight="1">
      <c r="A231" s="499"/>
      <c r="B231" s="184"/>
      <c r="C231" s="184"/>
      <c r="D231" s="184"/>
      <c r="E231" s="184"/>
      <c r="F231" s="189"/>
      <c r="G231" s="217"/>
    </row>
    <row r="232" spans="1:7" ht="20.100000000000001" customHeight="1">
      <c r="A232" s="499" t="s">
        <v>632</v>
      </c>
      <c r="B232" s="184"/>
      <c r="C232" s="184"/>
      <c r="D232" s="184"/>
      <c r="E232" s="184"/>
      <c r="F232" s="189" t="s">
        <v>633</v>
      </c>
      <c r="G232" s="453">
        <v>0</v>
      </c>
    </row>
    <row r="233" spans="1:7" ht="20.100000000000001" customHeight="1">
      <c r="A233" s="499" t="s">
        <v>634</v>
      </c>
      <c r="B233" s="184"/>
      <c r="C233" s="184"/>
      <c r="D233" s="184"/>
      <c r="E233" s="184"/>
      <c r="F233" s="189" t="s">
        <v>635</v>
      </c>
      <c r="G233" s="453">
        <v>429227</v>
      </c>
    </row>
    <row r="234" spans="1:7" ht="20.100000000000001" customHeight="1">
      <c r="A234" s="499" t="s">
        <v>636</v>
      </c>
      <c r="B234" s="184"/>
      <c r="C234" s="184"/>
      <c r="D234" s="184"/>
      <c r="E234" s="184"/>
      <c r="F234" s="189" t="s">
        <v>637</v>
      </c>
      <c r="G234" s="453">
        <v>545891</v>
      </c>
    </row>
    <row r="235" spans="1:7" ht="20.100000000000001" customHeight="1">
      <c r="A235" s="499" t="s">
        <v>638</v>
      </c>
      <c r="B235" s="184"/>
      <c r="C235" s="184"/>
      <c r="D235" s="184"/>
      <c r="E235" s="184"/>
      <c r="F235" s="906" t="s">
        <v>639</v>
      </c>
      <c r="G235" s="453">
        <v>0</v>
      </c>
    </row>
    <row r="236" spans="1:7" ht="20.100000000000001" customHeight="1">
      <c r="A236" s="499" t="s">
        <v>640</v>
      </c>
      <c r="B236" s="184"/>
      <c r="C236" s="184"/>
      <c r="D236" s="184"/>
      <c r="E236" s="184"/>
      <c r="F236" s="906">
        <v>73001</v>
      </c>
      <c r="G236" s="453">
        <v>0</v>
      </c>
    </row>
    <row r="237" spans="1:7" ht="20.100000000000001" customHeight="1">
      <c r="A237" s="499" t="s">
        <v>641</v>
      </c>
      <c r="B237" s="184"/>
      <c r="C237" s="184"/>
      <c r="D237" s="184"/>
      <c r="E237" s="184"/>
      <c r="F237" s="906">
        <v>73002</v>
      </c>
      <c r="G237" s="453">
        <v>0</v>
      </c>
    </row>
    <row r="238" spans="1:7" ht="20.100000000000001" customHeight="1">
      <c r="A238" s="499" t="s">
        <v>642</v>
      </c>
      <c r="B238" s="184"/>
      <c r="C238" s="184"/>
      <c r="D238" s="184"/>
      <c r="E238" s="184"/>
      <c r="F238" s="207">
        <v>73050</v>
      </c>
      <c r="G238" s="453">
        <v>0</v>
      </c>
    </row>
    <row r="239" spans="1:7" ht="20.100000000000001" customHeight="1">
      <c r="A239" s="499" t="s">
        <v>643</v>
      </c>
      <c r="B239" s="184"/>
      <c r="C239" s="184"/>
      <c r="D239" s="184"/>
      <c r="E239" s="184"/>
      <c r="F239" s="207">
        <v>73100</v>
      </c>
      <c r="G239" s="453">
        <v>0</v>
      </c>
    </row>
    <row r="240" spans="1:7" ht="20.100000000000001" customHeight="1">
      <c r="A240" s="499" t="s">
        <v>644</v>
      </c>
      <c r="B240" s="184"/>
      <c r="C240" s="184"/>
      <c r="D240" s="184"/>
      <c r="E240" s="184"/>
      <c r="F240" s="189" t="s">
        <v>645</v>
      </c>
      <c r="G240" s="453">
        <v>0</v>
      </c>
    </row>
    <row r="241" spans="1:7" ht="20.100000000000001" customHeight="1">
      <c r="A241" s="499" t="s">
        <v>646</v>
      </c>
      <c r="B241" s="184"/>
      <c r="C241" s="184"/>
      <c r="D241" s="184"/>
      <c r="E241" s="184"/>
      <c r="F241" s="189" t="s">
        <v>647</v>
      </c>
      <c r="G241" s="453">
        <v>1550000</v>
      </c>
    </row>
    <row r="242" spans="1:7" ht="20.100000000000001" customHeight="1">
      <c r="A242" s="499" t="s">
        <v>648</v>
      </c>
      <c r="B242" s="184"/>
      <c r="C242" s="184"/>
      <c r="D242" s="184"/>
      <c r="E242" s="184"/>
      <c r="F242" s="189" t="s">
        <v>649</v>
      </c>
      <c r="G242" s="453">
        <v>0</v>
      </c>
    </row>
    <row r="243" spans="1:7" ht="20.100000000000001" customHeight="1">
      <c r="A243" s="499" t="s">
        <v>650</v>
      </c>
      <c r="B243" s="184"/>
      <c r="C243" s="184"/>
      <c r="D243" s="184"/>
      <c r="E243" s="184"/>
      <c r="F243" s="189" t="s">
        <v>651</v>
      </c>
      <c r="G243" s="453">
        <v>0</v>
      </c>
    </row>
    <row r="244" spans="1:7" ht="20.100000000000001" customHeight="1">
      <c r="A244" s="499" t="s">
        <v>652</v>
      </c>
      <c r="B244" s="184"/>
      <c r="C244" s="184"/>
      <c r="D244" s="184"/>
      <c r="E244" s="184"/>
      <c r="F244" s="189" t="s">
        <v>653</v>
      </c>
      <c r="G244" s="453">
        <v>0</v>
      </c>
    </row>
    <row r="245" spans="1:7" ht="20.100000000000001" customHeight="1">
      <c r="A245" s="499"/>
      <c r="B245" s="184"/>
      <c r="C245" s="184"/>
      <c r="D245" s="184"/>
      <c r="E245" s="184"/>
      <c r="F245" s="189"/>
      <c r="G245" s="1055"/>
    </row>
    <row r="246" spans="1:7" ht="20.100000000000001" customHeight="1">
      <c r="A246" s="1121" t="s">
        <v>654</v>
      </c>
      <c r="B246" s="574"/>
      <c r="C246" s="574"/>
      <c r="D246" s="574"/>
      <c r="E246" s="574"/>
      <c r="F246" s="575"/>
      <c r="G246" s="1124">
        <f>SUM(G232:G244)</f>
        <v>2525118</v>
      </c>
    </row>
    <row r="247" spans="1:7" ht="20.100000000000001" customHeight="1">
      <c r="A247" s="509"/>
      <c r="B247" s="211"/>
      <c r="C247" s="211"/>
      <c r="D247" s="211"/>
      <c r="E247" s="211"/>
      <c r="F247" s="211"/>
      <c r="G247" s="581"/>
    </row>
    <row r="248" spans="1:7" ht="20.100000000000001" customHeight="1" thickBot="1">
      <c r="A248" s="528" t="s">
        <v>655</v>
      </c>
      <c r="B248" s="529"/>
      <c r="C248" s="529"/>
      <c r="D248" s="529"/>
      <c r="E248" s="529"/>
      <c r="F248" s="530"/>
      <c r="G248" s="531">
        <f>SUM(G194+G228+G246)</f>
        <v>36636252</v>
      </c>
    </row>
    <row r="249" spans="1:7" ht="20.100000000000001" customHeight="1" thickTop="1">
      <c r="A249" s="1125"/>
      <c r="B249" s="1126"/>
      <c r="C249" s="1126"/>
      <c r="D249" s="1126"/>
      <c r="E249" s="1126"/>
      <c r="F249" s="1127"/>
      <c r="G249" s="1128"/>
    </row>
    <row r="250" spans="1:7" ht="20.100000000000001" customHeight="1">
      <c r="A250" s="1056"/>
      <c r="B250" s="1057"/>
      <c r="C250" s="1057"/>
      <c r="D250" s="1057"/>
      <c r="E250" s="1057"/>
      <c r="F250" s="1058"/>
      <c r="G250" s="1059"/>
    </row>
    <row r="251" spans="1:7" ht="20.100000000000001" customHeight="1">
      <c r="A251" s="499"/>
      <c r="B251" s="184"/>
      <c r="C251" s="184"/>
      <c r="D251" s="184"/>
      <c r="E251" s="184"/>
      <c r="F251" s="189"/>
      <c r="G251" s="217"/>
    </row>
    <row r="252" spans="1:7" ht="20.100000000000001" customHeight="1">
      <c r="A252" s="499" t="s">
        <v>656</v>
      </c>
      <c r="B252" s="184"/>
      <c r="C252" s="184"/>
      <c r="D252" s="184"/>
      <c r="E252" s="184"/>
      <c r="F252" s="201">
        <v>30100</v>
      </c>
      <c r="G252" s="452">
        <v>0</v>
      </c>
    </row>
    <row r="253" spans="1:7" ht="20.100000000000001" customHeight="1">
      <c r="A253" s="499" t="s">
        <v>657</v>
      </c>
      <c r="B253" s="184"/>
      <c r="C253" s="184"/>
      <c r="D253" s="184"/>
      <c r="E253" s="184"/>
      <c r="F253" s="201">
        <v>30200</v>
      </c>
      <c r="G253" s="453">
        <v>0</v>
      </c>
    </row>
    <row r="254" spans="1:7" ht="20.100000000000001" customHeight="1">
      <c r="A254" s="499" t="s">
        <v>658</v>
      </c>
      <c r="B254" s="184"/>
      <c r="C254" s="184"/>
      <c r="D254" s="184"/>
      <c r="E254" s="184"/>
      <c r="F254" s="201">
        <v>30300</v>
      </c>
      <c r="G254" s="453">
        <v>0</v>
      </c>
    </row>
    <row r="255" spans="1:7" ht="20.100000000000001" customHeight="1">
      <c r="A255" s="499" t="s">
        <v>659</v>
      </c>
      <c r="B255" s="184"/>
      <c r="C255" s="184"/>
      <c r="D255" s="184"/>
      <c r="E255" s="184"/>
      <c r="F255" s="201">
        <v>30400</v>
      </c>
      <c r="G255" s="453">
        <v>0</v>
      </c>
    </row>
    <row r="256" spans="1:7" ht="20.100000000000001" customHeight="1">
      <c r="A256" s="499" t="s">
        <v>660</v>
      </c>
      <c r="B256" s="184"/>
      <c r="C256" s="184"/>
      <c r="D256" s="184"/>
      <c r="E256" s="184"/>
      <c r="F256" s="201">
        <v>30500</v>
      </c>
      <c r="G256" s="453">
        <v>0</v>
      </c>
    </row>
    <row r="257" spans="1:12" ht="20.100000000000001" customHeight="1">
      <c r="A257" s="499" t="s">
        <v>661</v>
      </c>
      <c r="B257" s="184"/>
      <c r="C257" s="184"/>
      <c r="D257" s="184"/>
      <c r="E257" s="184"/>
      <c r="F257" s="201">
        <v>30600</v>
      </c>
      <c r="G257" s="453">
        <v>0</v>
      </c>
    </row>
    <row r="258" spans="1:12" ht="20.100000000000001" customHeight="1">
      <c r="A258" s="499" t="s">
        <v>662</v>
      </c>
      <c r="B258" s="184"/>
      <c r="C258" s="184"/>
      <c r="D258" s="184"/>
      <c r="E258" s="184"/>
      <c r="F258" s="201">
        <v>30700</v>
      </c>
      <c r="G258" s="453">
        <v>0</v>
      </c>
    </row>
    <row r="259" spans="1:12" ht="20.100000000000001" customHeight="1">
      <c r="A259" s="499" t="s">
        <v>663</v>
      </c>
      <c r="B259" s="184"/>
      <c r="C259" s="184"/>
      <c r="D259" s="184"/>
      <c r="E259" s="184"/>
      <c r="F259" s="201">
        <v>30900</v>
      </c>
      <c r="G259" s="453">
        <v>0</v>
      </c>
    </row>
    <row r="260" spans="1:12" ht="20.100000000000001" customHeight="1">
      <c r="A260" s="499" t="s">
        <v>664</v>
      </c>
      <c r="B260" s="184"/>
      <c r="C260" s="184"/>
      <c r="D260" s="184"/>
      <c r="E260" s="184"/>
      <c r="F260" s="201">
        <v>31100</v>
      </c>
      <c r="G260" s="1129">
        <v>4937671</v>
      </c>
    </row>
    <row r="261" spans="1:12" ht="20.100000000000001" customHeight="1">
      <c r="A261" s="499"/>
      <c r="B261" s="184"/>
      <c r="C261" s="184"/>
      <c r="D261" s="184"/>
      <c r="E261" s="184"/>
      <c r="F261" s="201"/>
      <c r="G261" s="1060"/>
    </row>
    <row r="262" spans="1:12" ht="20.100000000000001" customHeight="1">
      <c r="A262" s="500" t="s">
        <v>665</v>
      </c>
      <c r="B262" s="184"/>
      <c r="C262" s="184"/>
      <c r="D262" s="184"/>
      <c r="E262" s="184"/>
      <c r="F262" s="201"/>
      <c r="G262" s="1130">
        <f>SUM(G252:G260)</f>
        <v>4937671</v>
      </c>
    </row>
    <row r="263" spans="1:12" ht="20.100000000000001" customHeight="1">
      <c r="A263" s="500"/>
      <c r="B263" s="184"/>
      <c r="C263" s="184"/>
      <c r="D263" s="184"/>
      <c r="E263" s="184"/>
      <c r="F263" s="201"/>
      <c r="G263" s="217"/>
    </row>
    <row r="264" spans="1:12" ht="20.100000000000001" customHeight="1" thickBot="1">
      <c r="A264" s="511" t="s">
        <v>666</v>
      </c>
      <c r="F264" s="207">
        <v>30800</v>
      </c>
      <c r="G264" s="454">
        <v>-15885254</v>
      </c>
      <c r="H264" s="533"/>
    </row>
    <row r="265" spans="1:12" ht="20.100000000000001" customHeight="1">
      <c r="A265" s="507"/>
      <c r="F265" s="207"/>
      <c r="G265" s="217"/>
    </row>
    <row r="266" spans="1:12" ht="20.100000000000001" customHeight="1">
      <c r="A266" s="512" t="s">
        <v>667</v>
      </c>
      <c r="B266" s="513"/>
      <c r="C266" s="513"/>
      <c r="D266" s="513"/>
      <c r="E266" s="513"/>
      <c r="F266" s="514"/>
      <c r="G266" s="515">
        <f>G262+G264</f>
        <v>-10947583</v>
      </c>
      <c r="H266" s="534"/>
    </row>
    <row r="267" spans="1:12">
      <c r="A267" s="218"/>
      <c r="B267" s="218"/>
      <c r="C267" s="218"/>
      <c r="D267" s="218"/>
      <c r="E267" s="218"/>
      <c r="F267" s="219"/>
      <c r="G267" s="220"/>
      <c r="H267" s="221"/>
      <c r="I267" s="221"/>
      <c r="J267" s="221"/>
      <c r="K267" s="221"/>
      <c r="L267" s="221"/>
    </row>
    <row r="268" spans="1:12" ht="13.5" customHeight="1">
      <c r="I268" s="221"/>
      <c r="J268" s="221"/>
      <c r="K268" s="221"/>
      <c r="L268" s="221"/>
    </row>
    <row r="269" spans="1:12">
      <c r="I269" s="221"/>
      <c r="J269" s="221"/>
      <c r="K269" s="221"/>
      <c r="L269" s="221"/>
    </row>
  </sheetData>
  <sheetProtection algorithmName="SHA-512" hashValue="9+ydBN3L5lRE7o3RlezZmWTaKNlEoEOlFmOnOVUDAVxf9C4gFyIYDzb8PYAybIog6TtbpB3UasuCxNSSuQMwWg==" saltValue="kPWunA+SbKIo0JFBkv9y3A=="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 right="0" top="0" bottom="0" header="0" footer="0"/>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2" max="6" man="1"/>
    <brk id="129" max="6" man="1"/>
    <brk id="195" max="6" man="1"/>
  </rowBreaks>
  <ignoredErrors>
    <ignoredError sqref="A245:A249 F137:F138 F123:F126 F117 F109:F113 F11:F17 F190:F192 F21:F33 A227:H227 F157:F170 F146:F155 A257:A261 B245:H245 B228:F228 H228 B247:H249 B246:F246 H246 F45:F64 A263 F174:F188 A254:A255 B229:H229 F37:F40 A251:A252 A265:H271 B264:F264 A229:A231 F66:F72 F74:F86 F94:F97 F99:F103 B231:H231 G230:H230 B251:H251 G250:H250 B205:F206 H205:H206 B261:H263 B232:F235 H232:H235 B252:F260 H252:H260 F88:F91 B240:F241 H240:H241 H198:H203 B198:F203 F132 F134:F135 B207:F221 H207:H222 B224:F226 B222:E222 H223 B223:E223 H224:H226 B242:F244 H242:H244" numberStoredAsText="1"/>
    <ignoredError sqref="G85 G75 G81 G142"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607217E831A0D49A70D817CAB5E7C54" ma:contentTypeVersion="18" ma:contentTypeDescription="Create a new document." ma:contentTypeScope="" ma:versionID="cbb7dae921979a6cca78e4252e679506">
  <xsd:schema xmlns:xsd="http://www.w3.org/2001/XMLSchema" xmlns:xs="http://www.w3.org/2001/XMLSchema" xmlns:p="http://schemas.microsoft.com/office/2006/metadata/properties" xmlns:ns2="0936bc93-ae90-499c-ae0e-0c35757af1ec" xmlns:ns3="26ea4d91-f693-4221-9663-09e7c0ab8274" targetNamespace="http://schemas.microsoft.com/office/2006/metadata/properties" ma:root="true" ma:fieldsID="76d508b8bbada52f9504d1ff5f6832e8" ns2:_="" ns3:_="">
    <xsd:import namespace="0936bc93-ae90-499c-ae0e-0c35757af1ec"/>
    <xsd:import namespace="26ea4d91-f693-4221-9663-09e7c0ab827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Dateandtiume"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Number" minOccurs="0"/>
                <xsd:element ref="ns2:lcf76f155ced4ddcb4097134ff3c332f" minOccurs="0"/>
                <xsd:element ref="ns3:TaxCatchAll"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936bc93-ae90-499c-ae0e-0c35757af1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Dateandtiume" ma:index="12" nillable="true" ma:displayName="Date and tiume" ma:format="DateTime" ma:internalName="Dateandtiume">
      <xsd:simpleType>
        <xsd:restriction base="dms:DateTim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Number" ma:index="20" nillable="true" ma:displayName="Number" ma:format="Dropdown" ma:indexed="true" ma:internalName="Number" ma:percentage="FALSE">
      <xsd:simpleType>
        <xsd:restriction base="dms:Number">
          <xsd:maxInclusive value="23"/>
          <xsd:minInclusive value="1"/>
        </xsd:restrictio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e432d885-fa19-4bbd-84ce-e71065e6f5b8" ma:termSetId="09814cd3-568e-fe90-9814-8d621ff8fb84" ma:anchorId="fba54fb3-c3e1-fe81-a776-ca4b69148c4d" ma:open="true" ma:isKeyword="false">
      <xsd:complexType>
        <xsd:sequence>
          <xsd:element ref="pc:Terms" minOccurs="0" maxOccurs="1"/>
        </xsd:sequence>
      </xsd:complexType>
    </xsd:element>
    <xsd:element name="MediaServiceLocation" ma:index="24" nillable="true" ma:displayName="Location" ma:internalName="MediaServiceLocation"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6ea4d91-f693-4221-9663-09e7c0ab8274"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c947cd5e-c2f1-4da7-aed6-c93b4bbc9040}" ma:internalName="TaxCatchAll" ma:showField="CatchAllData" ma:web="26ea4d91-f693-4221-9663-09e7c0ab827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ateandtiume xmlns="0936bc93-ae90-499c-ae0e-0c35757af1ec" xsi:nil="true"/>
    <Number xmlns="0936bc93-ae90-499c-ae0e-0c35757af1ec" xsi:nil="true"/>
    <TaxCatchAll xmlns="26ea4d91-f693-4221-9663-09e7c0ab8274" xsi:nil="true"/>
    <lcf76f155ced4ddcb4097134ff3c332f xmlns="0936bc93-ae90-499c-ae0e-0c35757af1ec">
      <Terms xmlns="http://schemas.microsoft.com/office/infopath/2007/PartnerControls"/>
    </lcf76f155ced4ddcb4097134ff3c332f>
    <SharedWithUsers xmlns="26ea4d91-f693-4221-9663-09e7c0ab8274">
      <UserInfo>
        <DisplayName>Weyrauch, June</DisplayName>
        <AccountId>35</AccountId>
        <AccountType/>
      </UserInfo>
      <UserInfo>
        <DisplayName>Elliott, Peter</DisplayName>
        <AccountId>15</AccountId>
        <AccountType/>
      </UserInfo>
    </SharedWithUsers>
  </documentManagement>
</p:properties>
</file>

<file path=customXml/itemProps1.xml><?xml version="1.0" encoding="utf-8"?>
<ds:datastoreItem xmlns:ds="http://schemas.openxmlformats.org/officeDocument/2006/customXml" ds:itemID="{E8432BFE-77C7-4760-BE1D-3ECBDF0644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936bc93-ae90-499c-ae0e-0c35757af1ec"/>
    <ds:schemaRef ds:uri="26ea4d91-f693-4221-9663-09e7c0ab827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3.xml><?xml version="1.0" encoding="utf-8"?>
<ds:datastoreItem xmlns:ds="http://schemas.openxmlformats.org/officeDocument/2006/customXml" ds:itemID="{F4EB99F0-3281-401A-A88B-34022978AF39}">
  <ds:schemaRefs>
    <ds:schemaRef ds:uri="http://purl.org/dc/terms/"/>
    <ds:schemaRef ds:uri="http://schemas.microsoft.com/office/2006/documentManagement/types"/>
    <ds:schemaRef ds:uri="http://purl.org/dc/elements/1.1/"/>
    <ds:schemaRef ds:uri="http://schemas.openxmlformats.org/package/2006/metadata/core-properties"/>
    <ds:schemaRef ds:uri="26ea4d91-f693-4221-9663-09e7c0ab8274"/>
    <ds:schemaRef ds:uri="http://www.w3.org/XML/1998/namespace"/>
    <ds:schemaRef ds:uri="0936bc93-ae90-499c-ae0e-0c35757af1ec"/>
    <ds:schemaRef ds:uri="http://schemas.microsoft.com/office/infopath/2007/PartnerControls"/>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dcterms:created xsi:type="dcterms:W3CDTF">2005-03-22T15:46:43Z</dcterms:created>
  <dcterms:modified xsi:type="dcterms:W3CDTF">2023-08-09T20:30:23Z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0x010100F607217E831A0D49A70D817CAB5E7C54</vt:lpwstr>
  </property>
  <property fmtid="{D5CDD505-2E9C-101B-9397-08002B2CF9AE}" pid="6" name="MediaServiceImageTags">
    <vt:lpwstr/>
  </property>
</Properties>
</file>