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6EA19971-6841-4CA2-869F-D92D2FD87334}"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F33" i="6"/>
  <c r="G33" i="6"/>
  <c r="F34" i="6"/>
  <c r="G34" i="6"/>
  <c r="F35" i="6"/>
  <c r="G35" i="6"/>
  <c r="E19" i="6"/>
  <c r="F19" i="6"/>
  <c r="G21" i="7" s="1"/>
  <c r="E20" i="6"/>
  <c r="F20" i="6"/>
  <c r="G22" i="7" s="1"/>
  <c r="E21" i="6"/>
  <c r="F21" i="6" s="1"/>
  <c r="G23" i="7" s="1"/>
  <c r="E22" i="6"/>
  <c r="F22" i="6" s="1"/>
  <c r="G24" i="7" s="1"/>
  <c r="E23" i="6"/>
  <c r="F23" i="6"/>
  <c r="G25" i="7" s="1"/>
  <c r="E24" i="6"/>
  <c r="F24" i="6" s="1"/>
  <c r="G26" i="7" s="1"/>
  <c r="B34" i="5"/>
  <c r="H34" i="5" s="1"/>
  <c r="I34" i="5" s="1"/>
  <c r="B35" i="5"/>
  <c r="H35" i="5" s="1"/>
  <c r="I35" i="5" s="1"/>
  <c r="B37" i="5"/>
  <c r="E41" i="6" s="1"/>
  <c r="F41" i="6" s="1"/>
  <c r="G39" i="7" s="1"/>
  <c r="B38" i="5"/>
  <c r="H38" i="5" s="1"/>
  <c r="I38" i="5"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6" i="22" s="1"/>
  <c r="D59" i="22"/>
  <c r="D61" i="22" s="1"/>
  <c r="B52" i="22"/>
  <c r="E33" i="22"/>
  <c r="E34" i="22" s="1"/>
  <c r="D33" i="22"/>
  <c r="D34" i="22" s="1"/>
  <c r="D26" i="22"/>
  <c r="D38" i="22"/>
  <c r="C38" i="22"/>
  <c r="E15" i="22"/>
  <c r="D15" i="22"/>
  <c r="B46" i="22"/>
  <c r="E26" i="22"/>
  <c r="E59" i="22"/>
  <c r="E61" i="22" s="1"/>
  <c r="E38" i="22"/>
  <c r="B29" i="5"/>
  <c r="H14" i="5"/>
  <c r="G246" i="7"/>
  <c r="E15" i="8"/>
  <c r="E36" i="6"/>
  <c r="D36" i="6"/>
  <c r="D43" i="6"/>
  <c r="D26" i="6"/>
  <c r="E17" i="6"/>
  <c r="G20" i="5"/>
  <c r="H20" i="5" s="1"/>
  <c r="G19" i="5"/>
  <c r="H19" i="5" s="1"/>
  <c r="G22" i="5"/>
  <c r="H22" i="5" s="1"/>
  <c r="G23" i="5"/>
  <c r="H23" i="5" s="1"/>
  <c r="E20" i="12"/>
  <c r="E29" i="12"/>
  <c r="G194" i="7"/>
  <c r="D21" i="8"/>
  <c r="E59" i="3"/>
  <c r="C94" i="12"/>
  <c r="B31" i="5"/>
  <c r="H31" i="5" s="1"/>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D17" i="6"/>
  <c r="F12" i="6"/>
  <c r="E46" i="3" s="1"/>
  <c r="F11" i="6"/>
  <c r="H11" i="6" s="1"/>
  <c r="G13" i="7" s="1"/>
  <c r="F14" i="6"/>
  <c r="E48" i="3" s="1"/>
  <c r="H13" i="6"/>
  <c r="G15" i="7" s="1"/>
  <c r="F15" i="6"/>
  <c r="F10" i="6"/>
  <c r="E44" i="3" s="1"/>
  <c r="E47" i="3"/>
  <c r="H34" i="6" l="1"/>
  <c r="G32" i="7" s="1"/>
  <c r="H35" i="6"/>
  <c r="G33" i="7" s="1"/>
  <c r="H30" i="5"/>
  <c r="I30" i="5" s="1"/>
  <c r="D62" i="22"/>
  <c r="C74" i="3"/>
  <c r="C77" i="3"/>
  <c r="E42" i="6"/>
  <c r="F42" i="6" s="1"/>
  <c r="G40" i="7" s="1"/>
  <c r="E30" i="12"/>
  <c r="D67" i="22"/>
  <c r="D70" i="22" s="1"/>
  <c r="H15" i="6"/>
  <c r="G17" i="7" s="1"/>
  <c r="H10" i="6"/>
  <c r="D118" i="15" s="1"/>
  <c r="C126" i="3" s="1"/>
  <c r="E66" i="22"/>
  <c r="E68" i="22" s="1"/>
  <c r="E40" i="6"/>
  <c r="F40" i="6" s="1"/>
  <c r="G38" i="7" s="1"/>
  <c r="E39" i="6"/>
  <c r="F39" i="6" s="1"/>
  <c r="G37" i="7" s="1"/>
  <c r="H33" i="6"/>
  <c r="G31" i="7" s="1"/>
  <c r="H37" i="5"/>
  <c r="I37" i="5" s="1"/>
  <c r="D69" i="22"/>
  <c r="D68" i="22"/>
  <c r="C95" i="3"/>
  <c r="E62" i="22"/>
  <c r="E60" i="22"/>
  <c r="E49" i="3"/>
  <c r="F36" i="6"/>
  <c r="H14" i="6"/>
  <c r="G16" i="7" s="1"/>
  <c r="H12" i="6"/>
  <c r="G14" i="7" s="1"/>
  <c r="H32" i="6"/>
  <c r="G30" i="7" s="1"/>
  <c r="F17" i="6"/>
  <c r="E50" i="3" s="1"/>
  <c r="E21" i="8"/>
  <c r="D60" i="22"/>
  <c r="C93" i="3"/>
  <c r="E45" i="3"/>
  <c r="B70" i="6"/>
  <c r="H29" i="5"/>
  <c r="I29" i="5" s="1"/>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85" i="23"/>
  <c r="F93" i="23"/>
  <c r="D47" i="3"/>
  <c r="F47" i="3" s="1"/>
  <c r="G47" i="3" s="1"/>
  <c r="D46" i="3"/>
  <c r="F46" i="3" s="1"/>
  <c r="G46" i="3" s="1"/>
  <c r="F86" i="3"/>
  <c r="D35" i="23"/>
  <c r="G42" i="7" l="1"/>
  <c r="G12" i="7"/>
  <c r="E70" i="22"/>
  <c r="C119" i="3"/>
  <c r="F118" i="15"/>
  <c r="E69" i="22"/>
  <c r="F43" i="6"/>
  <c r="D129" i="15"/>
  <c r="D131" i="15" s="1"/>
  <c r="G35" i="7"/>
  <c r="F49" i="3"/>
  <c r="G49" i="3" s="1"/>
  <c r="G19" i="7"/>
  <c r="G44" i="7" s="1"/>
  <c r="G63" i="7" s="1"/>
  <c r="G142" i="7" s="1"/>
  <c r="H17" i="6"/>
  <c r="H36" i="6"/>
  <c r="H44" i="6" s="1"/>
  <c r="F45" i="3"/>
  <c r="G45" i="3" s="1"/>
  <c r="H27" i="6"/>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29" i="15" l="1"/>
  <c r="C135" i="3" s="1"/>
  <c r="H46" i="6"/>
  <c r="C34" i="3" s="1"/>
  <c r="E18" i="4"/>
  <c r="E21" i="4" s="1"/>
  <c r="E23" i="4" s="1"/>
  <c r="E44" i="4" s="1"/>
  <c r="C17" i="3" s="1"/>
  <c r="F84" i="3"/>
  <c r="F88" i="3" s="1"/>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<sst xmlns="http://schemas.openxmlformats.org/spreadsheetml/2006/main" count="1346" uniqueCount="780">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</sst>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Florida State College at Jacksonville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49675407</v>
      </c>
      <c r="C10" s="456">
        <v>4303909</v>
      </c>
      <c r="D10" s="456">
        <v>675000</v>
      </c>
      <c r="E10" s="371">
        <f>SUM(B10:D10)</f>
        <v>54654316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18331228</v>
      </c>
      <c r="C14" s="458">
        <v>3496511</v>
      </c>
      <c r="D14" s="458">
        <v>0</v>
      </c>
      <c r="E14" s="372">
        <f t="shared" ref="E14:E20" si="0">SUM(B14:D14)</f>
        <v>21827739</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15120949</v>
      </c>
      <c r="C16" s="446">
        <v>1435661</v>
      </c>
      <c r="D16" s="446">
        <v>0</v>
      </c>
      <c r="E16" s="372">
        <f t="shared" si="0"/>
        <v>16556610</v>
      </c>
      <c r="F16" s="354"/>
    </row>
    <row r="17" spans="1:6" s="17" customFormat="1" ht="20.100000000000001" customHeight="1">
      <c r="A17" s="370" t="s">
        <v>594</v>
      </c>
      <c r="B17" s="457">
        <v>13125845</v>
      </c>
      <c r="C17" s="446">
        <v>10359725</v>
      </c>
      <c r="D17" s="446">
        <v>562000</v>
      </c>
      <c r="E17" s="372">
        <f t="shared" si="0"/>
        <v>24047570</v>
      </c>
      <c r="F17" s="354"/>
    </row>
    <row r="18" spans="1:6" s="17" customFormat="1" ht="20.100000000000001" customHeight="1">
      <c r="A18" s="370" t="s">
        <v>595</v>
      </c>
      <c r="B18" s="457">
        <v>11327207</v>
      </c>
      <c r="C18" s="446">
        <v>8820482</v>
      </c>
      <c r="D18" s="446">
        <v>178450</v>
      </c>
      <c r="E18" s="372">
        <f t="shared" si="0"/>
        <v>20326139</v>
      </c>
      <c r="F18" s="354"/>
    </row>
    <row r="19" spans="1:6" s="17" customFormat="1" ht="20.100000000000001" customHeight="1">
      <c r="A19" s="370" t="s">
        <v>596</v>
      </c>
      <c r="B19" s="457">
        <v>498672</v>
      </c>
      <c r="C19" s="446">
        <v>128116</v>
      </c>
      <c r="D19" s="446">
        <v>0</v>
      </c>
      <c r="E19" s="372">
        <f t="shared" si="0"/>
        <v>626788</v>
      </c>
      <c r="F19" s="354"/>
    </row>
    <row r="20" spans="1:6" s="17" customFormat="1" ht="20.100000000000001" customHeight="1" thickBot="1">
      <c r="A20" s="370" t="s">
        <v>597</v>
      </c>
      <c r="B20" s="457">
        <v>1081272</v>
      </c>
      <c r="C20" s="447">
        <v>993580</v>
      </c>
      <c r="D20" s="447">
        <v>223000</v>
      </c>
      <c r="E20" s="372">
        <f t="shared" si="0"/>
        <v>2297852</v>
      </c>
      <c r="F20" s="354"/>
    </row>
    <row r="21" spans="1:6" s="17" customFormat="1" ht="24" customHeight="1" thickBot="1">
      <c r="A21" s="295" t="s">
        <v>50</v>
      </c>
      <c r="B21" s="355">
        <f>SUM(B10:B20)</f>
        <v>109160580</v>
      </c>
      <c r="C21" s="358">
        <f>SUM(C10:C20)</f>
        <v>29537984</v>
      </c>
      <c r="D21" s="358">
        <f>SUM(D10:D20)</f>
        <v>1638450</v>
      </c>
      <c r="E21" s="357">
        <f>SUM(E10:E20)</f>
        <v>140337014</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Florida State College at Jacksonville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117986</v>
      </c>
      <c r="E10" s="459">
        <v>0</v>
      </c>
      <c r="F10" s="236">
        <f t="shared" ref="F10:F74" si="0">+D10+E10</f>
        <v>117986</v>
      </c>
      <c r="I10" s="88"/>
      <c r="J10" s="29"/>
      <c r="K10" s="93"/>
      <c r="L10" s="93"/>
      <c r="M10" s="93"/>
      <c r="N10" s="93"/>
    </row>
    <row r="11" spans="1:224" s="17" customFormat="1" ht="30" customHeight="1">
      <c r="A11" s="770" t="s">
        <v>406</v>
      </c>
      <c r="B11" s="771"/>
      <c r="C11" s="772" t="s">
        <v>407</v>
      </c>
      <c r="D11" s="773">
        <v>187260</v>
      </c>
      <c r="E11" s="773">
        <v>0</v>
      </c>
      <c r="F11" s="774">
        <f t="shared" si="0"/>
        <v>187260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1363235</v>
      </c>
      <c r="E15" s="773">
        <v>0</v>
      </c>
      <c r="F15" s="774">
        <f t="shared" si="0"/>
        <v>1363235</v>
      </c>
      <c r="I15" s="88"/>
      <c r="J15" s="29"/>
      <c r="K15" s="93"/>
      <c r="L15" s="93"/>
      <c r="M15" s="93"/>
      <c r="N15" s="93"/>
    </row>
    <row r="16" spans="1:224" s="17" customFormat="1" ht="30" customHeight="1">
      <c r="A16" s="770" t="s">
        <v>416</v>
      </c>
      <c r="B16" s="771"/>
      <c r="C16" s="772" t="s">
        <v>417</v>
      </c>
      <c r="D16" s="773">
        <v>582703</v>
      </c>
      <c r="E16" s="773">
        <v>0</v>
      </c>
      <c r="F16" s="774">
        <f t="shared" si="0"/>
        <v>582703</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91608</v>
      </c>
      <c r="E25" s="773">
        <v>0</v>
      </c>
      <c r="F25" s="774">
        <f t="shared" si="0"/>
        <v>91608</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46215</v>
      </c>
      <c r="E30" s="773">
        <v>0</v>
      </c>
      <c r="F30" s="774">
        <f t="shared" si="0"/>
        <v>46215</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619054</v>
      </c>
      <c r="E35" s="773">
        <v>0</v>
      </c>
      <c r="F35" s="774">
        <f>+D35+E35</f>
        <v>619054</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199912</v>
      </c>
      <c r="E48" s="773">
        <v>0</v>
      </c>
      <c r="F48" s="774">
        <f t="shared" si="0"/>
        <v>199912</v>
      </c>
    </row>
    <row r="49" spans="1:6" s="17" customFormat="1" ht="30" customHeight="1">
      <c r="A49" s="770" t="s">
        <v>478</v>
      </c>
      <c r="B49" s="771"/>
      <c r="C49" s="772" t="s">
        <v>479</v>
      </c>
      <c r="D49" s="773">
        <v>215385</v>
      </c>
      <c r="E49" s="773">
        <v>0</v>
      </c>
      <c r="F49" s="774">
        <f t="shared" si="0"/>
        <v>215385</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434786</v>
      </c>
      <c r="E54" s="773">
        <v>0</v>
      </c>
      <c r="F54" s="774">
        <f t="shared" si="0"/>
        <v>434786</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3858144</v>
      </c>
      <c r="E57" s="270">
        <f>SUM(E10:E56)</f>
        <v>0</v>
      </c>
      <c r="F57" s="270">
        <f t="shared" si="0"/>
        <v>3858144</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7392</v>
      </c>
      <c r="E64" s="459">
        <v>0</v>
      </c>
      <c r="F64" s="236">
        <f t="shared" si="0"/>
        <v>7392</v>
      </c>
    </row>
    <row r="65" spans="1:6" s="17" customFormat="1" ht="30" customHeight="1">
      <c r="A65" s="770" t="s">
        <v>497</v>
      </c>
      <c r="B65" s="771"/>
      <c r="C65" s="780" t="s">
        <v>498</v>
      </c>
      <c r="D65" s="773">
        <v>700</v>
      </c>
      <c r="E65" s="773">
        <v>0</v>
      </c>
      <c r="F65" s="774">
        <f t="shared" si="0"/>
        <v>700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2653</v>
      </c>
      <c r="E67" s="773">
        <v>0</v>
      </c>
      <c r="F67" s="774">
        <f t="shared" si="0"/>
        <v>2653</v>
      </c>
    </row>
    <row r="68" spans="1:6" s="17" customFormat="1" ht="30" customHeight="1">
      <c r="A68" s="770" t="s">
        <v>609</v>
      </c>
      <c r="B68" s="771"/>
      <c r="C68" s="780" t="s">
        <v>504</v>
      </c>
      <c r="D68" s="773">
        <v>3568</v>
      </c>
      <c r="E68" s="773">
        <v>0</v>
      </c>
      <c r="F68" s="774">
        <f t="shared" si="0"/>
        <v>3568</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100</v>
      </c>
      <c r="E72" s="773">
        <v>0</v>
      </c>
      <c r="F72" s="774">
        <f t="shared" si="0"/>
        <v>100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300</v>
      </c>
      <c r="E74" s="773">
        <v>0</v>
      </c>
      <c r="F74" s="774">
        <f t="shared" si="0"/>
        <v>300</v>
      </c>
    </row>
    <row r="75" spans="1:6" s="17" customFormat="1" ht="30" customHeight="1">
      <c r="A75" s="770" t="s">
        <v>514</v>
      </c>
      <c r="B75" s="771"/>
      <c r="C75" s="780" t="s">
        <v>515</v>
      </c>
      <c r="D75" s="773">
        <v>11608</v>
      </c>
      <c r="E75" s="773">
        <v>0</v>
      </c>
      <c r="F75" s="774">
        <f t="shared" ref="F75:F110" si="1">+D75+E75</f>
        <v>11608</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0</v>
      </c>
      <c r="E77" s="773">
        <v>0</v>
      </c>
      <c r="F77" s="774">
        <f t="shared" si="1"/>
        <v>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11400</v>
      </c>
      <c r="E80" s="773">
        <v>0</v>
      </c>
      <c r="F80" s="774">
        <f t="shared" si="1"/>
        <v>11400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45965</v>
      </c>
      <c r="E84" s="773">
        <v>0</v>
      </c>
      <c r="F84" s="774">
        <f t="shared" si="2"/>
        <v>45965</v>
      </c>
    </row>
    <row r="85" spans="1:6" s="17" customFormat="1" ht="30" customHeight="1">
      <c r="A85" s="770" t="s">
        <v>534</v>
      </c>
      <c r="B85" s="771"/>
      <c r="C85" s="780" t="s">
        <v>535</v>
      </c>
      <c r="D85" s="773">
        <v>88063</v>
      </c>
      <c r="E85" s="773">
        <v>0</v>
      </c>
      <c r="F85" s="774">
        <f t="shared" si="2"/>
        <v>88063</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2652</v>
      </c>
      <c r="E87" s="773">
        <v>0</v>
      </c>
      <c r="F87" s="774">
        <f t="shared" si="1"/>
        <v>2652</v>
      </c>
    </row>
    <row r="88" spans="1:6" s="17" customFormat="1" ht="30" customHeight="1">
      <c r="A88" s="770" t="s">
        <v>610</v>
      </c>
      <c r="B88" s="771"/>
      <c r="C88" s="780">
        <v>69100</v>
      </c>
      <c r="D88" s="773">
        <v>300</v>
      </c>
      <c r="E88" s="773">
        <v>0</v>
      </c>
      <c r="F88" s="774">
        <f t="shared" si="1"/>
        <v>300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174701</v>
      </c>
      <c r="E93" s="266">
        <f>SUM(E64:E92)</f>
        <v>0</v>
      </c>
      <c r="F93" s="266">
        <f t="shared" si="1"/>
        <v>174701</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10434</v>
      </c>
      <c r="E98" s="459">
        <v>0</v>
      </c>
      <c r="F98" s="236">
        <f t="shared" si="1"/>
        <v>10434</v>
      </c>
    </row>
    <row r="99" spans="1:6" s="17" customFormat="1" ht="30" customHeight="1">
      <c r="A99" s="770" t="s">
        <v>613</v>
      </c>
      <c r="B99" s="771"/>
      <c r="C99" s="780" t="s">
        <v>550</v>
      </c>
      <c r="D99" s="773">
        <v>2050</v>
      </c>
      <c r="E99" s="773">
        <v>0</v>
      </c>
      <c r="F99" s="774">
        <f t="shared" si="1"/>
        <v>2050</v>
      </c>
    </row>
    <row r="100" spans="1:6" s="17" customFormat="1" ht="30" customHeight="1">
      <c r="A100" s="770" t="s">
        <v>551</v>
      </c>
      <c r="B100" s="771"/>
      <c r="C100" s="780" t="s">
        <v>552</v>
      </c>
      <c r="D100" s="773"/>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35385</v>
      </c>
      <c r="E107" s="773">
        <v>0</v>
      </c>
      <c r="F107" s="774">
        <f t="shared" si="1"/>
        <v>35385</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47869</v>
      </c>
      <c r="E111" s="270">
        <f>SUM(E98:E110)</f>
        <v>0</v>
      </c>
      <c r="F111" s="270">
        <f>SUM(D111:E111)</f>
        <v>47869</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4080714</v>
      </c>
      <c r="E113" s="266">
        <f>+E57+E93+E111</f>
        <v>0</v>
      </c>
      <c r="F113" s="266">
        <f>SUM(D113:E113)</f>
        <v>4080714</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4078321</v>
      </c>
      <c r="E118" s="773">
        <v>0</v>
      </c>
      <c r="F118" s="774">
        <f t="shared" ref="F118:F128" si="3">+D118+E118</f>
        <v>4078321</v>
      </c>
    </row>
    <row r="119" spans="1:6" s="69" customFormat="1" ht="30" customHeight="1">
      <c r="A119" s="770" t="s">
        <v>618</v>
      </c>
      <c r="B119" s="615"/>
      <c r="C119" s="782"/>
      <c r="D119" s="1103">
        <f>'EXHIBIT C'!F19</f>
        <v>2393</v>
      </c>
      <c r="E119" s="773">
        <v>0</v>
      </c>
      <c r="F119" s="774">
        <f t="shared" si="3"/>
        <v>2393</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4080714</v>
      </c>
      <c r="E129" s="260">
        <f>SUM(E117:E128)</f>
        <v>0</v>
      </c>
      <c r="F129" s="261">
        <f>SUM(F117:F128)</f>
        <v>4080714</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27</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9.0901892124501574E-2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45000</v>
      </c>
      <c r="E44" s="114">
        <f>+'EXHIBIT C'!F10</f>
        <v>44431</v>
      </c>
      <c r="F44" s="115">
        <f t="shared" ref="F44:F50" si="0">IF(D44=0,"0",(E44/D44-1))</f>
        <v>-1.2644444444444458E-2</v>
      </c>
      <c r="G44" s="116" t="str">
        <f t="shared" ref="G44:G50" si="1">IF(OR(F44&gt;3%, F44&lt;-3%),"YES","NO")</f>
        <v>NO</v>
      </c>
      <c r="H44" s="88"/>
    </row>
    <row r="45" spans="1:8" ht="20.100000000000001" customHeight="1">
      <c r="C45" s="117" t="s">
        <v>132</v>
      </c>
      <c r="D45" s="664">
        <f>VLOOKUP($D$7,VLOOKUP!$A$111:$S$139,5)*30+D60</f>
        <v>202742.93518711848</v>
      </c>
      <c r="E45" s="118">
        <f>+'EXHIBIT C'!F11</f>
        <v>201043</v>
      </c>
      <c r="F45" s="665">
        <f t="shared" si="0"/>
        <v>-8.3846827291395032E-3</v>
      </c>
      <c r="G45" s="666" t="str">
        <f t="shared" si="1"/>
        <v>NO</v>
      </c>
      <c r="H45" s="88"/>
    </row>
    <row r="46" spans="1:8" ht="20.100000000000001" customHeight="1">
      <c r="C46" s="667" t="s">
        <v>133</v>
      </c>
      <c r="D46" s="668">
        <f>VLOOKUP($D$7,VLOOKUP!$A$111:$S$139,8)*30</f>
        <v>87842.943581357307</v>
      </c>
      <c r="E46" s="669">
        <f>+'EXHIBIT C'!F12</f>
        <v>87563</v>
      </c>
      <c r="F46" s="665">
        <f t="shared" si="0"/>
        <v>-3.1868647604919031E-3</v>
      </c>
      <c r="G46" s="666" t="str">
        <f t="shared" si="1"/>
        <v>NO</v>
      </c>
      <c r="H46" s="88"/>
    </row>
    <row r="47" spans="1:8" ht="20.100000000000001" customHeight="1">
      <c r="C47" s="667" t="s">
        <v>82</v>
      </c>
      <c r="D47" s="668">
        <f>VLOOKUP($D$7,VLOOKUP!$A$111:$S$139,17)*30</f>
        <v>19652.229845626072</v>
      </c>
      <c r="E47" s="669">
        <f>+'EXHIBIT C'!F13</f>
        <v>20133</v>
      </c>
      <c r="F47" s="665">
        <f t="shared" si="0"/>
        <v>2.4463898404940121E-2</v>
      </c>
      <c r="G47" s="666" t="str">
        <f t="shared" si="1"/>
        <v>NO</v>
      </c>
      <c r="H47" s="88"/>
    </row>
    <row r="48" spans="1:8" ht="20.100000000000001" customHeight="1">
      <c r="C48" s="667" t="s">
        <v>134</v>
      </c>
      <c r="D48" s="668">
        <f>VLOOKUP($D$7,VLOOKUP!$A$111:$S$139,11)*30</f>
        <v>11121.770409759149</v>
      </c>
      <c r="E48" s="669">
        <f>+'EXHIBIT C'!F14</f>
        <v>10898</v>
      </c>
      <c r="F48" s="665">
        <f t="shared" si="0"/>
        <v>-2.0120034986767399E-2</v>
      </c>
      <c r="G48" s="666" t="str">
        <f t="shared" si="1"/>
        <v>NO</v>
      </c>
      <c r="H48" s="88"/>
    </row>
    <row r="49" spans="3:8" ht="20.100000000000001" customHeight="1" thickBot="1">
      <c r="C49" s="670" t="s">
        <v>135</v>
      </c>
      <c r="D49" s="671">
        <f>VLOOKUP($D$7,VLOOKUP!$A$111:$S$139,14)*30</f>
        <v>258.90173410404623</v>
      </c>
      <c r="E49" s="672">
        <f>+'EXHIBIT C'!F15</f>
        <v>252</v>
      </c>
      <c r="F49" s="673">
        <f t="shared" si="0"/>
        <v>-2.6657736101808327E-2</v>
      </c>
      <c r="G49" s="674" t="str">
        <f t="shared" si="1"/>
        <v>NO</v>
      </c>
      <c r="H49" s="88"/>
    </row>
    <row r="50" spans="3:8" ht="20.100000000000001" customHeight="1" thickBot="1">
      <c r="C50" s="119" t="s">
        <v>50</v>
      </c>
      <c r="D50" s="120">
        <f>SUM(D44:D49)</f>
        <v>366618.780757965</v>
      </c>
      <c r="E50" s="121">
        <f>+'EXHIBIT C'!F17</f>
        <v>364320</v>
      </c>
      <c r="F50" s="122">
        <f t="shared" si="0"/>
        <v>-6.2702209450710145E-3</v>
      </c>
      <c r="G50" s="123" t="str">
        <f t="shared" si="1"/>
        <v>NO</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10</v>
      </c>
      <c r="F59" s="676" t="str">
        <f t="shared" ref="F59:F65" si="2">IF(D59=0,"0",(E59/D59-1))</f>
        <v>0</v>
      </c>
      <c r="G59" s="677" t="str">
        <f>IF(OR(F59&gt;5%, F59&lt;-5%),"YES","NO")</f>
        <v>NO</v>
      </c>
    </row>
    <row r="60" spans="3:8" ht="20.100000000000001" customHeight="1">
      <c r="C60" s="117" t="s">
        <v>132</v>
      </c>
      <c r="D60" s="675">
        <f>VLOOKUP($D$7,VLOOKUP!$A$111:$S$139,6)*30</f>
        <v>6076.1601100480229</v>
      </c>
      <c r="E60" s="131">
        <f>+'EXHIBIT C'!D20</f>
        <v>5886</v>
      </c>
      <c r="F60" s="676">
        <f t="shared" si="2"/>
        <v>-3.1296099280458178E-2</v>
      </c>
      <c r="G60" s="677" t="str">
        <f t="shared" ref="G60:G65" si="3">IF(OR(F60&gt;5%, F60&lt;-5%),"YES","NO")</f>
        <v>NO</v>
      </c>
      <c r="H60" s="88"/>
    </row>
    <row r="61" spans="3:8" ht="20.100000000000001" customHeight="1">
      <c r="C61" s="667" t="s">
        <v>133</v>
      </c>
      <c r="D61" s="678">
        <f>VLOOKUP($D$7,VLOOKUP!$A$111:$S$139,9)*30</f>
        <v>2144.8405560098117</v>
      </c>
      <c r="E61" s="679">
        <f>+'EXHIBIT C'!D21</f>
        <v>2042</v>
      </c>
      <c r="F61" s="676">
        <f t="shared" si="2"/>
        <v>-4.7947879259208293E-2</v>
      </c>
      <c r="G61" s="677" t="str">
        <f t="shared" si="3"/>
        <v>NO</v>
      </c>
      <c r="H61" s="88"/>
    </row>
    <row r="62" spans="3:8" ht="20.100000000000001" customHeight="1">
      <c r="C62" s="667" t="s">
        <v>82</v>
      </c>
      <c r="D62" s="678">
        <f>VLOOKUP($D$7,VLOOKUP!$A$111:$S$139,18)*30</f>
        <v>1206.6895368782164</v>
      </c>
      <c r="E62" s="679">
        <f>+'EXHIBIT C'!D22</f>
        <v>1162</v>
      </c>
      <c r="F62" s="676">
        <f t="shared" si="2"/>
        <v>-3.7034825870646992E-2</v>
      </c>
      <c r="G62" s="677" t="str">
        <f t="shared" si="3"/>
        <v>NO</v>
      </c>
      <c r="H62" s="88"/>
    </row>
    <row r="63" spans="3:8" ht="20.100000000000001" customHeight="1">
      <c r="C63" s="667" t="s">
        <v>134</v>
      </c>
      <c r="D63" s="678">
        <f>VLOOKUP($D$7,VLOOKUP!$A$111:$S$139,12)*30</f>
        <v>578.22959024085083</v>
      </c>
      <c r="E63" s="679">
        <f>+'EXHIBIT C'!D23</f>
        <v>558</v>
      </c>
      <c r="F63" s="676">
        <f t="shared" si="2"/>
        <v>-3.4985394352483046E-2</v>
      </c>
      <c r="G63" s="677" t="str">
        <f t="shared" si="3"/>
        <v>NO</v>
      </c>
      <c r="H63" s="88"/>
    </row>
    <row r="64" spans="3:8" ht="20.100000000000001" customHeight="1" thickBot="1">
      <c r="C64" s="670" t="s">
        <v>135</v>
      </c>
      <c r="D64" s="680">
        <f>VLOOKUP($D$7,VLOOKUP!$A$111:$S$139,15)*30</f>
        <v>11.098265895953757</v>
      </c>
      <c r="E64" s="681">
        <f>+'EXHIBIT C'!D24</f>
        <v>11</v>
      </c>
      <c r="F64" s="682">
        <f t="shared" si="2"/>
        <v>-8.8541666666666075E-3</v>
      </c>
      <c r="G64" s="683" t="str">
        <f t="shared" si="3"/>
        <v>NO</v>
      </c>
      <c r="H64" s="88"/>
    </row>
    <row r="65" spans="1:8" ht="20.100000000000001" customHeight="1" thickBot="1">
      <c r="C65" s="119" t="s">
        <v>50</v>
      </c>
      <c r="D65" s="132">
        <f>SUM(D59:D64)</f>
        <v>10017.018059072856</v>
      </c>
      <c r="E65" s="133">
        <f>SUM(E59:E64)</f>
        <v>9669</v>
      </c>
      <c r="F65" s="134">
        <f t="shared" si="2"/>
        <v>-3.4742680608191634E-2</v>
      </c>
      <c r="G65" s="135" t="str">
        <f t="shared" si="3"/>
        <v>NO</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69516327</v>
      </c>
      <c r="E84" s="1150">
        <f>+'EXHIBIT D'!G75</f>
        <v>69516327</v>
      </c>
      <c r="F84" s="1150">
        <f>D84-E84</f>
        <v>0</v>
      </c>
      <c r="G84" s="88"/>
      <c r="H84" s="88"/>
    </row>
    <row r="85" spans="1:8" ht="20.100000000000001" customHeight="1">
      <c r="A85" s="98"/>
      <c r="B85" s="98"/>
      <c r="C85" s="688" t="s">
        <v>156</v>
      </c>
      <c r="D85" s="687">
        <f>VLOOKUP($D$7,VLOOKUP!$A$152:$B$180,2)</f>
        <v>1828775</v>
      </c>
      <c r="E85" s="1150">
        <f>'EXHIBIT D'!G77</f>
        <v>1828775</v>
      </c>
      <c r="F85" s="1150">
        <f>D85-E85</f>
        <v>0</v>
      </c>
      <c r="G85" s="88"/>
      <c r="H85" s="88"/>
    </row>
    <row r="86" spans="1:8" ht="20.100000000000001" customHeight="1">
      <c r="A86" s="98"/>
      <c r="B86" s="98"/>
      <c r="C86" s="688" t="s">
        <v>157</v>
      </c>
      <c r="D86" s="687">
        <f>VLOOKUP($D$7,VLOOKUP!$A$7:$E$35,3)</f>
        <v>18449828</v>
      </c>
      <c r="E86" s="1150">
        <f>'EXHIBIT D'!G81</f>
        <v>18449828</v>
      </c>
      <c r="F86" s="1150">
        <f>D86-E86</f>
        <v>0</v>
      </c>
      <c r="G86" s="88"/>
      <c r="H86" s="88"/>
    </row>
    <row r="87" spans="1:8" ht="20.100000000000001" customHeight="1" thickBot="1">
      <c r="A87" s="97"/>
      <c r="B87" s="97"/>
      <c r="C87" s="143" t="s">
        <v>707</v>
      </c>
      <c r="D87" s="687">
        <f>VLOOKUP($D$7,VLOOKUP!$A$187:$B$215,2)</f>
        <v>2154031</v>
      </c>
      <c r="E87" s="1151">
        <f>'EXHIBIT D'!G76</f>
        <v>2154031</v>
      </c>
      <c r="F87" s="1150">
        <f>D87-E87</f>
        <v>0</v>
      </c>
      <c r="G87" s="88"/>
      <c r="H87" s="88"/>
    </row>
    <row r="88" spans="1:8" ht="20.100000000000001" customHeight="1" thickBot="1">
      <c r="A88" s="97"/>
      <c r="B88" s="97"/>
      <c r="C88" s="144" t="s">
        <v>158</v>
      </c>
      <c r="D88" s="145">
        <f>SUM(D84:D87)</f>
        <v>91948961</v>
      </c>
      <c r="E88" s="145">
        <f>SUM(E84:E87)</f>
        <v>91948961</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14032479</v>
      </c>
      <c r="D101" s="836" t="s">
        <v>720</v>
      </c>
      <c r="E101" s="836"/>
      <c r="F101" s="836"/>
      <c r="G101" s="88"/>
      <c r="H101" s="88"/>
    </row>
    <row r="102" spans="1:8" ht="20.100000000000001" customHeight="1">
      <c r="A102" s="95"/>
      <c r="B102" s="95"/>
      <c r="C102" s="691">
        <f>'EXHIBIT D'!G266-'EXHIBIT D'!G252-'EXHIBIT D'!G264</f>
        <v>14032479</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0</v>
      </c>
      <c r="D108" s="17" t="s">
        <v>722</v>
      </c>
    </row>
    <row r="109" spans="1:8" ht="26.25" customHeight="1">
      <c r="A109" s="151"/>
      <c r="B109" s="151"/>
      <c r="C109" s="693">
        <f>'EXHIBIT A'!E36</f>
        <v>0</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91.789988971663931</v>
      </c>
      <c r="D119" s="17" t="s">
        <v>87</v>
      </c>
    </row>
    <row r="120" spans="1:8" ht="20.100000000000001" customHeight="1">
      <c r="C120" s="158"/>
    </row>
    <row r="121" spans="1:8" ht="20.100000000000001" customHeight="1">
      <c r="C121" s="159">
        <f>IF('EXHIBIT G'!D119=0,"No Credit Hours or Not Applicable",('EXHIBIT G'!D119/'EXHIBIT C'!D19))</f>
        <v>239.3</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cm276odu7fnqt+R9amL+oYBULkT1S4U4zYY4oIJTGeZwu5OWrwLknhT7WDS3VZISMctEEK2jtamDnfO9rhAWcQ==" saltValue="U0rBMbbho8LQedQzAlMkc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Florida State College at Jacksonville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14032479</v>
      </c>
    </row>
    <row r="14" spans="2:7" ht="25.35" customHeight="1">
      <c r="B14" s="17" t="s">
        <v>180</v>
      </c>
      <c r="D14" s="28"/>
      <c r="E14" s="585">
        <v>0</v>
      </c>
    </row>
    <row r="15" spans="2:7" ht="25.35" customHeight="1">
      <c r="B15" s="28"/>
      <c r="D15" s="28"/>
      <c r="E15" s="164"/>
    </row>
    <row r="16" spans="2:7" ht="25.35" customHeight="1">
      <c r="B16" s="17" t="s">
        <v>734</v>
      </c>
      <c r="C16" s="28"/>
      <c r="D16" s="28"/>
      <c r="E16" s="586">
        <f>+E14+E13</f>
        <v>14032479</v>
      </c>
    </row>
    <row r="17" spans="2:7" ht="25.35" customHeight="1">
      <c r="B17" s="28"/>
      <c r="C17" s="28"/>
      <c r="D17" s="28"/>
      <c r="E17" s="165"/>
    </row>
    <row r="18" spans="2:7" ht="25.35" customHeight="1">
      <c r="B18" s="17" t="s">
        <v>181</v>
      </c>
      <c r="C18" s="28"/>
      <c r="D18" s="28"/>
      <c r="E18" s="175">
        <f>+'EXHIBIT D'!G142-SUM(+'EXHIBIT D'!G132+'EXHIBIT D'!G133)</f>
        <v>140217014</v>
      </c>
      <c r="G18" s="138"/>
    </row>
    <row r="19" spans="2:7" ht="25.35" customHeight="1">
      <c r="B19" s="17" t="s">
        <v>182</v>
      </c>
      <c r="D19" s="28"/>
      <c r="E19" s="586">
        <f>+'EXHIBIT D'!G132+'EXHIBIT D'!G133</f>
        <v>120000</v>
      </c>
    </row>
    <row r="20" spans="2:7" ht="25.35" customHeight="1">
      <c r="B20" s="28"/>
      <c r="D20" s="28"/>
      <c r="E20" s="170"/>
    </row>
    <row r="21" spans="2:7" ht="25.35" customHeight="1">
      <c r="B21" s="17" t="s">
        <v>183</v>
      </c>
      <c r="C21" s="28"/>
      <c r="D21" s="28"/>
      <c r="E21" s="587">
        <f>+E19+E18</f>
        <v>140337014</v>
      </c>
    </row>
    <row r="22" spans="2:7" ht="25.35" customHeight="1">
      <c r="B22" s="28"/>
      <c r="C22" s="28"/>
      <c r="D22" s="28"/>
      <c r="E22" s="170"/>
    </row>
    <row r="23" spans="2:7" ht="25.35" customHeight="1">
      <c r="B23" s="28" t="s">
        <v>184</v>
      </c>
      <c r="C23" s="28"/>
      <c r="D23" s="28"/>
      <c r="E23" s="587">
        <f>+E21+E16</f>
        <v>154369493</v>
      </c>
    </row>
    <row r="24" spans="2:7" ht="25.35" customHeight="1">
      <c r="B24" s="28"/>
      <c r="C24" s="28"/>
      <c r="D24" s="28"/>
      <c r="E24" s="170"/>
    </row>
    <row r="25" spans="2:7" ht="25.35" customHeight="1">
      <c r="B25" s="17" t="s">
        <v>185</v>
      </c>
      <c r="C25" s="28"/>
      <c r="D25" s="28"/>
      <c r="E25" s="176">
        <f>'EXHIBIT D'!G248-SUM(+'EXHIBIT D'!G222+'EXHIBIT D'!G223)</f>
        <v>140337014</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140337014</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14032479</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14032479</v>
      </c>
    </row>
    <row r="36" spans="2:10" ht="25.35" customHeight="1">
      <c r="B36" s="17" t="s">
        <v>736</v>
      </c>
      <c r="C36" s="28"/>
      <c r="D36" s="28"/>
      <c r="E36" s="587">
        <f>-'EXHIBIT D'!G264</f>
        <v>0</v>
      </c>
      <c r="J36" s="48"/>
    </row>
    <row r="37" spans="2:10" ht="25.35" customHeight="1">
      <c r="D37" s="28"/>
      <c r="E37" s="169"/>
    </row>
    <row r="38" spans="2:10" ht="25.35" customHeight="1">
      <c r="B38" s="28" t="s">
        <v>737</v>
      </c>
      <c r="D38" s="28"/>
      <c r="E38" s="586">
        <f>+E35-E36</f>
        <v>14032479</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14032479</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9.0901892124501574E-2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Florida State College at Jacksonville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4.1500000000000004</v>
      </c>
      <c r="E14" s="983">
        <v>11.4</v>
      </c>
      <c r="F14" s="983">
        <v>4.59</v>
      </c>
      <c r="G14" s="696">
        <f>SUM(B14:F14)</f>
        <v>116.52000000000002</v>
      </c>
      <c r="H14" s="367">
        <f>G14*30</f>
        <v>3495.6000000000008</v>
      </c>
    </row>
    <row r="15" spans="1:18" s="17" customFormat="1" ht="20.100000000000001" customHeight="1">
      <c r="A15" s="28" t="s">
        <v>207</v>
      </c>
      <c r="B15" s="984">
        <v>82.78</v>
      </c>
      <c r="C15" s="984">
        <v>4.1399999999999997</v>
      </c>
      <c r="D15" s="984">
        <v>4.1500000000000004</v>
      </c>
      <c r="E15" s="984">
        <v>9.67</v>
      </c>
      <c r="F15" s="984">
        <v>4.1399999999999997</v>
      </c>
      <c r="G15" s="696">
        <f>SUM(B15:F15)</f>
        <v>104.88000000000001</v>
      </c>
      <c r="H15" s="340">
        <f>G15*30</f>
        <v>3146.4</v>
      </c>
    </row>
    <row r="16" spans="1:18" s="17" customFormat="1" ht="20.100000000000001" customHeight="1" thickBot="1">
      <c r="A16" s="28" t="s">
        <v>82</v>
      </c>
      <c r="B16" s="985">
        <v>73.2</v>
      </c>
      <c r="C16" s="985">
        <v>7.2</v>
      </c>
      <c r="D16" s="986"/>
      <c r="E16" s="985">
        <v>3.6</v>
      </c>
      <c r="F16" s="985">
        <v>3.6</v>
      </c>
      <c r="G16" s="341">
        <f>SUM(B16:F16)</f>
        <v>87.6</v>
      </c>
      <c r="H16" s="697">
        <f>G16*30</f>
        <v>2628</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239.32</v>
      </c>
      <c r="D29" s="983">
        <v>16.559999999999999</v>
      </c>
      <c r="E29" s="543">
        <f>D14</f>
        <v>4.1500000000000004</v>
      </c>
      <c r="F29" s="983">
        <v>32.89</v>
      </c>
      <c r="G29" s="983">
        <v>16.559999999999999</v>
      </c>
      <c r="H29" s="348">
        <f>SUM(B29:G29)</f>
        <v>401.27</v>
      </c>
      <c r="I29" s="361">
        <f>H29*30</f>
        <v>12038.099999999999</v>
      </c>
    </row>
    <row r="30" spans="1:11" s="17" customFormat="1" ht="20.100000000000001" customHeight="1">
      <c r="A30" s="28" t="str">
        <f t="shared" si="0"/>
        <v>LOWER LEVEL - CREDIT (A &amp; P, PSV, DEVELOPMENTAL EDUCATION AND EPI)</v>
      </c>
      <c r="B30" s="700">
        <f t="shared" si="0"/>
        <v>82.78</v>
      </c>
      <c r="C30" s="987">
        <v>248.33</v>
      </c>
      <c r="D30" s="987">
        <v>16.559999999999999</v>
      </c>
      <c r="E30" s="701">
        <f>D15</f>
        <v>4.1500000000000004</v>
      </c>
      <c r="F30" s="987">
        <v>32.89</v>
      </c>
      <c r="G30" s="987">
        <v>16.559999999999999</v>
      </c>
      <c r="H30" s="696">
        <f>SUM(B30:G30)</f>
        <v>401.27</v>
      </c>
      <c r="I30" s="340">
        <f>H30*30</f>
        <v>12038.099999999999</v>
      </c>
    </row>
    <row r="31" spans="1:11" s="17" customFormat="1" ht="20.100000000000001" customHeight="1" thickBot="1">
      <c r="A31" s="28" t="str">
        <f t="shared" si="0"/>
        <v>CAREER CERTIFICATE AND APPLIED TECHNOLOGY DIPLOMA</v>
      </c>
      <c r="B31" s="411">
        <f t="shared" si="0"/>
        <v>73.2</v>
      </c>
      <c r="C31" s="984">
        <v>219.6</v>
      </c>
      <c r="D31" s="984">
        <v>28.8</v>
      </c>
      <c r="E31" s="322"/>
      <c r="F31" s="984">
        <v>14.64</v>
      </c>
      <c r="G31" s="984">
        <v>14.4</v>
      </c>
      <c r="H31" s="341">
        <f>SUM(B31:G31)</f>
        <v>350.64</v>
      </c>
      <c r="I31" s="697">
        <f>H31*30</f>
        <v>10519.199999999999</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60" zoomScaleNormal="6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Florida State College at Jacksonville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44431</v>
      </c>
      <c r="E10" s="546">
        <v>0</v>
      </c>
      <c r="F10" s="547">
        <f t="shared" ref="F10:F15" si="0">+D10-E10</f>
        <v>44431</v>
      </c>
      <c r="G10" s="547">
        <f>'EXHIBIT B'!B14</f>
        <v>91.79</v>
      </c>
      <c r="H10" s="548">
        <f>ROUND(+F10*G10,0)</f>
        <v>4078321</v>
      </c>
    </row>
    <row r="11" spans="1:9" ht="20.100000000000001" customHeight="1">
      <c r="A11" s="707" t="s">
        <v>200</v>
      </c>
      <c r="B11" s="707" t="s">
        <v>132</v>
      </c>
      <c r="C11" s="708" t="s">
        <v>228</v>
      </c>
      <c r="D11" s="706">
        <v>201043</v>
      </c>
      <c r="E11" s="706">
        <v>0</v>
      </c>
      <c r="F11" s="709">
        <f t="shared" si="0"/>
        <v>201043</v>
      </c>
      <c r="G11" s="709">
        <f>+'EXHIBIT B'!B15</f>
        <v>82.78</v>
      </c>
      <c r="H11" s="710">
        <f t="shared" ref="H11:H15" si="1">ROUND(+F11*G11,0)</f>
        <v>16642340</v>
      </c>
    </row>
    <row r="12" spans="1:9" ht="20.100000000000001" customHeight="1">
      <c r="A12" s="707" t="s">
        <v>200</v>
      </c>
      <c r="B12" s="707" t="s">
        <v>133</v>
      </c>
      <c r="C12" s="708" t="s">
        <v>229</v>
      </c>
      <c r="D12" s="706">
        <v>87563</v>
      </c>
      <c r="E12" s="706">
        <v>0</v>
      </c>
      <c r="F12" s="709">
        <f t="shared" si="0"/>
        <v>87563</v>
      </c>
      <c r="G12" s="709">
        <f>+'EXHIBIT B'!B15</f>
        <v>82.78</v>
      </c>
      <c r="H12" s="710">
        <f t="shared" si="1"/>
        <v>7248465</v>
      </c>
    </row>
    <row r="13" spans="1:9" ht="20.100000000000001" customHeight="1">
      <c r="A13" s="707" t="s">
        <v>200</v>
      </c>
      <c r="B13" s="707" t="s">
        <v>82</v>
      </c>
      <c r="C13" s="708" t="s">
        <v>230</v>
      </c>
      <c r="D13" s="711">
        <v>20133</v>
      </c>
      <c r="E13" s="711">
        <v>0</v>
      </c>
      <c r="F13" s="709">
        <f t="shared" si="0"/>
        <v>20133</v>
      </c>
      <c r="G13" s="709">
        <f>+'EXHIBIT B'!B16</f>
        <v>73.2</v>
      </c>
      <c r="H13" s="710">
        <f t="shared" si="1"/>
        <v>1473736</v>
      </c>
    </row>
    <row r="14" spans="1:9" ht="20.100000000000001" customHeight="1">
      <c r="A14" s="707" t="s">
        <v>200</v>
      </c>
      <c r="B14" s="707" t="s">
        <v>134</v>
      </c>
      <c r="C14" s="708" t="s">
        <v>231</v>
      </c>
      <c r="D14" s="706">
        <v>10898</v>
      </c>
      <c r="E14" s="706">
        <v>0</v>
      </c>
      <c r="F14" s="709">
        <f t="shared" si="0"/>
        <v>10898</v>
      </c>
      <c r="G14" s="709">
        <f>+'EXHIBIT B'!B15</f>
        <v>82.78</v>
      </c>
      <c r="H14" s="710">
        <f t="shared" si="1"/>
        <v>902136</v>
      </c>
    </row>
    <row r="15" spans="1:9" ht="20.100000000000001" customHeight="1" thickBot="1">
      <c r="A15" s="712" t="s">
        <v>200</v>
      </c>
      <c r="B15" s="712" t="s">
        <v>135</v>
      </c>
      <c r="C15" s="713">
        <v>40160</v>
      </c>
      <c r="D15" s="714">
        <v>252</v>
      </c>
      <c r="E15" s="714">
        <v>0</v>
      </c>
      <c r="F15" s="715">
        <f t="shared" si="0"/>
        <v>252</v>
      </c>
      <c r="G15" s="715">
        <f>+'EXHIBIT B'!B15</f>
        <v>82.78</v>
      </c>
      <c r="H15" s="716">
        <f t="shared" si="1"/>
        <v>20861</v>
      </c>
    </row>
    <row r="16" spans="1:9" ht="24.95" customHeight="1" thickBot="1">
      <c r="A16" s="298"/>
      <c r="B16" s="298"/>
      <c r="C16" s="298"/>
      <c r="D16" s="299"/>
      <c r="E16" s="299"/>
      <c r="F16" s="300"/>
      <c r="G16" s="300"/>
      <c r="H16" s="301"/>
    </row>
    <row r="17" spans="1:9" ht="24.95" customHeight="1" thickBot="1">
      <c r="A17" s="302"/>
      <c r="B17" s="303" t="s">
        <v>232</v>
      </c>
      <c r="C17" s="303"/>
      <c r="D17" s="304">
        <f>SUM(D10:D15)</f>
        <v>364320</v>
      </c>
      <c r="E17" s="304">
        <f>SUM(E10:E15)</f>
        <v>0</v>
      </c>
      <c r="F17" s="305">
        <f>SUM(F10:F15)</f>
        <v>364320</v>
      </c>
      <c r="G17" s="305"/>
      <c r="H17" s="306">
        <f>SUM(H10:H15)</f>
        <v>30365859</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10</v>
      </c>
      <c r="E19" s="718">
        <f>'EXHIBIT B'!C29</f>
        <v>239.32</v>
      </c>
      <c r="F19" s="719">
        <f t="shared" ref="F19:F24" si="2">ROUND(+D19*E19,0)</f>
        <v>2393</v>
      </c>
      <c r="G19" s="308"/>
      <c r="H19" s="308"/>
    </row>
    <row r="20" spans="1:9" ht="20.100000000000001" customHeight="1">
      <c r="A20" s="654" t="s">
        <v>215</v>
      </c>
      <c r="B20" s="654" t="s">
        <v>132</v>
      </c>
      <c r="C20" s="720" t="s">
        <v>235</v>
      </c>
      <c r="D20" s="727">
        <v>5886</v>
      </c>
      <c r="E20" s="721">
        <f>+'EXHIBIT B'!C30</f>
        <v>248.33</v>
      </c>
      <c r="F20" s="722">
        <f t="shared" si="2"/>
        <v>1461670</v>
      </c>
      <c r="G20" s="48"/>
      <c r="H20" s="48"/>
    </row>
    <row r="21" spans="1:9" ht="20.100000000000001" customHeight="1">
      <c r="A21" s="654" t="s">
        <v>215</v>
      </c>
      <c r="B21" s="654" t="s">
        <v>133</v>
      </c>
      <c r="C21" s="720" t="s">
        <v>236</v>
      </c>
      <c r="D21" s="727">
        <v>2042</v>
      </c>
      <c r="E21" s="721">
        <f>+'EXHIBIT B'!C30</f>
        <v>248.33</v>
      </c>
      <c r="F21" s="722">
        <f t="shared" si="2"/>
        <v>507090</v>
      </c>
      <c r="G21" s="48"/>
      <c r="H21" s="48"/>
    </row>
    <row r="22" spans="1:9" ht="20.100000000000001" customHeight="1">
      <c r="A22" s="654" t="s">
        <v>215</v>
      </c>
      <c r="B22" s="654" t="s">
        <v>82</v>
      </c>
      <c r="C22" s="720" t="s">
        <v>237</v>
      </c>
      <c r="D22" s="727">
        <v>1162</v>
      </c>
      <c r="E22" s="721">
        <f>+'EXHIBIT B'!C31</f>
        <v>219.6</v>
      </c>
      <c r="F22" s="722">
        <f t="shared" si="2"/>
        <v>255175</v>
      </c>
      <c r="G22" s="48"/>
      <c r="H22" s="48"/>
    </row>
    <row r="23" spans="1:9" ht="20.100000000000001" customHeight="1">
      <c r="A23" s="654" t="s">
        <v>215</v>
      </c>
      <c r="B23" s="654" t="s">
        <v>134</v>
      </c>
      <c r="C23" s="720" t="s">
        <v>238</v>
      </c>
      <c r="D23" s="727">
        <v>558</v>
      </c>
      <c r="E23" s="721">
        <f>+'EXHIBIT B'!C30</f>
        <v>248.33</v>
      </c>
      <c r="F23" s="722">
        <f t="shared" si="2"/>
        <v>138568</v>
      </c>
      <c r="G23" s="48"/>
      <c r="H23" s="48"/>
    </row>
    <row r="24" spans="1:9" ht="20.100000000000001" customHeight="1" thickBot="1">
      <c r="A24" s="606" t="s">
        <v>215</v>
      </c>
      <c r="B24" s="606" t="s">
        <v>135</v>
      </c>
      <c r="C24" s="607">
        <v>40360</v>
      </c>
      <c r="D24" s="989">
        <v>11</v>
      </c>
      <c r="E24" s="608">
        <f>+'EXHIBIT B'!C30</f>
        <v>248.33</v>
      </c>
      <c r="F24" s="609">
        <f t="shared" si="2"/>
        <v>2732</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9669</v>
      </c>
      <c r="E26" s="725"/>
      <c r="F26" s="726">
        <f>SUM(F19:F24)</f>
        <v>2367628</v>
      </c>
      <c r="G26" s="312"/>
      <c r="H26" s="312"/>
    </row>
    <row r="27" spans="1:9" ht="20.100000000000001" customHeight="1" thickBot="1">
      <c r="A27" s="313" t="s">
        <v>239</v>
      </c>
      <c r="B27" s="313"/>
      <c r="C27" s="313"/>
      <c r="D27" s="313"/>
      <c r="E27" s="313"/>
      <c r="F27" s="314"/>
      <c r="G27" s="549"/>
      <c r="H27" s="315">
        <f>H17+F26</f>
        <v>32733487</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4976</v>
      </c>
      <c r="E33" s="727">
        <v>0</v>
      </c>
      <c r="F33" s="721">
        <f>D33-E33</f>
        <v>4976</v>
      </c>
      <c r="G33" s="721">
        <f>'EXHIBIT B'!B20</f>
        <v>30</v>
      </c>
      <c r="H33" s="722">
        <f>ROUND(+F33*G33,0)</f>
        <v>149280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4976</v>
      </c>
      <c r="E36" s="318">
        <f>SUM(E32:E35)</f>
        <v>0</v>
      </c>
      <c r="F36" s="319">
        <f>D36-E36</f>
        <v>4976</v>
      </c>
      <c r="G36" s="319"/>
      <c r="H36" s="320">
        <f>SUM(H32:H35)</f>
        <v>149280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149280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32882767</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691</v>
      </c>
      <c r="B63" s="991">
        <v>120000</v>
      </c>
      <c r="C63" s="992">
        <v>3</v>
      </c>
      <c r="D63" s="993"/>
      <c r="E63" s="992">
        <v>1</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120000</v>
      </c>
      <c r="C69" s="1002"/>
      <c r="D69" s="1003"/>
      <c r="E69" s="1002"/>
      <c r="F69" s="1003"/>
    </row>
    <row r="70" spans="1:6" ht="24.95" customHeight="1" thickBot="1">
      <c r="A70" s="292" t="s">
        <v>264</v>
      </c>
      <c r="B70" s="293">
        <f>+B69+B60</f>
        <v>120000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Florida State College at Jacksonville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Florida State College at Jacksonville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4078321</v>
      </c>
    </row>
    <row r="13" spans="1:8" ht="20.100000000000001" customHeight="1">
      <c r="A13" s="499" t="s">
        <v>200</v>
      </c>
      <c r="B13" s="184"/>
      <c r="C13" s="177" t="s">
        <v>132</v>
      </c>
      <c r="D13" s="184"/>
      <c r="E13" s="184"/>
      <c r="F13" s="189" t="s">
        <v>228</v>
      </c>
      <c r="G13" s="188">
        <f>+'EXHIBIT C'!H11+'EXHIBIT C(2)'!E14</f>
        <v>16642340</v>
      </c>
    </row>
    <row r="14" spans="1:8" ht="20.100000000000001" customHeight="1">
      <c r="A14" s="499" t="s">
        <v>200</v>
      </c>
      <c r="B14" s="184"/>
      <c r="C14" s="184" t="s">
        <v>133</v>
      </c>
      <c r="D14" s="184"/>
      <c r="E14" s="184"/>
      <c r="F14" s="189" t="s">
        <v>229</v>
      </c>
      <c r="G14" s="520">
        <f>+'EXHIBIT C'!H12+'EXHIBIT C(2)'!E15</f>
        <v>7248465</v>
      </c>
    </row>
    <row r="15" spans="1:8" ht="20.100000000000001" customHeight="1">
      <c r="A15" s="499" t="s">
        <v>200</v>
      </c>
      <c r="B15" s="184"/>
      <c r="C15" s="190" t="s">
        <v>281</v>
      </c>
      <c r="D15" s="184"/>
      <c r="E15" s="184"/>
      <c r="F15" s="189" t="s">
        <v>230</v>
      </c>
      <c r="G15" s="520">
        <f>+'EXHIBIT C'!H13+'EXHIBIT C(2)'!E16</f>
        <v>1473736</v>
      </c>
    </row>
    <row r="16" spans="1:8" ht="20.100000000000001" customHeight="1">
      <c r="A16" s="499" t="s">
        <v>200</v>
      </c>
      <c r="B16" s="184"/>
      <c r="C16" s="190" t="s">
        <v>282</v>
      </c>
      <c r="D16" s="184"/>
      <c r="E16" s="184"/>
      <c r="F16" s="189" t="s">
        <v>231</v>
      </c>
      <c r="G16" s="521">
        <f>+'EXHIBIT C'!H14+'EXHIBIT C(2)'!E17</f>
        <v>902136</v>
      </c>
    </row>
    <row r="17" spans="1:7" ht="20.100000000000001" customHeight="1">
      <c r="A17" s="499" t="s">
        <v>200</v>
      </c>
      <c r="B17" s="184"/>
      <c r="C17" s="177" t="s">
        <v>135</v>
      </c>
      <c r="D17" s="184"/>
      <c r="E17" s="184"/>
      <c r="F17" s="187">
        <v>40160</v>
      </c>
      <c r="G17" s="521">
        <f>+'EXHIBIT C'!H15+'EXHIBIT C(2)'!E18</f>
        <v>20861</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30365859</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2393</v>
      </c>
    </row>
    <row r="22" spans="1:7" ht="20.100000000000001" customHeight="1">
      <c r="A22" s="499" t="s">
        <v>215</v>
      </c>
      <c r="B22" s="184"/>
      <c r="C22" s="177" t="s">
        <v>132</v>
      </c>
      <c r="D22" s="184"/>
      <c r="E22" s="184"/>
      <c r="F22" s="189" t="s">
        <v>235</v>
      </c>
      <c r="G22" s="193">
        <f>+'EXHIBIT C'!F20+'EXHIBIT C(2)'!E23</f>
        <v>1461670</v>
      </c>
    </row>
    <row r="23" spans="1:7" ht="20.100000000000001" customHeight="1">
      <c r="A23" s="499" t="s">
        <v>215</v>
      </c>
      <c r="B23" s="184"/>
      <c r="C23" s="184" t="s">
        <v>133</v>
      </c>
      <c r="D23" s="184"/>
      <c r="E23" s="184"/>
      <c r="F23" s="189" t="s">
        <v>236</v>
      </c>
      <c r="G23" s="198">
        <f>+'EXHIBIT C'!F21+'EXHIBIT C(2)'!E24</f>
        <v>507090</v>
      </c>
    </row>
    <row r="24" spans="1:7" ht="20.100000000000001" customHeight="1">
      <c r="A24" s="499" t="s">
        <v>215</v>
      </c>
      <c r="B24" s="184"/>
      <c r="C24" s="190" t="s">
        <v>281</v>
      </c>
      <c r="D24" s="184"/>
      <c r="E24" s="184"/>
      <c r="F24" s="189" t="s">
        <v>237</v>
      </c>
      <c r="G24" s="198">
        <f>+'EXHIBIT C'!F22+'EXHIBIT C(2)'!E25</f>
        <v>255175</v>
      </c>
    </row>
    <row r="25" spans="1:7" ht="20.100000000000001" customHeight="1">
      <c r="A25" s="499" t="s">
        <v>215</v>
      </c>
      <c r="B25" s="184"/>
      <c r="C25" s="190" t="s">
        <v>282</v>
      </c>
      <c r="D25" s="184"/>
      <c r="E25" s="184"/>
      <c r="F25" s="189" t="s">
        <v>238</v>
      </c>
      <c r="G25" s="198">
        <f>+'EXHIBIT C'!F23+'EXHIBIT C(2)'!E26</f>
        <v>138568</v>
      </c>
    </row>
    <row r="26" spans="1:7" ht="20.100000000000001" customHeight="1">
      <c r="A26" s="499" t="s">
        <v>215</v>
      </c>
      <c r="B26" s="184"/>
      <c r="C26" s="177" t="s">
        <v>135</v>
      </c>
      <c r="D26" s="184"/>
      <c r="E26" s="184"/>
      <c r="F26" s="187">
        <v>40360</v>
      </c>
      <c r="G26" s="198">
        <f>+'EXHIBIT C'!F24+'EXHIBIT C(2)'!E27</f>
        <v>2732</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2367628</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149280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149280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32882767</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3904378</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1659587</v>
      </c>
    </row>
    <row r="51" spans="1:7" ht="20.100000000000001" customHeight="1">
      <c r="A51" s="499" t="s">
        <v>302</v>
      </c>
      <c r="B51" s="184"/>
      <c r="C51" s="184"/>
      <c r="D51" s="184"/>
      <c r="E51" s="184"/>
      <c r="F51" s="187">
        <v>40450</v>
      </c>
      <c r="G51" s="448">
        <v>3384131</v>
      </c>
    </row>
    <row r="52" spans="1:7" ht="20.100000000000001" customHeight="1">
      <c r="A52" s="499" t="s">
        <v>303</v>
      </c>
      <c r="B52" s="184"/>
      <c r="C52" s="184"/>
      <c r="D52" s="184"/>
      <c r="E52" s="184"/>
      <c r="F52" s="189" t="s">
        <v>304</v>
      </c>
      <c r="G52" s="448">
        <v>551490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99281</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1611122</v>
      </c>
    </row>
    <row r="59" spans="1:7" ht="20.100000000000001" customHeight="1">
      <c r="A59" s="499" t="s">
        <v>317</v>
      </c>
      <c r="B59" s="184"/>
      <c r="C59" s="184"/>
      <c r="D59" s="184"/>
      <c r="E59" s="184"/>
      <c r="F59" s="189" t="s">
        <v>318</v>
      </c>
      <c r="G59" s="448">
        <v>616823</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230811</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44940390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1056344</v>
      </c>
    </row>
    <row r="69" spans="1:7" ht="20.100000000000001" customHeight="1">
      <c r="A69" s="499" t="s">
        <v>329</v>
      </c>
      <c r="B69" s="184"/>
      <c r="C69" s="184"/>
      <c r="D69" s="184"/>
      <c r="E69" s="184"/>
      <c r="F69" s="189" t="s">
        <v>330</v>
      </c>
      <c r="G69" s="448">
        <v>10000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1066344</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69516327</v>
      </c>
    </row>
    <row r="76" spans="1:7" ht="20.100000000000001" customHeight="1">
      <c r="A76" s="499" t="s">
        <v>708</v>
      </c>
      <c r="B76" s="184"/>
      <c r="C76" s="184"/>
      <c r="D76" s="184"/>
      <c r="E76" s="184"/>
      <c r="F76" s="187">
        <v>42130</v>
      </c>
      <c r="G76" s="523">
        <v>2154031</v>
      </c>
    </row>
    <row r="77" spans="1:7" ht="20.100000000000001" customHeight="1">
      <c r="A77" s="501" t="s">
        <v>335</v>
      </c>
      <c r="B77" s="502"/>
      <c r="C77" s="502"/>
      <c r="D77" s="502"/>
      <c r="E77" s="502"/>
      <c r="F77" s="203" t="s">
        <v>336</v>
      </c>
      <c r="G77" s="524">
        <v>1828775</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750</v>
      </c>
      <c r="B80" s="184"/>
      <c r="C80" s="184"/>
      <c r="D80" s="184"/>
      <c r="E80" s="184"/>
      <c r="F80" s="189" t="s">
        <v>341</v>
      </c>
      <c r="G80" s="523">
        <v>330000</v>
      </c>
    </row>
    <row r="81" spans="1:10" ht="20.100000000000001" customHeight="1">
      <c r="A81" s="499" t="s">
        <v>342</v>
      </c>
      <c r="B81" s="184"/>
      <c r="C81" s="184"/>
      <c r="D81" s="184"/>
      <c r="E81" s="184"/>
      <c r="F81" s="189" t="s">
        <v>343</v>
      </c>
      <c r="G81" s="522">
        <f>'CHECK SHEET'!D86</f>
        <v>18449828</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67654</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92346615</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2500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600000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602500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20000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50000</v>
      </c>
    </row>
    <row r="103" spans="1:7" ht="20.100000000000001" customHeight="1">
      <c r="A103" s="499" t="s">
        <v>363</v>
      </c>
      <c r="B103" s="184"/>
      <c r="C103" s="184"/>
      <c r="D103" s="184"/>
      <c r="E103" s="184"/>
      <c r="F103" s="189" t="s">
        <v>364</v>
      </c>
      <c r="G103" s="449">
        <v>10000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80000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765500</v>
      </c>
    </row>
    <row r="111" spans="1:7" ht="20.100000000000001" customHeight="1">
      <c r="A111" s="499" t="s">
        <v>371</v>
      </c>
      <c r="B111" s="184"/>
      <c r="C111" s="184"/>
      <c r="D111" s="184"/>
      <c r="E111" s="184"/>
      <c r="F111" s="189" t="s">
        <v>372</v>
      </c>
      <c r="G111" s="449">
        <v>72850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838350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149915</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2500</v>
      </c>
    </row>
    <row r="126" spans="1:7" ht="20.100000000000001" customHeight="1">
      <c r="A126" s="499" t="s">
        <v>388</v>
      </c>
      <c r="B126" s="184"/>
      <c r="C126" s="184"/>
      <c r="D126" s="184"/>
      <c r="E126" s="184"/>
      <c r="F126" s="189" t="s">
        <v>389</v>
      </c>
      <c r="G126" s="449">
        <v>153650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306065</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120000</v>
      </c>
    </row>
    <row r="134" spans="1:7" ht="20.100000000000001" customHeight="1">
      <c r="A134" s="499" t="s">
        <v>394</v>
      </c>
      <c r="B134" s="184"/>
      <c r="C134" s="184"/>
      <c r="D134" s="184"/>
      <c r="E134" s="184"/>
      <c r="F134" s="1074" t="s">
        <v>395</v>
      </c>
      <c r="G134" s="449">
        <v>36750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156750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140337014</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1159379</v>
      </c>
    </row>
    <row r="147" spans="1:7" ht="20.100000000000001" customHeight="1">
      <c r="A147" s="499" t="s">
        <v>406</v>
      </c>
      <c r="F147" s="189" t="s">
        <v>407</v>
      </c>
      <c r="G147" s="453">
        <v>2969688</v>
      </c>
    </row>
    <row r="148" spans="1:7" ht="20.100000000000001" customHeight="1">
      <c r="A148" s="499" t="s">
        <v>408</v>
      </c>
      <c r="F148" s="189" t="s">
        <v>409</v>
      </c>
      <c r="G148" s="453">
        <v>3972756</v>
      </c>
    </row>
    <row r="149" spans="1:7" ht="20.100000000000001" customHeight="1">
      <c r="A149" s="499" t="s">
        <v>410</v>
      </c>
      <c r="F149" s="189" t="s">
        <v>411</v>
      </c>
      <c r="G149" s="453">
        <v>0</v>
      </c>
    </row>
    <row r="150" spans="1:7" ht="20.100000000000001" customHeight="1">
      <c r="A150" s="499" t="s">
        <v>412</v>
      </c>
      <c r="F150" s="189" t="s">
        <v>413</v>
      </c>
      <c r="G150" s="453">
        <v>369154</v>
      </c>
    </row>
    <row r="151" spans="1:7" ht="20.100000000000001" customHeight="1">
      <c r="A151" s="499" t="s">
        <v>414</v>
      </c>
      <c r="B151" s="184"/>
      <c r="C151" s="184"/>
      <c r="D151" s="184"/>
      <c r="E151" s="184"/>
      <c r="F151" s="189" t="s">
        <v>415</v>
      </c>
      <c r="G151" s="453">
        <v>21317495</v>
      </c>
    </row>
    <row r="152" spans="1:7" ht="20.100000000000001" customHeight="1">
      <c r="A152" s="499" t="s">
        <v>416</v>
      </c>
      <c r="B152" s="184"/>
      <c r="C152" s="184"/>
      <c r="D152" s="184"/>
      <c r="E152" s="184"/>
      <c r="F152" s="189" t="s">
        <v>417</v>
      </c>
      <c r="G152" s="453">
        <v>6807355</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11000760</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23662626</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1904528</v>
      </c>
    </row>
    <row r="169" spans="1:7" ht="20.100000000000001" customHeight="1">
      <c r="A169" s="499" t="s">
        <v>449</v>
      </c>
      <c r="B169" s="184"/>
      <c r="C169" s="184"/>
      <c r="D169" s="184"/>
      <c r="E169" s="184"/>
      <c r="F169" s="189" t="s">
        <v>450</v>
      </c>
      <c r="G169" s="453">
        <v>194002</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7536480</v>
      </c>
    </row>
    <row r="172" spans="1:7" ht="20.100000000000001" customHeight="1">
      <c r="A172" s="499" t="s">
        <v>454</v>
      </c>
      <c r="B172" s="184"/>
      <c r="C172" s="184"/>
      <c r="D172" s="184"/>
      <c r="E172" s="184"/>
      <c r="F172" s="187">
        <v>56002</v>
      </c>
      <c r="G172" s="453">
        <v>225372</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235293</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600000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17500</v>
      </c>
    </row>
    <row r="184" spans="1:7" ht="20.100000000000001" customHeight="1">
      <c r="A184" s="499" t="s">
        <v>476</v>
      </c>
      <c r="B184" s="184"/>
      <c r="C184" s="184"/>
      <c r="D184" s="184"/>
      <c r="E184" s="184"/>
      <c r="F184" s="189" t="s">
        <v>477</v>
      </c>
      <c r="G184" s="453">
        <v>6037812</v>
      </c>
    </row>
    <row r="185" spans="1:7" ht="20.100000000000001" customHeight="1">
      <c r="A185" s="499" t="s">
        <v>478</v>
      </c>
      <c r="B185" s="184"/>
      <c r="C185" s="184"/>
      <c r="D185" s="184"/>
      <c r="E185" s="184"/>
      <c r="F185" s="189" t="s">
        <v>479</v>
      </c>
      <c r="G185" s="453">
        <v>7343116</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84200</v>
      </c>
    </row>
    <row r="190" spans="1:7" ht="20.100000000000001" customHeight="1">
      <c r="A190" s="499" t="s">
        <v>487</v>
      </c>
      <c r="B190" s="184"/>
      <c r="C190" s="184"/>
      <c r="D190" s="184"/>
      <c r="E190" s="184"/>
      <c r="F190" s="189" t="s">
        <v>488</v>
      </c>
      <c r="G190" s="453">
        <v>12447485</v>
      </c>
    </row>
    <row r="191" spans="1:7" ht="20.100000000000001" customHeight="1">
      <c r="A191" s="499" t="s">
        <v>489</v>
      </c>
      <c r="B191" s="184"/>
      <c r="C191" s="184"/>
      <c r="D191" s="184"/>
      <c r="E191" s="184"/>
      <c r="F191" s="189" t="s">
        <v>490</v>
      </c>
      <c r="G191" s="453">
        <v>530000</v>
      </c>
    </row>
    <row r="192" spans="1:7" ht="20.100000000000001" customHeight="1">
      <c r="A192" s="499" t="s">
        <v>491</v>
      </c>
      <c r="B192" s="184"/>
      <c r="C192" s="184"/>
      <c r="D192" s="184"/>
      <c r="E192" s="184"/>
      <c r="F192" s="189" t="s">
        <v>492</v>
      </c>
      <c r="G192" s="453">
        <v>745579</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109160580</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814652</v>
      </c>
    </row>
    <row r="199" spans="1:7" ht="20.100000000000001" customHeight="1">
      <c r="A199" s="499" t="s">
        <v>497</v>
      </c>
      <c r="B199" s="184"/>
      <c r="C199" s="184"/>
      <c r="D199" s="184"/>
      <c r="E199" s="184"/>
      <c r="F199" s="189" t="s">
        <v>498</v>
      </c>
      <c r="G199" s="453">
        <v>117235</v>
      </c>
    </row>
    <row r="200" spans="1:7" ht="20.100000000000001" customHeight="1">
      <c r="A200" s="499" t="s">
        <v>499</v>
      </c>
      <c r="B200" s="184"/>
      <c r="C200" s="184"/>
      <c r="D200" s="184"/>
      <c r="E200" s="184"/>
      <c r="F200" s="189" t="s">
        <v>500</v>
      </c>
      <c r="G200" s="453">
        <v>440740</v>
      </c>
    </row>
    <row r="201" spans="1:7" ht="20.100000000000001" customHeight="1">
      <c r="A201" s="499" t="s">
        <v>501</v>
      </c>
      <c r="B201" s="184"/>
      <c r="C201" s="184"/>
      <c r="D201" s="184"/>
      <c r="E201" s="184"/>
      <c r="F201" s="189" t="s">
        <v>502</v>
      </c>
      <c r="G201" s="453">
        <v>162868</v>
      </c>
    </row>
    <row r="202" spans="1:7" ht="20.100000000000001" customHeight="1">
      <c r="A202" s="499" t="s">
        <v>503</v>
      </c>
      <c r="B202" s="184"/>
      <c r="C202" s="184"/>
      <c r="D202" s="184"/>
      <c r="E202" s="184"/>
      <c r="F202" s="189" t="s">
        <v>504</v>
      </c>
      <c r="G202" s="453">
        <v>1222478</v>
      </c>
    </row>
    <row r="203" spans="1:7" ht="20.100000000000001" customHeight="1">
      <c r="A203" s="499" t="s">
        <v>505</v>
      </c>
      <c r="B203" s="184"/>
      <c r="C203" s="184"/>
      <c r="D203" s="184"/>
      <c r="E203" s="184"/>
      <c r="F203" s="189" t="s">
        <v>506</v>
      </c>
      <c r="G203" s="453">
        <v>98491</v>
      </c>
    </row>
    <row r="204" spans="1:7" ht="20.100000000000001" customHeight="1">
      <c r="A204" s="499" t="s">
        <v>696</v>
      </c>
      <c r="B204" s="184"/>
      <c r="C204" s="184"/>
      <c r="D204" s="184"/>
      <c r="E204" s="184"/>
      <c r="F204" s="1028">
        <v>63100</v>
      </c>
      <c r="G204" s="453">
        <v>111904</v>
      </c>
    </row>
    <row r="205" spans="1:7" ht="20.100000000000001" customHeight="1">
      <c r="A205" s="499" t="s">
        <v>507</v>
      </c>
      <c r="B205" s="184"/>
      <c r="C205" s="184"/>
      <c r="D205" s="184"/>
      <c r="E205" s="184"/>
      <c r="F205" s="189" t="s">
        <v>508</v>
      </c>
      <c r="G205" s="453">
        <v>1854300</v>
      </c>
    </row>
    <row r="206" spans="1:7" ht="20.100000000000001" customHeight="1">
      <c r="A206" s="499" t="s">
        <v>509</v>
      </c>
      <c r="B206" s="184"/>
      <c r="C206" s="184"/>
      <c r="D206" s="184"/>
      <c r="E206" s="184"/>
      <c r="F206" s="189" t="s">
        <v>510</v>
      </c>
      <c r="G206" s="453">
        <v>4923493</v>
      </c>
    </row>
    <row r="207" spans="1:7" ht="20.100000000000001" customHeight="1">
      <c r="A207" s="499" t="s">
        <v>511</v>
      </c>
      <c r="B207" s="184"/>
      <c r="C207" s="184"/>
      <c r="D207" s="184"/>
      <c r="E207" s="184"/>
      <c r="F207" s="189" t="s">
        <v>512</v>
      </c>
      <c r="G207" s="453">
        <v>8094734</v>
      </c>
    </row>
    <row r="208" spans="1:7" ht="20.100000000000001" customHeight="1">
      <c r="A208" s="499" t="s">
        <v>690</v>
      </c>
      <c r="B208" s="184"/>
      <c r="C208" s="184"/>
      <c r="D208" s="184"/>
      <c r="E208" s="184"/>
      <c r="F208" s="189" t="s">
        <v>513</v>
      </c>
      <c r="G208" s="453">
        <v>500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344564</v>
      </c>
    </row>
    <row r="211" spans="1:9" ht="20.100000000000001" customHeight="1">
      <c r="A211" s="499" t="s">
        <v>518</v>
      </c>
      <c r="B211" s="184"/>
      <c r="C211" s="184"/>
      <c r="D211" s="184"/>
      <c r="E211" s="184"/>
      <c r="F211" s="189" t="s">
        <v>519</v>
      </c>
      <c r="G211" s="453">
        <v>2321432</v>
      </c>
    </row>
    <row r="212" spans="1:9" ht="20.100000000000001" customHeight="1">
      <c r="A212" s="499" t="s">
        <v>520</v>
      </c>
      <c r="F212" s="207" t="s">
        <v>521</v>
      </c>
      <c r="G212" s="453">
        <v>5447535</v>
      </c>
    </row>
    <row r="213" spans="1:9" ht="20.100000000000001" customHeight="1">
      <c r="A213" s="499" t="s">
        <v>522</v>
      </c>
      <c r="B213" s="184"/>
      <c r="C213" s="184"/>
      <c r="D213" s="184"/>
      <c r="E213" s="184"/>
      <c r="F213" s="189" t="s">
        <v>523</v>
      </c>
      <c r="G213" s="453">
        <v>625529</v>
      </c>
    </row>
    <row r="214" spans="1:9" ht="20.100000000000001" customHeight="1">
      <c r="A214" s="499" t="s">
        <v>524</v>
      </c>
      <c r="B214" s="184"/>
      <c r="C214" s="184"/>
      <c r="D214" s="184"/>
      <c r="E214" s="184"/>
      <c r="F214" s="189" t="s">
        <v>525</v>
      </c>
      <c r="G214" s="453">
        <v>1021356</v>
      </c>
    </row>
    <row r="215" spans="1:9" ht="20.100000000000001" customHeight="1">
      <c r="A215" s="499" t="s">
        <v>526</v>
      </c>
      <c r="B215" s="184"/>
      <c r="C215" s="184"/>
      <c r="D215" s="184"/>
      <c r="E215" s="184"/>
      <c r="F215" s="189" t="s">
        <v>527</v>
      </c>
      <c r="G215" s="453">
        <v>556126</v>
      </c>
    </row>
    <row r="216" spans="1:9" ht="20.100000000000001" customHeight="1">
      <c r="A216" s="499" t="s">
        <v>528</v>
      </c>
      <c r="B216" s="184"/>
      <c r="C216" s="184"/>
      <c r="D216" s="184"/>
      <c r="E216" s="184"/>
      <c r="F216" s="205" t="s">
        <v>529</v>
      </c>
      <c r="G216" s="453">
        <v>20000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132666</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v>828125</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399256</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29537984</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15000</v>
      </c>
    </row>
    <row r="233" spans="1:7" ht="20.100000000000001" customHeight="1">
      <c r="A233" s="499" t="s">
        <v>549</v>
      </c>
      <c r="B233" s="184"/>
      <c r="C233" s="184"/>
      <c r="D233" s="184"/>
      <c r="E233" s="184"/>
      <c r="F233" s="189" t="s">
        <v>550</v>
      </c>
      <c r="G233" s="453">
        <v>1075000</v>
      </c>
    </row>
    <row r="234" spans="1:7" ht="20.100000000000001" customHeight="1">
      <c r="A234" s="499" t="s">
        <v>551</v>
      </c>
      <c r="B234" s="184"/>
      <c r="C234" s="184"/>
      <c r="D234" s="184"/>
      <c r="E234" s="184"/>
      <c r="F234" s="189" t="s">
        <v>552</v>
      </c>
      <c r="G234" s="453">
        <v>330000</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98450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120000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1638450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140337014</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3830000</v>
      </c>
    </row>
    <row r="260" spans="1:12" ht="20.100000000000001" customHeight="1">
      <c r="A260" s="499" t="s">
        <v>576</v>
      </c>
      <c r="B260" s="184"/>
      <c r="C260" s="184"/>
      <c r="D260" s="184"/>
      <c r="E260" s="184"/>
      <c r="F260" s="201">
        <v>31100</v>
      </c>
      <c r="G260" s="624">
        <v>10202479</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14032479</v>
      </c>
    </row>
    <row r="263" spans="1:12" ht="20.100000000000001" customHeight="1">
      <c r="A263" s="500"/>
      <c r="B263" s="184"/>
      <c r="C263" s="184"/>
      <c r="D263" s="184"/>
      <c r="E263" s="184"/>
      <c r="F263" s="201"/>
      <c r="G263" s="217"/>
    </row>
    <row r="264" spans="1:12" ht="20.100000000000001" customHeight="1" thickBot="1">
      <c r="A264" s="511" t="s">
        <v>702</v>
      </c>
      <c r="F264" s="207">
        <v>30800</v>
      </c>
      <c r="G264" s="454">
        <v>0</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14032479</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3"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ee822479-6e51-4d14-b6b0-2c589e913e66"/>
    <ds:schemaRef ds:uri="http://schemas.openxmlformats.org/package/2006/metadata/core-properties"/>
    <ds:schemaRef ds:uri="http://purl.org/dc/elements/1.1/"/>
    <ds:schemaRef ds:uri="http://purl.org/dc/terms/"/>
    <ds:schemaRef ds:uri="http://schemas.microsoft.com/office/2006/metadata/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2023-06-21T19:19:03Z</cp:lastPrinted>
  <dcterms:created xsi:type="dcterms:W3CDTF">2005-03-22T15:46:43Z</dcterms:created>
  <dcterms:modified xsi:type="dcterms:W3CDTF">2023-08-09T20:43:16Z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