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1CDE1842-1F35-47B8-81BB-0E70C140BB9B}"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8" l="1"/>
  <c r="G211" i="7"/>
  <c r="G194" i="7"/>
  <c r="G126" i="7"/>
  <c r="G128" i="7" s="1"/>
  <c r="D57" i="15"/>
  <c r="D93" i="15"/>
  <c r="G110" i="7"/>
  <c r="B60" i="6"/>
  <c r="C78" i="3" s="1"/>
  <c r="B69" i="6"/>
  <c r="E26" i="4"/>
  <c r="G228" i="7"/>
  <c r="G246" i="7"/>
  <c r="E19" i="4"/>
  <c r="C69" i="23"/>
  <c r="C70" i="23"/>
  <c r="C97" i="23" s="1"/>
  <c r="C71" i="23"/>
  <c r="C72" i="23"/>
  <c r="C73" i="23"/>
  <c r="C74" i="23"/>
  <c r="D74" i="23" s="1"/>
  <c r="E74" i="23" s="1"/>
  <c r="F74" i="23" s="1"/>
  <c r="C75" i="23"/>
  <c r="C76" i="23"/>
  <c r="C77" i="23"/>
  <c r="C78" i="23"/>
  <c r="D78" i="23" s="1"/>
  <c r="E78" i="23" s="1"/>
  <c r="F78" i="23" s="1"/>
  <c r="C79" i="23"/>
  <c r="C80" i="23"/>
  <c r="C81" i="23"/>
  <c r="C82" i="23"/>
  <c r="D82" i="23" s="1"/>
  <c r="E82" i="23" s="1"/>
  <c r="F82" i="23" s="1"/>
  <c r="C83" i="23"/>
  <c r="C84" i="23"/>
  <c r="C85" i="23"/>
  <c r="C86" i="23"/>
  <c r="D86" i="23" s="1"/>
  <c r="E86" i="23" s="1"/>
  <c r="C87" i="23"/>
  <c r="C88" i="23"/>
  <c r="C89" i="23"/>
  <c r="C90" i="23"/>
  <c r="D90" i="23" s="1"/>
  <c r="E90" i="23" s="1"/>
  <c r="F90" i="23" s="1"/>
  <c r="C91" i="23"/>
  <c r="C92" i="23"/>
  <c r="C93" i="23"/>
  <c r="C94" i="23"/>
  <c r="D94" i="23" s="1"/>
  <c r="E94" i="23" s="1"/>
  <c r="F94" i="23" s="1"/>
  <c r="C95" i="23"/>
  <c r="C96" i="23"/>
  <c r="D69" i="23"/>
  <c r="E69" i="23"/>
  <c r="D71" i="23"/>
  <c r="E71" i="23" s="1"/>
  <c r="F71" i="23" s="1"/>
  <c r="D72" i="23"/>
  <c r="E72" i="23" s="1"/>
  <c r="F72" i="23" s="1"/>
  <c r="D73" i="23"/>
  <c r="E73" i="23"/>
  <c r="D75" i="23"/>
  <c r="E75" i="23" s="1"/>
  <c r="F75" i="23" s="1"/>
  <c r="D76" i="23"/>
  <c r="E76" i="23" s="1"/>
  <c r="F76" i="23" s="1"/>
  <c r="D77" i="23"/>
  <c r="E77" i="23"/>
  <c r="D79" i="23"/>
  <c r="E79" i="23" s="1"/>
  <c r="F79" i="23" s="1"/>
  <c r="D80" i="23"/>
  <c r="E80" i="23" s="1"/>
  <c r="F80" i="23" s="1"/>
  <c r="D81" i="23"/>
  <c r="E81" i="23"/>
  <c r="D83" i="23"/>
  <c r="E83" i="23" s="1"/>
  <c r="F83" i="23" s="1"/>
  <c r="D84" i="23"/>
  <c r="E84" i="23" s="1"/>
  <c r="F84" i="23" s="1"/>
  <c r="D85" i="23"/>
  <c r="E85" i="23"/>
  <c r="D87" i="23"/>
  <c r="E87" i="23" s="1"/>
  <c r="F87" i="23" s="1"/>
  <c r="D88" i="23"/>
  <c r="E88" i="23" s="1"/>
  <c r="F88" i="23" s="1"/>
  <c r="D89" i="23"/>
  <c r="E89" i="23"/>
  <c r="D91" i="23"/>
  <c r="E91" i="23" s="1"/>
  <c r="F91" i="23" s="1"/>
  <c r="D92" i="23"/>
  <c r="E92" i="23" s="1"/>
  <c r="F92" i="23" s="1"/>
  <c r="D93" i="23"/>
  <c r="E93" i="23"/>
  <c r="D95" i="23"/>
  <c r="E95" i="23" s="1"/>
  <c r="F95" i="23" s="1"/>
  <c r="D96" i="23"/>
  <c r="E96" i="23" s="1"/>
  <c r="F96" i="23" s="1"/>
  <c r="G14" i="5"/>
  <c r="B29" i="23"/>
  <c r="B34" i="23"/>
  <c r="D34" i="23" s="1"/>
  <c r="B33" i="23"/>
  <c r="B32" i="23"/>
  <c r="B31" i="23"/>
  <c r="B30" i="23"/>
  <c r="D30" i="23" s="1"/>
  <c r="B28" i="23"/>
  <c r="B27" i="23"/>
  <c r="B26" i="23"/>
  <c r="B25" i="23"/>
  <c r="D25" i="23" s="1"/>
  <c r="B24" i="23"/>
  <c r="B23" i="23"/>
  <c r="D23" i="23" s="1"/>
  <c r="B22" i="23"/>
  <c r="B21" i="23"/>
  <c r="D21" i="23" s="1"/>
  <c r="B20" i="23"/>
  <c r="B19" i="23"/>
  <c r="B18" i="23"/>
  <c r="B17" i="23"/>
  <c r="D17" i="23" s="1"/>
  <c r="B16" i="23"/>
  <c r="D16" i="23"/>
  <c r="B15" i="23"/>
  <c r="D15" i="23"/>
  <c r="B14" i="23"/>
  <c r="D14" i="23" s="1"/>
  <c r="B8" i="23"/>
  <c r="B13" i="23"/>
  <c r="D13" i="23" s="1"/>
  <c r="B12" i="23"/>
  <c r="D12" i="23" s="1"/>
  <c r="B11" i="23"/>
  <c r="D11" i="23"/>
  <c r="B10" i="23"/>
  <c r="D10" i="23" s="1"/>
  <c r="B9" i="23"/>
  <c r="D9" i="23" s="1"/>
  <c r="D8" i="23"/>
  <c r="B7" i="23"/>
  <c r="D7" i="23" s="1"/>
  <c r="D18" i="23"/>
  <c r="D19" i="23"/>
  <c r="D20" i="23"/>
  <c r="D22" i="23"/>
  <c r="D24" i="23"/>
  <c r="D26" i="23"/>
  <c r="D27" i="23"/>
  <c r="D28" i="23"/>
  <c r="D29" i="23"/>
  <c r="D31" i="23"/>
  <c r="D32" i="23"/>
  <c r="D33" i="23"/>
  <c r="E51" i="23"/>
  <c r="B35" i="23"/>
  <c r="AO113" i="23"/>
  <c r="D87" i="3"/>
  <c r="B215" i="23"/>
  <c r="D85" i="3"/>
  <c r="D88" i="3" s="1"/>
  <c r="B180" i="23"/>
  <c r="E11" i="8"/>
  <c r="E87" i="3"/>
  <c r="F87" i="3"/>
  <c r="C56" i="23"/>
  <c r="E44" i="23"/>
  <c r="E45" i="23"/>
  <c r="E46" i="23"/>
  <c r="E56" i="23" s="1"/>
  <c r="E48" i="23"/>
  <c r="E49" i="23"/>
  <c r="E50" i="23"/>
  <c r="E52" i="23"/>
  <c r="E53" i="23"/>
  <c r="E54" i="23"/>
  <c r="E55" i="23"/>
  <c r="D56" i="23"/>
  <c r="F106" i="15"/>
  <c r="F104" i="15"/>
  <c r="F103" i="15"/>
  <c r="F13" i="6"/>
  <c r="S111" i="23"/>
  <c r="V111" i="23"/>
  <c r="AG111" i="23"/>
  <c r="AB111" i="23"/>
  <c r="G10" i="6"/>
  <c r="G11" i="6"/>
  <c r="G12" i="6"/>
  <c r="G13" i="6"/>
  <c r="G14" i="6"/>
  <c r="G15" i="6"/>
  <c r="F32" i="6"/>
  <c r="H32" i="6" s="1"/>
  <c r="G32" i="6"/>
  <c r="F33" i="6"/>
  <c r="G33" i="6"/>
  <c r="F34" i="6"/>
  <c r="G34" i="6"/>
  <c r="H34" i="6"/>
  <c r="G32" i="7" s="1"/>
  <c r="F35" i="6"/>
  <c r="G35" i="6"/>
  <c r="E19" i="6"/>
  <c r="F19" i="6" s="1"/>
  <c r="E20" i="6"/>
  <c r="F20" i="6" s="1"/>
  <c r="G22" i="7" s="1"/>
  <c r="E21" i="6"/>
  <c r="F21" i="6" s="1"/>
  <c r="G23" i="7" s="1"/>
  <c r="E22" i="6"/>
  <c r="F22" i="6"/>
  <c r="G24" i="7" s="1"/>
  <c r="E23" i="6"/>
  <c r="F23" i="6" s="1"/>
  <c r="G25" i="7" s="1"/>
  <c r="E24" i="6"/>
  <c r="F24" i="6" s="1"/>
  <c r="G26" i="7" s="1"/>
  <c r="B34" i="5"/>
  <c r="E39" i="6" s="1"/>
  <c r="F39" i="6" s="1"/>
  <c r="B35" i="5"/>
  <c r="H35" i="5" s="1"/>
  <c r="I35" i="5" s="1"/>
  <c r="B37" i="5"/>
  <c r="E41" i="6" s="1"/>
  <c r="F41" i="6" s="1"/>
  <c r="G39" i="7" s="1"/>
  <c r="B38" i="5"/>
  <c r="E42" i="6" s="1"/>
  <c r="F42" i="6" s="1"/>
  <c r="G40" i="7" s="1"/>
  <c r="G71" i="7"/>
  <c r="D84" i="3"/>
  <c r="G96" i="7"/>
  <c r="G105" i="7"/>
  <c r="G115" i="7"/>
  <c r="G119" i="7"/>
  <c r="G140" i="7"/>
  <c r="A111" i="23"/>
  <c r="AD111" i="23"/>
  <c r="A112" i="23"/>
  <c r="A113" i="23"/>
  <c r="AD113" i="23" s="1"/>
  <c r="A114" i="23"/>
  <c r="AD114" i="23" s="1"/>
  <c r="D111" i="23"/>
  <c r="D139" i="23" s="1"/>
  <c r="G111" i="23"/>
  <c r="J111" i="23"/>
  <c r="M111" i="23"/>
  <c r="P111" i="23"/>
  <c r="D112" i="23"/>
  <c r="G112" i="23"/>
  <c r="J112" i="23"/>
  <c r="M112" i="23"/>
  <c r="P112" i="23"/>
  <c r="S112" i="23"/>
  <c r="D113" i="23"/>
  <c r="G113" i="23"/>
  <c r="T113" i="23" s="1"/>
  <c r="J113" i="23"/>
  <c r="M113" i="23"/>
  <c r="P113" i="23"/>
  <c r="S113" i="23"/>
  <c r="S139" i="23" s="1"/>
  <c r="D114" i="23"/>
  <c r="G114" i="23"/>
  <c r="J114" i="23"/>
  <c r="M114" i="23"/>
  <c r="P114" i="23"/>
  <c r="S114" i="23"/>
  <c r="A115" i="23"/>
  <c r="AD115" i="23"/>
  <c r="D115" i="23"/>
  <c r="G115" i="23"/>
  <c r="J115" i="23"/>
  <c r="M115" i="23"/>
  <c r="T115" i="23" s="1"/>
  <c r="P115" i="23"/>
  <c r="S115" i="23"/>
  <c r="A116" i="23"/>
  <c r="AD116" i="23"/>
  <c r="D116" i="23"/>
  <c r="G116" i="23"/>
  <c r="J116" i="23"/>
  <c r="M116" i="23"/>
  <c r="T116" i="23" s="1"/>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T119" i="23" s="1"/>
  <c r="P119" i="23"/>
  <c r="S119" i="23"/>
  <c r="A120" i="23"/>
  <c r="D120" i="23"/>
  <c r="G120" i="23"/>
  <c r="J120" i="23"/>
  <c r="M120" i="23"/>
  <c r="P120" i="23"/>
  <c r="S120" i="23"/>
  <c r="A121" i="23"/>
  <c r="AD121" i="23"/>
  <c r="D121" i="23"/>
  <c r="T121" i="23" s="1"/>
  <c r="G121" i="23"/>
  <c r="J121" i="23"/>
  <c r="M121" i="23"/>
  <c r="P121" i="23"/>
  <c r="S121" i="23"/>
  <c r="A122" i="23"/>
  <c r="AD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T129" i="23" s="1"/>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T132" i="23" s="1"/>
  <c r="G132" i="23"/>
  <c r="J132" i="23"/>
  <c r="M132" i="23"/>
  <c r="P132" i="23"/>
  <c r="S132" i="23"/>
  <c r="A133" i="23"/>
  <c r="AD133" i="23"/>
  <c r="D133" i="23"/>
  <c r="T133" i="23" s="1"/>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T136" i="23" s="1"/>
  <c r="G136" i="23"/>
  <c r="J136" i="23"/>
  <c r="M136" i="23"/>
  <c r="P136" i="23"/>
  <c r="S136" i="23"/>
  <c r="A137" i="23"/>
  <c r="AD137" i="23"/>
  <c r="D137" i="23"/>
  <c r="T137" i="23" s="1"/>
  <c r="G137" i="23"/>
  <c r="J137" i="23"/>
  <c r="M137" i="23"/>
  <c r="P137" i="23"/>
  <c r="S137" i="23"/>
  <c r="A138" i="23"/>
  <c r="AD138" i="23"/>
  <c r="D138" i="23"/>
  <c r="T138" i="23" s="1"/>
  <c r="G138" i="23"/>
  <c r="J138" i="23"/>
  <c r="M138" i="23"/>
  <c r="P138" i="23"/>
  <c r="S138" i="23"/>
  <c r="B139" i="23"/>
  <c r="E139" i="23"/>
  <c r="F139" i="23"/>
  <c r="H139" i="23"/>
  <c r="I139" i="23"/>
  <c r="K139" i="23"/>
  <c r="L139" i="23"/>
  <c r="N139" i="23"/>
  <c r="O139" i="23"/>
  <c r="Q139" i="23"/>
  <c r="R139" i="23"/>
  <c r="E43" i="23"/>
  <c r="V112" i="23"/>
  <c r="V113" i="23"/>
  <c r="V114" i="23"/>
  <c r="V115" i="23"/>
  <c r="V116" i="23"/>
  <c r="V117" i="23"/>
  <c r="V118" i="23"/>
  <c r="V119" i="23"/>
  <c r="V120" i="23"/>
  <c r="V121" i="23"/>
  <c r="V122" i="23"/>
  <c r="V123" i="23"/>
  <c r="V124" i="23"/>
  <c r="V125" i="23"/>
  <c r="V139" i="23" s="1"/>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H29" i="5" s="1"/>
  <c r="I29" i="5" s="1"/>
  <c r="B29" i="5"/>
  <c r="AE139" i="23"/>
  <c r="A76" i="23"/>
  <c r="C61" i="15"/>
  <c r="A69" i="23"/>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F86" i="3" s="1"/>
  <c r="C35" i="23"/>
  <c r="E85" i="3"/>
  <c r="B97" i="23"/>
  <c r="F73" i="23"/>
  <c r="F77" i="23"/>
  <c r="C96" i="15"/>
  <c r="B1" i="15"/>
  <c r="B2" i="7"/>
  <c r="B7" i="12"/>
  <c r="B5" i="6"/>
  <c r="D8" i="5"/>
  <c r="E40" i="4"/>
  <c r="C101" i="3" s="1"/>
  <c r="C8" i="4"/>
  <c r="AF139" i="23"/>
  <c r="AA139" i="23"/>
  <c r="W139" i="23"/>
  <c r="AG138" i="23"/>
  <c r="AB138" i="23" s="1"/>
  <c r="Z138" i="23" s="1"/>
  <c r="AG137" i="23"/>
  <c r="AB137" i="23"/>
  <c r="Z137" i="23" s="1"/>
  <c r="AG136" i="23"/>
  <c r="AB136" i="23" s="1"/>
  <c r="Z136" i="23" s="1"/>
  <c r="AG135" i="23"/>
  <c r="AB135" i="23"/>
  <c r="Z135" i="23" s="1"/>
  <c r="AG134" i="23"/>
  <c r="AB134" i="23" s="1"/>
  <c r="Z134" i="23" s="1"/>
  <c r="AG133" i="23"/>
  <c r="AB133" i="23"/>
  <c r="Z133" i="23" s="1"/>
  <c r="AG132" i="23"/>
  <c r="AB132" i="23" s="1"/>
  <c r="Z132" i="23" s="1"/>
  <c r="AG131" i="23"/>
  <c r="AB131" i="23" s="1"/>
  <c r="Z131" i="23" s="1"/>
  <c r="AG130" i="23"/>
  <c r="AB130" i="23" s="1"/>
  <c r="Z130" i="23" s="1"/>
  <c r="AG129" i="23"/>
  <c r="AB129" i="23"/>
  <c r="Z129" i="23" s="1"/>
  <c r="AG128" i="23"/>
  <c r="AB128" i="23" s="1"/>
  <c r="Z128" i="23" s="1"/>
  <c r="AG127" i="23"/>
  <c r="AB127" i="23"/>
  <c r="Z127" i="23" s="1"/>
  <c r="AG126" i="23"/>
  <c r="AB126" i="23" s="1"/>
  <c r="Z126" i="23" s="1"/>
  <c r="AG125" i="23"/>
  <c r="AB125" i="23"/>
  <c r="Z125" i="23" s="1"/>
  <c r="AG124" i="23"/>
  <c r="AB124" i="23" s="1"/>
  <c r="Z124" i="23" s="1"/>
  <c r="AG123" i="23"/>
  <c r="AB123" i="23" s="1"/>
  <c r="Z123" i="23" s="1"/>
  <c r="AG122" i="23"/>
  <c r="AB122" i="23" s="1"/>
  <c r="Z122" i="23" s="1"/>
  <c r="AG121" i="23"/>
  <c r="AB121" i="23"/>
  <c r="Z121" i="23" s="1"/>
  <c r="AG120" i="23"/>
  <c r="AB120" i="23" s="1"/>
  <c r="Z120" i="23" s="1"/>
  <c r="AG119" i="23"/>
  <c r="AB119" i="23"/>
  <c r="Z119" i="23" s="1"/>
  <c r="AG118" i="23"/>
  <c r="AB118" i="23" s="1"/>
  <c r="Z118" i="23" s="1"/>
  <c r="AG117" i="23"/>
  <c r="AB117" i="23"/>
  <c r="Z117" i="23" s="1"/>
  <c r="AG116" i="23"/>
  <c r="AB116" i="23" s="1"/>
  <c r="Z116" i="23" s="1"/>
  <c r="AG115" i="23"/>
  <c r="AB115" i="23" s="1"/>
  <c r="Z115" i="23" s="1"/>
  <c r="AG114" i="23"/>
  <c r="AB114" i="23" s="1"/>
  <c r="Z114" i="23" s="1"/>
  <c r="AG113" i="23"/>
  <c r="AB113" i="23"/>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E57" i="15"/>
  <c r="F57" i="15" s="1"/>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E93" i="15"/>
  <c r="F98" i="15"/>
  <c r="F99" i="15"/>
  <c r="F100" i="15"/>
  <c r="F101" i="15"/>
  <c r="F102" i="15"/>
  <c r="F105" i="15"/>
  <c r="F107" i="15"/>
  <c r="F108" i="15"/>
  <c r="F109" i="15"/>
  <c r="F110" i="15"/>
  <c r="D111" i="15"/>
  <c r="F111" i="15" s="1"/>
  <c r="E111" i="15"/>
  <c r="F120" i="15"/>
  <c r="F121" i="15"/>
  <c r="F122" i="15"/>
  <c r="F123" i="15"/>
  <c r="F124" i="15"/>
  <c r="F125" i="15"/>
  <c r="F126" i="15"/>
  <c r="F127" i="15"/>
  <c r="F128" i="15"/>
  <c r="E129" i="15"/>
  <c r="B53" i="22"/>
  <c r="D75" i="22"/>
  <c r="E75" i="22"/>
  <c r="E65" i="22"/>
  <c r="E66" i="22"/>
  <c r="E69" i="22" s="1"/>
  <c r="D65" i="22"/>
  <c r="D67" i="22"/>
  <c r="D70" i="22" s="1"/>
  <c r="D59" i="22"/>
  <c r="D60" i="22" s="1"/>
  <c r="B52" i="22"/>
  <c r="E33" i="22"/>
  <c r="E34" i="22"/>
  <c r="D33" i="22"/>
  <c r="D34" i="22"/>
  <c r="D26" i="22"/>
  <c r="D38" i="22"/>
  <c r="C38" i="22"/>
  <c r="E15" i="22"/>
  <c r="D15" i="22"/>
  <c r="B46" i="22"/>
  <c r="E26" i="22"/>
  <c r="E59" i="22"/>
  <c r="E60" i="22" s="1"/>
  <c r="E38" i="22"/>
  <c r="H14" i="5"/>
  <c r="D21" i="8"/>
  <c r="C95" i="3" s="1"/>
  <c r="E15" i="8"/>
  <c r="E36" i="6"/>
  <c r="D36" i="6"/>
  <c r="D43" i="6"/>
  <c r="D26" i="6"/>
  <c r="E17" i="6"/>
  <c r="G20" i="5"/>
  <c r="H20" i="5"/>
  <c r="G19" i="5"/>
  <c r="H19" i="5"/>
  <c r="G22" i="5"/>
  <c r="H22" i="5"/>
  <c r="G23" i="5"/>
  <c r="H23" i="5" s="1"/>
  <c r="E20" i="12"/>
  <c r="E29" i="12"/>
  <c r="E30" i="12" s="1"/>
  <c r="B21" i="8"/>
  <c r="E59" i="3"/>
  <c r="C94" i="12"/>
  <c r="B31" i="5"/>
  <c r="H31" i="5" s="1"/>
  <c r="I31" i="5" s="1"/>
  <c r="B30" i="5"/>
  <c r="G16" i="5"/>
  <c r="H16" i="5"/>
  <c r="G15" i="5"/>
  <c r="H15" i="5"/>
  <c r="D96" i="8"/>
  <c r="C96" i="8"/>
  <c r="E60" i="3"/>
  <c r="E61" i="3"/>
  <c r="E62" i="3"/>
  <c r="E63" i="3"/>
  <c r="E64" i="3"/>
  <c r="E10" i="8"/>
  <c r="E12" i="8"/>
  <c r="E14" i="8"/>
  <c r="E16" i="8"/>
  <c r="E18" i="8"/>
  <c r="E19" i="8"/>
  <c r="E20" i="8"/>
  <c r="E36" i="4"/>
  <c r="C109" i="3" s="1"/>
  <c r="C110" i="3" s="1"/>
  <c r="C114" i="3" s="1"/>
  <c r="D33" i="4"/>
  <c r="C77" i="3"/>
  <c r="E16" i="4"/>
  <c r="G262" i="7"/>
  <c r="G266" i="7" s="1"/>
  <c r="C102" i="3" s="1"/>
  <c r="C103" i="3" s="1"/>
  <c r="E67" i="22"/>
  <c r="E70" i="22" s="1"/>
  <c r="D61" i="22"/>
  <c r="X139" i="23"/>
  <c r="F36" i="6"/>
  <c r="D66" i="22"/>
  <c r="D68" i="22" s="1"/>
  <c r="H35" i="6"/>
  <c r="G33" i="7" s="1"/>
  <c r="H33" i="6"/>
  <c r="G31" i="7" s="1"/>
  <c r="H34" i="5"/>
  <c r="I34" i="5" s="1"/>
  <c r="H38" i="5"/>
  <c r="I38" i="5" s="1"/>
  <c r="H30" i="5"/>
  <c r="I30" i="5" s="1"/>
  <c r="D69" i="22"/>
  <c r="H37" i="5"/>
  <c r="I37" i="5" s="1"/>
  <c r="D17" i="6"/>
  <c r="F12" i="6"/>
  <c r="E46" i="3" s="1"/>
  <c r="F46" i="3" s="1"/>
  <c r="G46" i="3" s="1"/>
  <c r="F11" i="6"/>
  <c r="H11" i="6" s="1"/>
  <c r="F14" i="6"/>
  <c r="H14" i="6"/>
  <c r="G16" i="7" s="1"/>
  <c r="H13" i="6"/>
  <c r="G15" i="7" s="1"/>
  <c r="F15" i="6"/>
  <c r="E49" i="3"/>
  <c r="F10" i="6"/>
  <c r="E44" i="3"/>
  <c r="E47" i="3"/>
  <c r="E48" i="3"/>
  <c r="H10" i="6"/>
  <c r="G12" i="7" s="1"/>
  <c r="H15" i="6"/>
  <c r="G17" i="7"/>
  <c r="G75" i="7"/>
  <c r="T111" i="23"/>
  <c r="T139" i="23" s="1"/>
  <c r="T135" i="23"/>
  <c r="T120" i="23"/>
  <c r="J139" i="23"/>
  <c r="T131" i="23"/>
  <c r="T130" i="23"/>
  <c r="T126" i="23"/>
  <c r="T124" i="23"/>
  <c r="T123" i="23"/>
  <c r="M139" i="23"/>
  <c r="G139" i="23"/>
  <c r="D59" i="3"/>
  <c r="F59" i="3" s="1"/>
  <c r="G59" i="3" s="1"/>
  <c r="D44" i="3"/>
  <c r="D50" i="3" s="1"/>
  <c r="F89" i="23"/>
  <c r="T122" i="23"/>
  <c r="T118" i="23"/>
  <c r="T117" i="23"/>
  <c r="T114" i="23"/>
  <c r="T112" i="23"/>
  <c r="T134" i="23"/>
  <c r="T125" i="23"/>
  <c r="T128" i="23"/>
  <c r="T127" i="23"/>
  <c r="D48" i="3"/>
  <c r="F48" i="3" s="1"/>
  <c r="G48" i="3" s="1"/>
  <c r="D64" i="3"/>
  <c r="F64" i="3" s="1"/>
  <c r="G64" i="3" s="1"/>
  <c r="P139" i="23"/>
  <c r="D60" i="3"/>
  <c r="D45" i="3" s="1"/>
  <c r="D63" i="3"/>
  <c r="F63" i="3"/>
  <c r="G63" i="3" s="1"/>
  <c r="D61" i="3"/>
  <c r="F61" i="3" s="1"/>
  <c r="G61" i="3" s="1"/>
  <c r="AD112" i="23"/>
  <c r="F81" i="23"/>
  <c r="D62" i="3"/>
  <c r="F62" i="3"/>
  <c r="G62" i="3" s="1"/>
  <c r="D49" i="3"/>
  <c r="F49" i="3"/>
  <c r="G49" i="3" s="1"/>
  <c r="F85" i="23"/>
  <c r="F93" i="23"/>
  <c r="D47" i="3"/>
  <c r="F47" i="3"/>
  <c r="G47" i="3" s="1"/>
  <c r="D46" i="3"/>
  <c r="F69" i="23"/>
  <c r="G85" i="7" l="1"/>
  <c r="G37" i="7"/>
  <c r="H36" i="6"/>
  <c r="G30" i="7"/>
  <c r="G35" i="7" s="1"/>
  <c r="D35" i="23"/>
  <c r="AB139" i="23"/>
  <c r="AO111" i="23" s="1"/>
  <c r="AO114" i="23" s="1"/>
  <c r="AG139" i="23"/>
  <c r="E113" i="15"/>
  <c r="E131" i="15" s="1"/>
  <c r="E62" i="22"/>
  <c r="E68" i="22"/>
  <c r="D62" i="22"/>
  <c r="F86" i="23"/>
  <c r="F44" i="3"/>
  <c r="G44" i="3" s="1"/>
  <c r="D65" i="3"/>
  <c r="E84" i="3"/>
  <c r="F60" i="3"/>
  <c r="G60" i="3" s="1"/>
  <c r="D118" i="15"/>
  <c r="D70" i="23"/>
  <c r="F93" i="15"/>
  <c r="E61" i="22"/>
  <c r="E40" i="6"/>
  <c r="F40" i="6" s="1"/>
  <c r="G38" i="7" s="1"/>
  <c r="Z111" i="23"/>
  <c r="Z139" i="23" s="1"/>
  <c r="F85" i="3"/>
  <c r="C74" i="3"/>
  <c r="C21" i="8"/>
  <c r="D113" i="15"/>
  <c r="C94" i="3"/>
  <c r="E21" i="8"/>
  <c r="G248" i="7"/>
  <c r="C93" i="3"/>
  <c r="F26" i="6"/>
  <c r="E65" i="3"/>
  <c r="F65" i="3" s="1"/>
  <c r="G65" i="3" s="1"/>
  <c r="D119" i="15"/>
  <c r="F119" i="15" s="1"/>
  <c r="G21" i="7"/>
  <c r="G28" i="7" s="1"/>
  <c r="H12" i="6"/>
  <c r="G14" i="7" s="1"/>
  <c r="G13" i="7"/>
  <c r="F17" i="6"/>
  <c r="E50" i="3" s="1"/>
  <c r="F50" i="3" s="1"/>
  <c r="G50" i="3" s="1"/>
  <c r="E45" i="3"/>
  <c r="F45" i="3" s="1"/>
  <c r="G45" i="3" s="1"/>
  <c r="C75" i="3"/>
  <c r="B70" i="6"/>
  <c r="AO117" i="23" l="1"/>
  <c r="AO118" i="23" s="1"/>
  <c r="AO120" i="23" s="1"/>
  <c r="D97" i="23"/>
  <c r="E70" i="23"/>
  <c r="F43" i="6"/>
  <c r="H44" i="6" s="1"/>
  <c r="G42" i="7"/>
  <c r="F118" i="15"/>
  <c r="F129" i="15" s="1"/>
  <c r="C119" i="3"/>
  <c r="C126" i="3"/>
  <c r="F84" i="3"/>
  <c r="F88" i="3" s="1"/>
  <c r="E88" i="3"/>
  <c r="F113" i="15"/>
  <c r="C96" i="3"/>
  <c r="E25" i="4"/>
  <c r="E28" i="4" s="1"/>
  <c r="D129" i="15"/>
  <c r="D131" i="15" s="1"/>
  <c r="C129" i="3"/>
  <c r="C121" i="3"/>
  <c r="G19" i="7"/>
  <c r="H17" i="6"/>
  <c r="H27" i="6" s="1"/>
  <c r="C135" i="3" l="1"/>
  <c r="H46" i="6"/>
  <c r="G44" i="7"/>
  <c r="G63" i="7" s="1"/>
  <c r="E97" i="23"/>
  <c r="F97" i="23" s="1"/>
  <c r="F70" i="23"/>
  <c r="F131" i="15"/>
  <c r="C34" i="3"/>
  <c r="G142" i="7"/>
  <c r="E18" i="4" l="1"/>
  <c r="E21" i="4" s="1"/>
  <c r="E23" i="4" s="1"/>
  <c r="E44" i="4" s="1"/>
  <c r="C17" i="3" s="1"/>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<sst xmlns="http://schemas.openxmlformats.org/spreadsheetml/2006/main" count="1356" uniqueCount="786">
  <si>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</si>
  <si>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</si>
  <si>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</si>
  <si>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</si>
  <si>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</si>
  <si>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</si>
  <si>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</si>
  <si>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</si>
  <si>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</si>
  <si>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</si>
  <si>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</si>
  <si>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</si>
  <si>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</si>
  <si>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</si>
  <si>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</si>
  <si>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</si>
  <si>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</si>
  <si>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</si>
  <si>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</si>
  <si>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</si>
  <si>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</si>
  <si>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</si>
  <si>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</si>
  <si>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</si>
  <si>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</si>
  <si>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</si>
  <si>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</si>
  <si>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</si>
  <si>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</si>
  <si>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</si>
  <si>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</si>
  <si>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</si>
  <si>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</si>
  <si>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</si>
  <si>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</si>
  <si>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</si>
  <si>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</si>
  <si>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</si>
  <si>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</si>
  <si>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</si>
  <si>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</si>
  <si>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</si>
  <si>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</si>
  <si>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</si>
  <si>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</si>
  <si>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</si>
  <si>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</si>
  <si>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</si>
  <si>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</si>
  <si>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</si>
  <si>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</si>
  <si>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</si>
  <si>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</si>
  <si>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</si>
  <si>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</si>
  <si>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</si>
  <si>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</si>
  <si>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</si>
  <si>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</si>
  <si>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</si>
  <si>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</si>
  <si>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</si>
  <si>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</si>
  <si>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</si>
  <si>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</si>
  <si>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</si>
  <si>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</si>
  <si>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</si>
  <si>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</si>
  <si>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</si>
  <si>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</si>
  <si>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</si>
  <si>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</si>
  <si>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</si>
  <si>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</si>
  <si>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</si>
  <si>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</si>
  <si>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</si>
  <si>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</si>
  <si>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</si>
  <si>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</si>
  <si>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</si>
  <si>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</si>
  <si>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</si>
  <si>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</si>
  <si>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</si>
  <si>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</si>
  <si>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</si>
  <si>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</si>
  <si>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</si>
  <si>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</si>
  <si>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</si>
  <si>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</si>
  <si>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</si>
  <si>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</si>
  <si>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</si>
  <si>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</si>
  <si>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</si>
  <si>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</si>
  <si>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</si>
  <si>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</si>
  <si>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</si>
  <si>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</si>
  <si>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</si>
  <si>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</si>
  <si>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</si>
  <si>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</si>
  <si>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</si>
  <si>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</si>
  <si>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</si>
  <si>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</si>
  <si>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</si>
  <si>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</si>
  <si>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</si>
  <si>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</si>
  <si>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</si>
  <si>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</si>
  <si>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</si>
  <si>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</si>
  <si>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</si>
  <si>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</si>
  <si>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</si>
  <si>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</si>
  <si>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</si>
  <si>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</si>
  <si>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</si>
  <si>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</si>
  <si>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</si>
  <si>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</si>
  <si>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</si>
  <si>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</si>
  <si>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</si>
  <si>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</si>
  <si>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</si>
  <si>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</si>
  <si>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</si>
  <si>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</si>
  <si>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</si>
  <si>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</si>
  <si>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</si>
  <si>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</si>
  <si>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</si>
  <si>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</si>
  <si>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</si>
  <si>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</si>
  <si>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</si>
  <si>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</si>
  <si>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</si>
  <si>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</si>
  <si>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</si>
  <si>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</si>
  <si>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</si>
  <si>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</si>
  <si>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</si>
  <si>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</si>
  <si>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</si>
  <si>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</si>
  <si>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</si>
  <si>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</si>
  <si>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</si>
  <si>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</si>
  <si>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</si>
  <si>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</si>
  <si>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</si>
  <si>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</si>
  <si>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</si>
  <si>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</si>
  <si>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</si>
  <si>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</si>
  <si>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</si>
  <si>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</si>
  <si>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</si>
  <si>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</si>
  <si>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</si>
  <si>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</si>
  <si>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</si>
  <si>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</si>
  <si>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</si>
  <si>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</si>
  <si>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</si>
  <si>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</si>
  <si>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</si>
  <si>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</si>
  <si>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</si>
  <si>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</si>
  <si>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</si>
  <si>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</si>
  <si>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</si>
  <si>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</si>
  <si>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</si>
  <si>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</si>
  <si>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</si>
  <si>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</si>
  <si>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</si>
  <si>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</si>
  <si>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</si>
  <si>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</si>
  <si>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</si>
  <si>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</si>
  <si>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</si>
  <si>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</si>
  <si>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</si>
  <si>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</si>
  <si>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</si>
  <si>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</si>
  <si>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</si>
  <si>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</si>
  <si>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</si>
  <si>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</si>
  <si>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</si>
  <si>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</si>
  <si>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</si>
  <si>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</si>
  <si>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</si>
  <si>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</si>
  <si>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</si>
  <si>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</si>
  <si>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</si>
  <si>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</si>
  <si>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</si>
  <si>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</si>
  <si>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</si>
  <si>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</si>
  <si>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</si>
  <si>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</si>
  <si>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</si>
  <si>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</si>
  <si>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</si>
  <si>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</si>
  <si>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</si>
  <si>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</si>
  <si>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</si>
  <si>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</si>
  <si>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</si>
  <si>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</si>
  <si>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</si>
  <si>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</si>
  <si>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</si>
  <si>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</si>
  <si>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</si>
  <si>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</si>
  <si>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</si>
  <si>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</si>
  <si>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</si>
  <si>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</si>
  <si>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</si>
  <si>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</si>
  <si>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</si>
  <si>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</si>
  <si>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</si>
  <si>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</si>
  <si>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</si>
  <si>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</si>
  <si>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</si>
  <si>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</si>
  <si>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</si>
  <si>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</si>
  <si>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</si>
  <si>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</si>
  <si>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</si>
  <si>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</si>
  <si>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</si>
  <si>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</si>
  <si>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</si>
  <si>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</si>
  <si>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</si>
  <si>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</si>
  <si>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</si>
  <si>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</si>
  <si>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</si>
  <si>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</si>
  <si>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</si>
  <si>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</si>
  <si>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</si>
  <si>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</si>
  <si>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</si>
  <si>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</si>
  <si>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</si>
  <si>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</si>
  <si>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</si>
  <si>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</si>
  <si>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</si>
  <si>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</si>
  <si>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</si>
  <si>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</si>
  <si>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</si>
  <si>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</si>
  <si>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</si>
  <si>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</si>
  <si>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</si>
  <si>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</si>
  <si>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</si>
  <si>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</si>
  <si>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</si>
  <si>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</si>
  <si>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</si>
  <si>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</si>
  <si>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</si>
  <si>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</si>
  <si>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</si>
  <si>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</si>
  <si>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</si>
  <si>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</si>
  <si>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</si>
  <si>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</si>
  <si>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</si>
  <si>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</si>
  <si>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</si>
  <si>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</si>
  <si>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</si>
  <si>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</si>
  <si>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</si>
  <si>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</si>
  <si>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</si>
  <si>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</si>
  <si>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</si>
  <si>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</si>
  <si>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</si>
  <si>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</si>
  <si>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</si>
  <si>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</si>
  <si>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</si>
  <si>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</si>
  <si>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</si>
  <si>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</si>
  <si>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</si>
  <si>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</si>
  <si>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</si>
  <si>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</si>
  <si>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</si>
  <si>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</si>
  <si>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</si>
  <si>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</si>
  <si>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</si>
  <si>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</si>
  <si>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</si>
  <si>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</si>
  <si>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</si>
  <si>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</si>
  <si>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</si>
  <si>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</si>
  <si>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</si>
  <si>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</si>
  <si>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</si>
  <si>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</si>
  <si>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</si>
  <si>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</si>
  <si>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</si>
  <si>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</si>
  <si>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</si>
  <si>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</si>
  <si>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</si>
  <si>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</si>
  <si>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</si>
  <si>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</si>
  <si>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</si>
  <si>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</si>
  <si>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</si>
  <si>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</si>
  <si>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</si>
  <si>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</si>
  <si>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</si>
  <si>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</si>
  <si>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</si>
  <si>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</si>
  <si>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</si>
  <si>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</si>
  <si>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</si>
  <si>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</si>
  <si>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</si>
  <si>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</si>
  <si>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</si>
  <si>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</si>
  <si>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</si>
  <si>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</si>
  <si>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</si>
  <si>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</si>
  <si>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</si>
  <si>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</si>
  <si>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</si>
  <si>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</si>
  <si>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</si>
  <si>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</si>
  <si>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</si>
  <si>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</si>
  <si>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</si>
  <si>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</si>
  <si>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</si>
  <si>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</si>
  <si>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</si>
  <si>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</si>
  <si>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</si>
  <si>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</si>
  <si>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</si>
  <si>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</si>
  <si>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</si>
  <si>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</si>
  <si>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</si>
  <si>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</si>
  <si>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</si>
  <si>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</si>
  <si>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</si>
  <si>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</si>
  <si>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</si>
  <si>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</si>
  <si>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</si>
  <si>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</si>
  <si>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</si>
  <si>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</si>
  <si>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</si>
  <si>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</si>
  <si>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</si>
  <si>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</si>
  <si>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</si>
  <si>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</si>
  <si>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</si>
  <si>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</si>
  <si>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</si>
  <si>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</si>
  <si>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</si>
  <si>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</si>
  <si>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</si>
  <si>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</si>
  <si>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</si>
  <si>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</si>
  <si>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</si>
  <si>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</si>
  <si>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</si>
  <si>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</si>
  <si>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</si>
  <si>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</si>
  <si>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</si>
  <si>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</si>
  <si>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</si>
  <si>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</si>
  <si>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</si>
  <si>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</si>
  <si>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</si>
  <si>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</si>
  <si>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</si>
  <si>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</si>
  <si>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</si>
  <si>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</si>
  <si>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</si>
  <si>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</si>
  <si>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</si>
  <si>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</si>
  <si>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</si>
  <si>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</si>
  <si>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</si>
  <si>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</si>
  <si>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</si>
  <si>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</si>
  <si>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</si>
  <si>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</si>
  <si>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</si>
  <si>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</si>
  <si>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</si>
  <si>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</si>
  <si>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</si>
  <si>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</si>
  <si>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</si>
  <si>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</si>
  <si>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</si>
  <si>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</si>
  <si>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</si>
  <si>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</si>
  <si>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</si>
  <si>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</si>
  <si>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</si>
  <si>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</si>
  <si>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</si>
  <si>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</si>
  <si>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</si>
  <si>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</si>
  <si>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</si>
  <si>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</si>
  <si>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</si>
  <si>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</si>
  <si>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</si>
  <si>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</si>
  <si>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</si>
  <si>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</si>
  <si>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</si>
  <si>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</si>
  <si>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</si>
  <si>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</si>
  <si>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</si>
  <si>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</si>
  <si>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</si>
  <si>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</si>
  <si>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</si>
  <si>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</si>
  <si>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</si>
  <si>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</si>
  <si>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</si>
  <si>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</si>
  <si>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</si>
  <si>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</si>
  <si>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</si>
  <si>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</si>
  <si>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</si>
  <si>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</si>
  <si>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</si>
  <si>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</si>
  <si>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</si>
  <si>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</si>
  <si>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</si>
  <si>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</si>
  <si>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</si>
  <si>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</si>
  <si>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</si>
  <si>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</si>
  <si>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</si>
  <si>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</si>
  <si>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</si>
  <si>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</si>
  <si>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</si>
  <si>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</si>
  <si>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</si>
  <si>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</si>
  <si>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</si>
  <si>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</si>
  <si>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</si>
  <si>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</si>
  <si>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</si>
  <si>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</si>
  <si>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</si>
  <si>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</si>
  <si>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</si>
  <si>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</si>
  <si>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</si>
  <si>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</si>
  <si>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</si>
  <si>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</si>
  <si>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</si>
  <si>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</si>
  <si>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</si>
  <si>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</si>
  <si>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</si>
  <si>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</si>
  <si>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</si>
  <si>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</si>
  <si>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</si>
  <si>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</si>
  <si>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</si>
  <si>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</si>
  <si>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</si>
  <si>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</si>
  <si>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</si>
  <si>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</si>
  <si>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</si>
  <si>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</si>
  <si>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</si>
  <si>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</si>
  <si>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</si>
  <si>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</si>
  <si>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</si>
  <si>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</si>
  <si>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</si>
  <si>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</si>
  <si>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</si>
  <si>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</si>
  <si>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</si>
  <si>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</si>
  <si>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</si>
  <si>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</si>
  <si>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</si>
  <si>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</si>
  <si>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</si>
  <si>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</si>
  <si>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</si>
  <si>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</si>
  <si>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</si>
  <si>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</si>
  <si>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</si>
  <si>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</si>
  <si>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</si>
  <si>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</si>
  <si>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</si>
  <si>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</si>
  <si>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</si>
  <si>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</si>
  <si>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</si>
  <si>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</si>
  <si>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</si>
  <si>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</si>
  <si>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</si>
  <si>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</si>
  <si>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</si>
  <si>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</si>
  <si>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</si>
  <si>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</si>
  <si>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</si>
  <si>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</si>
  <si>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</si>
  <si>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</si>
  <si>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</si>
  <si>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</si>
  <si>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</si>
  <si>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</si>
  <si>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</si>
  <si>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</si>
  <si>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</si>
  <si>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</si>
  <si>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</si>
  <si>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</si>
  <si>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</si>
  <si>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</si>
  <si>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</si>
  <si>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</si>
  <si>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</si>
  <si>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</si>
  <si>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</si>
  <si>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</si>
  <si>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</si>
  <si>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</si>
  <si>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</si>
  <si>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</si>
  <si>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</si>
  <si>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</si>
  <si>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</si>
  <si>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</si>
  <si>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</si>
  <si>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</si>
  <si>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</si>
  <si>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</si>
  <si>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</si>
  <si>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</si>
  <si>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</si>
  <si>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</si>
  <si>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</si>
  <si>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</si>
  <si>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</si>
  <si>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</si>
  <si>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</si>
  <si>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</si>
  <si>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</si>
  <si>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</si>
  <si>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</si>
  <si>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</si>
  <si>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</si>
  <si>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</si>
  <si>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</si>
  <si>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</si>
  <si>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</si>
  <si>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</si>
  <si>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</si>
  <si>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</si>
  <si>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</si>
  <si>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</si>
  <si>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</si>
  <si>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</si>
  <si>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</si>
  <si>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</si>
  <si>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</si>
  <si>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</si>
  <si>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</si>
  <si>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</si>
  <si>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</si>
  <si>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</si>
  <si>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</si>
  <si>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</si>
  <si>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</si>
  <si>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</si>
  <si>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</si>
  <si>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</si>
  <si>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</si>
  <si>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</si>
  <si>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</si>
  <si>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</si>
  <si>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</si>
  <si>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</si>
  <si>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</si>
  <si>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</si>
  <si>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</si>
  <si>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</si>
  <si>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</si>
  <si>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</si>
  <si>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</si>
  <si>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</si>
  <si>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</si>
  <si>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</si>
  <si>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</si>
  <si>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</si>
  <si>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</si>
  <si>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</si>
  <si>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</si>
  <si>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</si>
  <si>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</si>
  <si>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</si>
  <si>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</si>
  <si>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</si>
  <si>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</si>
  <si>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</si>
  <si>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</si>
  <si>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</si>
  <si>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</si>
  <si>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</si>
  <si>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</si>
  <si>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</si>
  <si>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</si>
  <si>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</si>
  <si>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</si>
  <si>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</si>
  <si>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</si>
  <si>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</si>
  <si>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</si>
  <si>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</si>
  <si>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</si>
  <si>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</si>
  <si>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</si>
  <si>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</si>
  <si>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</si>
  <si>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</si>
  <si>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</si>
  <si>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</si>
  <si>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</si>
  <si>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</si>
  <si>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</si>
  <si>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</si>
  <si>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</si>
  <si>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</si>
  <si>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</si>
  <si>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</si>
  <si>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</si>
  <si>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</si>
  <si>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</si>
  <si>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</si>
  <si>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</si>
  <si>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</si>
  <si>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</si>
  <si>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</si>
  <si>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</si>
  <si>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</si>
  <si>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</si>
  <si>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</si>
  <si>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</si>
  <si>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</si>
  <si>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</si>
  <si>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</si>
  <si>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</si>
  <si>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</si>
  <si>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</si>
  <si>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</si>
  <si>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</si>
  <si>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</si>
  <si>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</si>
  <si>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</si>
  <si>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</si>
  <si>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</si>
  <si>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</si>
  <si>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</si>
  <si>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</si>
  <si>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</si>
  <si>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</si>
  <si>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</si>
  <si>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</si>
  <si>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</si>
  <si>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</si>
  <si>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</si>
  <si>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</si>
  <si>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</si>
  <si>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</si>
  <si>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</si>
  <si>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</si>
  <si>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</si>
  <si>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</si>
  <si>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</si>
  <si>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</si>
  <si>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</si>
  <si>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</si>
  <si>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</si>
  <si>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</si>
  <si>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</si>
  <si>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</si>
  <si>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</si>
  <si>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</si>
  <si>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</si>
  <si>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</si>
  <si>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</si>
  <si>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Fund 1</t>
  </si>
  <si>
    <t>Fund 4</t>
  </si>
  <si>
    <t>Fund 3</t>
  </si>
  <si>
    <t>Fund 7</t>
  </si>
  <si>
    <t>The credit hour difference is due to FY2023-24 enrollment projections based on prior year actuals.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</si>
</sst>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4" fontId="161" fillId="32" borderId="311" xfId="0" applyNumberFormat="1" applyFont="1" applyFill="1" applyBorder="1" applyProtection="1">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Broward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67602712</v>
      </c>
      <c r="C10" s="456">
        <v>3266585</v>
      </c>
      <c r="D10" s="456">
        <v>78468</v>
      </c>
      <c r="E10" s="371">
        <f>SUM(B10:D10)</f>
        <v>70947765</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109694</v>
      </c>
      <c r="C12" s="446">
        <v>40323</v>
      </c>
      <c r="D12" s="446">
        <v>0</v>
      </c>
      <c r="E12" s="372">
        <f>SUM(B12:D12)</f>
        <v>150017</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14620630</v>
      </c>
      <c r="C14" s="458">
        <v>6175627</v>
      </c>
      <c r="D14" s="458">
        <v>121443</v>
      </c>
      <c r="E14" s="372">
        <f t="shared" ref="E14:E20" si="0">SUM(B14:D14)</f>
        <v>20917700</v>
      </c>
      <c r="F14" s="354"/>
    </row>
    <row r="15" spans="1:8" s="17" customFormat="1" ht="20.100000000000001" customHeight="1">
      <c r="A15" s="370" t="s">
        <v>592</v>
      </c>
      <c r="B15" s="457">
        <v>808810</v>
      </c>
      <c r="C15" s="446">
        <v>182988</v>
      </c>
      <c r="D15" s="446">
        <v>0</v>
      </c>
      <c r="E15" s="372">
        <f>SUM(B15:D15)</f>
        <v>991798</v>
      </c>
      <c r="F15" s="354"/>
    </row>
    <row r="16" spans="1:8" s="17" customFormat="1" ht="20.100000000000001" customHeight="1">
      <c r="A16" s="370" t="s">
        <v>593</v>
      </c>
      <c r="B16" s="457">
        <v>17806376</v>
      </c>
      <c r="C16" s="446">
        <v>856976</v>
      </c>
      <c r="D16" s="446">
        <v>74443</v>
      </c>
      <c r="E16" s="372">
        <f t="shared" si="0"/>
        <v>18737795</v>
      </c>
      <c r="F16" s="354"/>
    </row>
    <row r="17" spans="1:6" s="17" customFormat="1" ht="20.100000000000001" customHeight="1">
      <c r="A17" s="370" t="s">
        <v>594</v>
      </c>
      <c r="B17" s="457">
        <v>32937586</v>
      </c>
      <c r="C17" s="446">
        <v>35953241</v>
      </c>
      <c r="D17" s="446">
        <v>72005</v>
      </c>
      <c r="E17" s="372">
        <f t="shared" si="0"/>
        <v>68962832</v>
      </c>
      <c r="F17" s="354"/>
    </row>
    <row r="18" spans="1:6" s="17" customFormat="1" ht="20.100000000000001" customHeight="1">
      <c r="A18" s="370" t="s">
        <v>595</v>
      </c>
      <c r="B18" s="457">
        <v>11087693</v>
      </c>
      <c r="C18" s="446">
        <v>19212793</v>
      </c>
      <c r="D18" s="446">
        <v>1761694</v>
      </c>
      <c r="E18" s="372">
        <f t="shared" si="0"/>
        <v>32062180</v>
      </c>
      <c r="F18" s="354"/>
    </row>
    <row r="19" spans="1:6" s="17" customFormat="1" ht="20.100000000000001" customHeight="1">
      <c r="A19" s="370" t="s">
        <v>596</v>
      </c>
      <c r="B19" s="457">
        <v>100000</v>
      </c>
      <c r="C19" s="446">
        <v>1547579</v>
      </c>
      <c r="D19" s="446">
        <v>0</v>
      </c>
      <c r="E19" s="372">
        <f t="shared" si="0"/>
        <v>1647579</v>
      </c>
      <c r="F19" s="354"/>
    </row>
    <row r="20" spans="1:6" s="17" customFormat="1" ht="20.100000000000001" customHeight="1" thickBot="1">
      <c r="A20" s="370" t="s">
        <v>597</v>
      </c>
      <c r="B20" s="457">
        <v>105000</v>
      </c>
      <c r="C20" s="447">
        <v>0</v>
      </c>
      <c r="D20" s="447">
        <v>0</v>
      </c>
      <c r="E20" s="372">
        <f t="shared" si="0"/>
        <v>105000</v>
      </c>
      <c r="F20" s="354"/>
    </row>
    <row r="21" spans="1:6" s="17" customFormat="1" ht="24" customHeight="1" thickBot="1">
      <c r="A21" s="295" t="s">
        <v>50</v>
      </c>
      <c r="B21" s="355">
        <f>SUM(B10:B20)</f>
        <v>145178501</v>
      </c>
      <c r="C21" s="358">
        <f>SUM(C10:C20)</f>
        <v>67236112</v>
      </c>
      <c r="D21" s="358">
        <f>SUM(D10:D20)</f>
        <v>2108053</v>
      </c>
      <c r="E21" s="357">
        <f>SUM(E10:E20)</f>
        <v>214522666</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Broward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7" t="s">
        <v>603</v>
      </c>
      <c r="B8" s="1008"/>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85000</v>
      </c>
      <c r="E12" s="773">
        <v>0</v>
      </c>
      <c r="F12" s="774">
        <f t="shared" si="0"/>
        <v>85000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1406536</v>
      </c>
      <c r="E15" s="773">
        <v>0</v>
      </c>
      <c r="F15" s="774">
        <f t="shared" si="0"/>
        <v>1406536</v>
      </c>
      <c r="I15" s="88"/>
      <c r="J15" s="29"/>
      <c r="K15" s="93"/>
      <c r="L15" s="93"/>
      <c r="M15" s="93"/>
      <c r="N15" s="93"/>
    </row>
    <row r="16" spans="1:224" s="17" customFormat="1" ht="30" customHeight="1">
      <c r="A16" s="770" t="s">
        <v>416</v>
      </c>
      <c r="B16" s="771"/>
      <c r="C16" s="772" t="s">
        <v>417</v>
      </c>
      <c r="D16" s="773">
        <v>416997</v>
      </c>
      <c r="E16" s="773">
        <v>0</v>
      </c>
      <c r="F16" s="774">
        <f t="shared" si="0"/>
        <v>416997</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189948</v>
      </c>
      <c r="E25" s="773">
        <v>0</v>
      </c>
      <c r="F25" s="774">
        <f t="shared" si="0"/>
        <v>189948</v>
      </c>
    </row>
    <row r="26" spans="1:6" s="17" customFormat="1" ht="30" customHeight="1">
      <c r="A26" s="770" t="s">
        <v>435</v>
      </c>
      <c r="B26" s="771"/>
      <c r="C26" s="772" t="s">
        <v>436</v>
      </c>
      <c r="D26" s="773">
        <v>750</v>
      </c>
      <c r="E26" s="773">
        <v>0</v>
      </c>
      <c r="F26" s="774">
        <f t="shared" si="0"/>
        <v>750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303316</v>
      </c>
      <c r="E30" s="773">
        <v>0</v>
      </c>
      <c r="F30" s="774">
        <f t="shared" si="0"/>
        <v>303316</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335677</v>
      </c>
      <c r="E32" s="773">
        <v>0</v>
      </c>
      <c r="F32" s="774">
        <f>+D32+E32</f>
        <v>335677</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483557</v>
      </c>
      <c r="E34" s="773">
        <v>0</v>
      </c>
      <c r="F34" s="774">
        <f t="shared" si="0"/>
        <v>483557</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228</v>
      </c>
      <c r="E40" s="773">
        <v>0</v>
      </c>
      <c r="F40" s="774">
        <f t="shared" si="0"/>
        <v>228</v>
      </c>
    </row>
    <row r="41" spans="1:6" s="17" customFormat="1" ht="30" customHeight="1">
      <c r="A41" s="770" t="s">
        <v>462</v>
      </c>
      <c r="B41" s="771"/>
      <c r="C41" s="772" t="s">
        <v>463</v>
      </c>
      <c r="D41" s="773">
        <v>550056</v>
      </c>
      <c r="E41" s="773">
        <v>0</v>
      </c>
      <c r="F41" s="774">
        <f t="shared" si="0"/>
        <v>550056</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70145</v>
      </c>
      <c r="E45" s="773">
        <v>0</v>
      </c>
      <c r="F45" s="774">
        <f t="shared" si="0"/>
        <v>70145</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258662</v>
      </c>
      <c r="E48" s="773">
        <v>0</v>
      </c>
      <c r="F48" s="774">
        <f t="shared" si="0"/>
        <v>258662</v>
      </c>
    </row>
    <row r="49" spans="1:6" s="17" customFormat="1" ht="30" customHeight="1">
      <c r="A49" s="770" t="s">
        <v>478</v>
      </c>
      <c r="B49" s="771"/>
      <c r="C49" s="772" t="s">
        <v>479</v>
      </c>
      <c r="D49" s="773">
        <v>413666</v>
      </c>
      <c r="E49" s="773">
        <v>0</v>
      </c>
      <c r="F49" s="774">
        <f t="shared" si="0"/>
        <v>413666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1350</v>
      </c>
      <c r="E52" s="773">
        <v>0</v>
      </c>
      <c r="F52" s="774">
        <f t="shared" si="0"/>
        <v>1350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395077</v>
      </c>
      <c r="E54" s="773">
        <v>0</v>
      </c>
      <c r="F54" s="774">
        <f t="shared" si="0"/>
        <v>395077</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4910965</v>
      </c>
      <c r="E57" s="270">
        <f>SUM(E10:E56)</f>
        <v>0</v>
      </c>
      <c r="F57" s="270">
        <f t="shared" si="0"/>
        <v>4910965</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7" t="s">
        <v>603</v>
      </c>
      <c r="B62" s="1008"/>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5709</v>
      </c>
      <c r="E64" s="459">
        <v>0</v>
      </c>
      <c r="F64" s="236">
        <f t="shared" si="0"/>
        <v>5709</v>
      </c>
    </row>
    <row r="65" spans="1:6" s="17" customFormat="1" ht="30" customHeight="1">
      <c r="A65" s="770" t="s">
        <v>497</v>
      </c>
      <c r="B65" s="771"/>
      <c r="C65" s="780" t="s">
        <v>498</v>
      </c>
      <c r="D65" s="773">
        <v>997</v>
      </c>
      <c r="E65" s="773">
        <v>0</v>
      </c>
      <c r="F65" s="774">
        <f t="shared" si="0"/>
        <v>997</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3614</v>
      </c>
      <c r="E67" s="773">
        <v>0</v>
      </c>
      <c r="F67" s="774">
        <f t="shared" si="0"/>
        <v>3614</v>
      </c>
    </row>
    <row r="68" spans="1:6" s="17" customFormat="1" ht="30" customHeight="1">
      <c r="A68" s="770" t="s">
        <v>609</v>
      </c>
      <c r="B68" s="771"/>
      <c r="C68" s="780" t="s">
        <v>504</v>
      </c>
      <c r="D68" s="773">
        <v>1000</v>
      </c>
      <c r="E68" s="773">
        <v>0</v>
      </c>
      <c r="F68" s="774">
        <f t="shared" si="0"/>
        <v>1000</v>
      </c>
    </row>
    <row r="69" spans="1:6" s="17" customFormat="1" ht="30" customHeight="1">
      <c r="A69" s="770" t="s">
        <v>505</v>
      </c>
      <c r="B69" s="771"/>
      <c r="C69" s="780" t="s">
        <v>506</v>
      </c>
      <c r="D69" s="773">
        <v>0</v>
      </c>
      <c r="E69" s="773">
        <v>0</v>
      </c>
      <c r="F69" s="774">
        <f t="shared" si="0"/>
        <v>0</v>
      </c>
    </row>
    <row r="70" spans="1:6" s="17" customFormat="1" ht="30" customHeight="1">
      <c r="A70" s="1039" t="s">
        <v>697</v>
      </c>
      <c r="B70" s="771"/>
      <c r="C70" s="1036">
        <v>63100</v>
      </c>
      <c r="D70" s="1037">
        <v>0</v>
      </c>
      <c r="E70" s="1037">
        <v>0</v>
      </c>
      <c r="F70" s="1038">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16675</v>
      </c>
      <c r="E73" s="773">
        <v>0</v>
      </c>
      <c r="F73" s="774">
        <f t="shared" si="0"/>
        <v>16675</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11348</v>
      </c>
      <c r="E76" s="773">
        <v>0</v>
      </c>
      <c r="F76" s="774">
        <f t="shared" si="1"/>
        <v>11348</v>
      </c>
    </row>
    <row r="77" spans="1:6" s="17" customFormat="1" ht="30" customHeight="1">
      <c r="A77" s="770" t="s">
        <v>518</v>
      </c>
      <c r="B77" s="771"/>
      <c r="C77" s="780" t="s">
        <v>519</v>
      </c>
      <c r="D77" s="773">
        <v>38997</v>
      </c>
      <c r="E77" s="773">
        <v>0</v>
      </c>
      <c r="F77" s="774">
        <f t="shared" si="1"/>
        <v>38997</v>
      </c>
    </row>
    <row r="78" spans="1:6" s="17" customFormat="1" ht="30" customHeight="1">
      <c r="A78" s="770" t="s">
        <v>520</v>
      </c>
      <c r="B78" s="771"/>
      <c r="C78" s="780" t="s">
        <v>521</v>
      </c>
      <c r="D78" s="773">
        <v>500</v>
      </c>
      <c r="E78" s="773">
        <v>0</v>
      </c>
      <c r="F78" s="774">
        <f t="shared" si="1"/>
        <v>500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984</v>
      </c>
      <c r="E80" s="773">
        <v>0</v>
      </c>
      <c r="F80" s="774">
        <f t="shared" si="1"/>
        <v>984</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79824</v>
      </c>
      <c r="E93" s="266">
        <f>SUM(E64:E92)</f>
        <v>0</v>
      </c>
      <c r="F93" s="266">
        <f t="shared" si="1"/>
        <v>79824</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09" t="s">
        <v>163</v>
      </c>
      <c r="B97" s="1010"/>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6" t="s">
        <v>557</v>
      </c>
      <c r="D102" s="1037">
        <v>0</v>
      </c>
      <c r="E102" s="1037">
        <v>0</v>
      </c>
      <c r="F102" s="1038">
        <f t="shared" si="1"/>
        <v>0</v>
      </c>
    </row>
    <row r="103" spans="1:6" s="17" customFormat="1" ht="30" customHeight="1">
      <c r="A103" s="1120" t="s">
        <v>701</v>
      </c>
      <c r="B103" s="1121"/>
      <c r="C103" s="1122">
        <v>73001</v>
      </c>
      <c r="D103" s="1146">
        <v>0</v>
      </c>
      <c r="E103" s="1146">
        <v>0</v>
      </c>
      <c r="F103" s="1077">
        <f t="shared" si="1"/>
        <v>0</v>
      </c>
    </row>
    <row r="104" spans="1:6" s="17" customFormat="1" ht="30" customHeight="1">
      <c r="A104" s="1123" t="s">
        <v>702</v>
      </c>
      <c r="B104" s="1124"/>
      <c r="C104" s="1125">
        <v>73002</v>
      </c>
      <c r="D104" s="1147">
        <v>0</v>
      </c>
      <c r="E104" s="1147">
        <v>0</v>
      </c>
      <c r="F104" s="1078">
        <f t="shared" si="1"/>
        <v>0</v>
      </c>
    </row>
    <row r="105" spans="1:6" s="17" customFormat="1" ht="30" customHeight="1">
      <c r="A105" s="770" t="s">
        <v>555</v>
      </c>
      <c r="B105" s="771"/>
      <c r="C105" s="1074">
        <v>73050</v>
      </c>
      <c r="D105" s="1075">
        <v>0</v>
      </c>
      <c r="E105" s="1075">
        <v>0</v>
      </c>
      <c r="F105" s="1076">
        <f>+D105+E105</f>
        <v>0</v>
      </c>
    </row>
    <row r="106" spans="1:6" s="17" customFormat="1" ht="30" customHeight="1">
      <c r="A106" s="1039" t="s">
        <v>696</v>
      </c>
      <c r="B106" s="771"/>
      <c r="C106" s="1036">
        <v>73100</v>
      </c>
      <c r="D106" s="1037">
        <v>0</v>
      </c>
      <c r="E106" s="1037">
        <v>0</v>
      </c>
      <c r="F106" s="1076">
        <f>+D106+E106</f>
        <v>0</v>
      </c>
    </row>
    <row r="107" spans="1:6" s="17" customFormat="1" ht="47.25" customHeight="1">
      <c r="A107" s="1103" t="s">
        <v>614</v>
      </c>
      <c r="B107" s="1104"/>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4990789</v>
      </c>
      <c r="E113" s="266">
        <f>+E57+E93+E111</f>
        <v>0</v>
      </c>
      <c r="F113" s="266">
        <f>SUM(D113:E113)</f>
        <v>4990789</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7" t="s">
        <v>615</v>
      </c>
      <c r="B116" s="1008"/>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2">
        <f>'EXHIBIT C'!H10</f>
        <v>3120066</v>
      </c>
      <c r="E118" s="773">
        <v>0</v>
      </c>
      <c r="F118" s="774">
        <f t="shared" ref="F118:F128" si="3">+D118+E118</f>
        <v>3120066</v>
      </c>
    </row>
    <row r="119" spans="1:6" s="69" customFormat="1" ht="30" customHeight="1">
      <c r="A119" s="770" t="s">
        <v>618</v>
      </c>
      <c r="B119" s="615"/>
      <c r="C119" s="782"/>
      <c r="D119" s="1102">
        <f>'EXHIBIT C'!F19</f>
        <v>301532</v>
      </c>
      <c r="E119" s="773">
        <v>0</v>
      </c>
      <c r="F119" s="774">
        <f t="shared" si="3"/>
        <v>301532</v>
      </c>
    </row>
    <row r="120" spans="1:6" s="69" customFormat="1" ht="50.25" customHeight="1">
      <c r="A120" s="770" t="s">
        <v>619</v>
      </c>
      <c r="B120" s="615"/>
      <c r="C120" s="782"/>
      <c r="D120" s="773">
        <v>11910</v>
      </c>
      <c r="E120" s="773">
        <v>0</v>
      </c>
      <c r="F120" s="774">
        <f t="shared" si="3"/>
        <v>11910</v>
      </c>
    </row>
    <row r="121" spans="1:6" s="69" customFormat="1" ht="30" customHeight="1">
      <c r="A121" s="770" t="s">
        <v>620</v>
      </c>
      <c r="B121" s="615"/>
      <c r="C121" s="782"/>
      <c r="D121" s="773">
        <v>0</v>
      </c>
      <c r="E121" s="773">
        <v>0</v>
      </c>
      <c r="F121" s="774">
        <f t="shared" si="3"/>
        <v>0</v>
      </c>
    </row>
    <row r="122" spans="1:6" s="69" customFormat="1" ht="30" customHeight="1">
      <c r="A122" s="1011"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1557281</v>
      </c>
      <c r="E125" s="773">
        <v>0</v>
      </c>
      <c r="F125" s="774">
        <f t="shared" si="3"/>
        <v>1557281</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4990789</v>
      </c>
      <c r="E129" s="260">
        <f>SUM(E117:E128)</f>
        <v>0</v>
      </c>
      <c r="F129" s="261">
        <f>SUM(F117:F128)</f>
        <v>4990789</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5"/>
      <c r="B134" s="1106"/>
      <c r="C134" s="1106"/>
      <c r="D134" s="1106"/>
      <c r="E134" s="1106"/>
      <c r="F134" s="1107"/>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5"/>
      <c r="B137" s="1106"/>
      <c r="C137" s="1106"/>
      <c r="D137" s="1106"/>
      <c r="E137" s="1106"/>
      <c r="F137" s="1107"/>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5"/>
      <c r="C4" s="1035"/>
      <c r="D4" s="1035"/>
      <c r="E4" s="1035"/>
      <c r="F4" s="276"/>
      <c r="G4" s="276"/>
    </row>
    <row r="5" spans="2:7" ht="48" customHeight="1">
      <c r="B5" s="911" t="s">
        <v>629</v>
      </c>
      <c r="C5" s="1015" t="s">
        <v>630</v>
      </c>
      <c r="D5" s="1016"/>
      <c r="E5" s="1017"/>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2" t="s">
        <v>630</v>
      </c>
      <c r="D13" s="1013"/>
      <c r="E13" s="1014"/>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8" t="s">
        <v>630</v>
      </c>
      <c r="D23" s="1019"/>
      <c r="E23" s="1020"/>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2" t="s">
        <v>630</v>
      </c>
      <c r="D31" s="1013"/>
      <c r="E31" s="1021"/>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8" t="s">
        <v>630</v>
      </c>
      <c r="D56" s="1019"/>
      <c r="E56" s="1020"/>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2" t="s">
        <v>630</v>
      </c>
      <c r="D63" s="1013"/>
      <c r="E63" s="1021"/>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8" t="s">
        <v>659</v>
      </c>
      <c r="D72" s="1019"/>
      <c r="E72" s="1020"/>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4" t="s">
        <v>664</v>
      </c>
      <c r="B3" s="1022"/>
      <c r="C3" s="1023"/>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8" t="s">
        <v>669</v>
      </c>
      <c r="B7" s="1029"/>
      <c r="C7" s="1030"/>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8" t="s">
        <v>671</v>
      </c>
      <c r="B11" s="1029"/>
      <c r="C11" s="1030"/>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1" t="s">
        <v>675</v>
      </c>
      <c r="B14" s="1032"/>
      <c r="C14" s="1033"/>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8" t="s">
        <v>677</v>
      </c>
      <c r="B17" s="1029"/>
      <c r="C17" s="1030"/>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8" t="s">
        <v>680</v>
      </c>
      <c r="B20" s="1029"/>
      <c r="C20" s="1030"/>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8" t="s">
        <v>681</v>
      </c>
      <c r="B23" s="1029"/>
      <c r="C23" s="1030"/>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8" t="s">
        <v>682</v>
      </c>
      <c r="B26" s="1029"/>
      <c r="C26" s="1030"/>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4" t="s">
        <v>683</v>
      </c>
      <c r="B30" s="1024"/>
      <c r="C30" s="1024"/>
    </row>
    <row r="31" spans="1:3" ht="14.45" customHeight="1">
      <c r="A31" s="1025"/>
      <c r="B31" s="1025"/>
      <c r="C31" s="1025"/>
    </row>
    <row r="32" spans="1:3" ht="31.35" customHeight="1">
      <c r="A32" s="1024" t="s">
        <v>684</v>
      </c>
      <c r="B32" s="1024"/>
      <c r="C32" s="1024"/>
    </row>
    <row r="33" spans="1:3" ht="14.45" customHeight="1">
      <c r="A33" s="1025"/>
      <c r="B33" s="1025"/>
      <c r="C33" s="1025"/>
    </row>
    <row r="34" spans="1:3" ht="30" customHeight="1">
      <c r="A34" s="1024" t="s">
        <v>685</v>
      </c>
      <c r="B34" s="1024"/>
      <c r="C34" s="1024"/>
    </row>
    <row r="35" spans="1:3" ht="14.45" customHeight="1">
      <c r="A35" s="1025"/>
      <c r="B35" s="1025"/>
      <c r="C35" s="1025"/>
    </row>
    <row r="36" spans="1:3" ht="15" customHeight="1">
      <c r="A36" s="1026" t="s">
        <v>686</v>
      </c>
      <c r="B36" s="1025"/>
      <c r="C36" s="1025"/>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22" zoomScale="80" zoomScaleNormal="8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3" t="s">
        <v>14</v>
      </c>
      <c r="B1" s="1043"/>
      <c r="C1" s="1043"/>
      <c r="D1" s="1043"/>
      <c r="E1" s="16"/>
    </row>
    <row r="2" spans="1:10" ht="33.6" customHeight="1" thickBot="1">
      <c r="A2" s="1050" t="s">
        <v>15</v>
      </c>
      <c r="B2" s="1050"/>
      <c r="C2" s="1050"/>
      <c r="D2" s="1050"/>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89" t="s">
        <v>765</v>
      </c>
      <c r="C5" s="1090"/>
      <c r="D5" s="1091"/>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5">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2" t="s">
        <v>51</v>
      </c>
      <c r="B36" s="1092"/>
      <c r="C36" s="1092"/>
      <c r="D36" s="1092"/>
      <c r="E36" s="483"/>
      <c r="K36" s="413"/>
    </row>
    <row r="37" spans="1:12" ht="44.45" customHeight="1">
      <c r="A37" s="1093" t="s">
        <v>707</v>
      </c>
      <c r="B37" s="1093"/>
      <c r="C37" s="1093"/>
      <c r="D37" s="1093"/>
      <c r="E37" s="482"/>
      <c r="K37" s="413"/>
    </row>
    <row r="38" spans="1:12" ht="26.45" customHeight="1">
      <c r="A38" s="1063"/>
      <c r="B38" s="1063"/>
      <c r="C38" s="1063"/>
      <c r="D38" s="1063"/>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4" t="s">
        <v>706</v>
      </c>
      <c r="C44" s="1041"/>
      <c r="D44" s="1041">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0" t="s">
        <v>773</v>
      </c>
      <c r="C47" s="1041"/>
      <c r="D47" s="1041">
        <v>970000</v>
      </c>
      <c r="E47" s="1144"/>
      <c r="G47" s="163" t="s">
        <v>10</v>
      </c>
    </row>
    <row r="48" spans="1:12" ht="62.45" customHeight="1">
      <c r="A48" s="962" t="s">
        <v>30</v>
      </c>
      <c r="B48" s="641" t="s">
        <v>58</v>
      </c>
      <c r="C48" s="639">
        <v>2500000</v>
      </c>
      <c r="D48" s="639"/>
      <c r="E48" s="640">
        <f t="shared" si="1"/>
        <v>2500000</v>
      </c>
    </row>
    <row r="49" spans="1:5" ht="62.45" customHeight="1">
      <c r="A49" s="962" t="s">
        <v>30</v>
      </c>
      <c r="B49" s="1040" t="s">
        <v>770</v>
      </c>
      <c r="C49" s="1041"/>
      <c r="D49" s="1041">
        <v>500000</v>
      </c>
      <c r="E49" s="640">
        <f t="shared" si="1"/>
        <v>500000</v>
      </c>
    </row>
    <row r="50" spans="1:5" ht="62.45" customHeight="1">
      <c r="A50" s="962" t="s">
        <v>31</v>
      </c>
      <c r="B50" s="1040" t="s">
        <v>774</v>
      </c>
      <c r="C50" s="1041"/>
      <c r="D50" s="1041">
        <v>2200000</v>
      </c>
      <c r="E50" s="640">
        <f t="shared" si="1"/>
        <v>2200000</v>
      </c>
    </row>
    <row r="51" spans="1:5" ht="62.45" customHeight="1">
      <c r="A51" s="962" t="s">
        <v>776</v>
      </c>
      <c r="B51" s="1040" t="s">
        <v>777</v>
      </c>
      <c r="C51" s="1041"/>
      <c r="D51" s="1041">
        <v>3850000</v>
      </c>
      <c r="E51" s="1144">
        <f t="shared" si="1"/>
        <v>3850000</v>
      </c>
    </row>
    <row r="52" spans="1:5" ht="62.45" customHeight="1">
      <c r="A52" s="962" t="s">
        <v>37</v>
      </c>
      <c r="B52" s="1040" t="s">
        <v>771</v>
      </c>
      <c r="C52" s="1041"/>
      <c r="D52" s="1041">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0" t="s">
        <v>768</v>
      </c>
      <c r="C55" s="1041"/>
      <c r="D55" s="1041">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8" t="s">
        <v>775</v>
      </c>
      <c r="B61" s="1059"/>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0" t="s">
        <v>761</v>
      </c>
      <c r="C67" s="1061"/>
      <c r="D67" s="1061"/>
      <c r="E67" s="1062"/>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099">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1" t="s">
        <v>780</v>
      </c>
      <c r="B100" s="1051"/>
      <c r="C100" s="1051"/>
      <c r="D100" s="1051"/>
      <c r="E100" s="1051"/>
      <c r="F100" s="1051"/>
      <c r="G100" s="1051"/>
      <c r="H100" s="1051"/>
      <c r="I100" s="1051"/>
      <c r="J100" s="1051"/>
      <c r="K100" s="1051"/>
      <c r="L100" s="1051"/>
      <c r="M100" s="1051"/>
      <c r="N100" s="1051"/>
      <c r="O100" s="1051"/>
      <c r="P100" s="1051"/>
      <c r="Q100" s="1051"/>
      <c r="R100" s="1051"/>
    </row>
    <row r="101" spans="1:50" ht="20.100000000000001" customHeight="1">
      <c r="A101" s="1049" t="s">
        <v>68</v>
      </c>
      <c r="B101" s="1049"/>
      <c r="C101" s="1049"/>
      <c r="D101" s="1049"/>
      <c r="E101" s="1049"/>
      <c r="F101" s="1049"/>
      <c r="G101" s="1049"/>
      <c r="H101" s="1049"/>
      <c r="I101" s="1049"/>
      <c r="J101" s="1049"/>
      <c r="K101" s="1049"/>
      <c r="L101" s="1049"/>
      <c r="M101" s="1049"/>
      <c r="N101" s="1049"/>
      <c r="O101" s="1049"/>
      <c r="P101" s="1049"/>
      <c r="Q101" s="1049"/>
      <c r="R101" s="1049"/>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49" t="s">
        <v>70</v>
      </c>
      <c r="B103" s="1049"/>
      <c r="C103" s="1049"/>
      <c r="D103" s="1049"/>
      <c r="E103" s="1049"/>
      <c r="F103" s="1049"/>
      <c r="G103" s="1049"/>
      <c r="H103" s="1049"/>
      <c r="I103" s="1049"/>
      <c r="J103" s="1049"/>
      <c r="K103" s="1049"/>
      <c r="L103" s="1049"/>
      <c r="M103" s="1049"/>
      <c r="N103" s="1049"/>
      <c r="O103" s="1049"/>
      <c r="P103" s="1049"/>
      <c r="Q103" s="1049"/>
      <c r="R103" s="1049"/>
    </row>
    <row r="104" spans="1:50" ht="20.100000000000001" customHeight="1">
      <c r="A104" s="1049"/>
      <c r="B104" s="1049"/>
      <c r="C104" s="1049"/>
      <c r="D104" s="1049"/>
      <c r="E104" s="1049"/>
      <c r="F104" s="1049"/>
      <c r="G104" s="1049"/>
    </row>
    <row r="105" spans="1:50" ht="32.450000000000003" customHeight="1" thickBot="1">
      <c r="E105" s="476"/>
      <c r="F105" s="476"/>
      <c r="G105" s="476"/>
    </row>
    <row r="106" spans="1:50" ht="43.35" customHeight="1" thickBot="1">
      <c r="A106" s="47" t="s">
        <v>754</v>
      </c>
      <c r="B106" s="1044" t="s">
        <v>759</v>
      </c>
      <c r="C106" s="1045"/>
      <c r="D106" s="1046"/>
      <c r="E106" s="1047" t="s">
        <v>71</v>
      </c>
      <c r="F106" s="1047"/>
      <c r="G106" s="1047"/>
      <c r="H106" s="1047"/>
      <c r="I106" s="1047"/>
      <c r="J106" s="1047"/>
      <c r="K106" s="1047"/>
      <c r="L106" s="1047"/>
      <c r="M106" s="1047"/>
      <c r="N106" s="1047"/>
      <c r="O106" s="1047"/>
      <c r="P106" s="1047"/>
      <c r="Q106" s="1047"/>
      <c r="R106" s="1047"/>
      <c r="S106" s="1048"/>
      <c r="T106" s="19"/>
      <c r="U106" s="19"/>
      <c r="AC106" s="19"/>
      <c r="AK106" s="386"/>
    </row>
    <row r="107" spans="1:50" ht="39" customHeight="1" thickBot="1">
      <c r="A107" s="46">
        <v>1</v>
      </c>
      <c r="B107" s="44">
        <v>2</v>
      </c>
      <c r="C107" s="1047">
        <v>3</v>
      </c>
      <c r="D107" s="1048">
        <v>4</v>
      </c>
      <c r="E107" s="1047">
        <v>5</v>
      </c>
      <c r="F107" s="1047">
        <v>6</v>
      </c>
      <c r="G107" s="1047">
        <v>7</v>
      </c>
      <c r="H107" s="1047">
        <v>8</v>
      </c>
      <c r="I107" s="1047">
        <v>9</v>
      </c>
      <c r="J107" s="1047">
        <v>10</v>
      </c>
      <c r="K107" s="1047">
        <v>11</v>
      </c>
      <c r="L107" s="1047">
        <v>12</v>
      </c>
      <c r="M107" s="1047">
        <v>13</v>
      </c>
      <c r="N107" s="1047">
        <v>14</v>
      </c>
      <c r="O107" s="1047">
        <v>15</v>
      </c>
      <c r="P107" s="1047">
        <v>16</v>
      </c>
      <c r="Q107" s="1047">
        <v>17</v>
      </c>
      <c r="R107" s="1047">
        <v>18</v>
      </c>
      <c r="S107" s="1048">
        <v>19</v>
      </c>
      <c r="T107" s="1085" t="s">
        <v>50</v>
      </c>
      <c r="U107" s="28"/>
      <c r="V107" s="44">
        <v>20</v>
      </c>
      <c r="W107" s="1047">
        <v>21</v>
      </c>
      <c r="X107" s="1047">
        <v>22</v>
      </c>
      <c r="Y107" s="58"/>
      <c r="Z107" s="1047">
        <v>23</v>
      </c>
      <c r="AA107" s="1047">
        <v>24</v>
      </c>
      <c r="AB107" s="1048">
        <v>25</v>
      </c>
      <c r="AC107" s="31"/>
    </row>
    <row r="108" spans="1:50" ht="29.45" customHeight="1" thickBot="1">
      <c r="A108" s="55" t="s">
        <v>73</v>
      </c>
      <c r="B108" s="1095" t="s">
        <v>74</v>
      </c>
      <c r="C108" s="1096"/>
      <c r="D108" s="1097"/>
      <c r="E108" s="30"/>
      <c r="G108" s="1066"/>
      <c r="H108" s="1066"/>
      <c r="I108" s="1066"/>
      <c r="J108" s="1066" t="s">
        <v>75</v>
      </c>
      <c r="K108" s="1066"/>
      <c r="L108" s="1066"/>
      <c r="M108" s="1066"/>
      <c r="N108" s="1066"/>
      <c r="O108" s="1066"/>
      <c r="P108" s="1066"/>
      <c r="Q108" s="1079" t="s">
        <v>76</v>
      </c>
      <c r="R108" s="1080"/>
      <c r="S108" s="1081"/>
      <c r="T108" s="1086" t="s">
        <v>704</v>
      </c>
      <c r="U108" s="32"/>
      <c r="V108" s="33"/>
      <c r="W108" s="34"/>
      <c r="X108" s="35"/>
      <c r="Y108" s="59"/>
      <c r="Z108" s="1067"/>
      <c r="AA108" s="1068"/>
      <c r="AB108" s="1069"/>
      <c r="AC108" s="19"/>
      <c r="AD108" s="595" t="s">
        <v>756</v>
      </c>
      <c r="AF108" s="29"/>
    </row>
    <row r="109" spans="1:50" ht="66" customHeight="1" thickBot="1">
      <c r="A109" s="36"/>
      <c r="B109" s="44" t="s">
        <v>77</v>
      </c>
      <c r="C109" s="1047"/>
      <c r="D109" s="1048"/>
      <c r="E109" s="44" t="s">
        <v>78</v>
      </c>
      <c r="F109" s="1047"/>
      <c r="G109" s="1048"/>
      <c r="H109" s="44" t="s">
        <v>79</v>
      </c>
      <c r="I109" s="1047"/>
      <c r="J109" s="1048"/>
      <c r="K109" s="1055" t="s">
        <v>80</v>
      </c>
      <c r="L109" s="1055"/>
      <c r="M109" s="1055"/>
      <c r="N109" s="38" t="s">
        <v>81</v>
      </c>
      <c r="O109" s="1056"/>
      <c r="P109" s="39"/>
      <c r="Q109" s="1082" t="s">
        <v>755</v>
      </c>
      <c r="R109" s="1083"/>
      <c r="S109" s="1084"/>
      <c r="T109" s="1143"/>
      <c r="U109" s="21"/>
      <c r="V109" s="1052" t="s">
        <v>84</v>
      </c>
      <c r="W109" s="1053"/>
      <c r="X109" s="1057"/>
      <c r="Y109" s="1087"/>
      <c r="Z109" s="1052" t="s">
        <v>85</v>
      </c>
      <c r="AA109" s="1053"/>
      <c r="AB109" s="1054"/>
      <c r="AD109" s="43" t="s">
        <v>86</v>
      </c>
      <c r="AF109" s="19"/>
      <c r="AI109" s="1088" t="s">
        <v>705</v>
      </c>
      <c r="AJ109" s="1088"/>
      <c r="AK109" s="1088"/>
      <c r="AL109" s="1088"/>
      <c r="AM109" s="1088"/>
      <c r="AN109" s="1088"/>
      <c r="AO109" s="1088"/>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2"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8"/>
      <c r="D111" s="966">
        <f t="shared" ref="D111:D138" si="8">B111+C111</f>
        <v>904</v>
      </c>
      <c r="E111" s="1070">
        <v>4070.6633523229893</v>
      </c>
      <c r="F111" s="467">
        <v>183.61735253529599</v>
      </c>
      <c r="G111" s="396">
        <f t="shared" ref="G111:G138" si="9">E111+F111</f>
        <v>4254.2807048582854</v>
      </c>
      <c r="H111" s="1136">
        <v>1521.3588197412328</v>
      </c>
      <c r="I111" s="1137">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5" t="s">
        <v>92</v>
      </c>
      <c r="AJ111" s="1065"/>
      <c r="AK111" s="1065"/>
      <c r="AL111" s="1065"/>
      <c r="AM111" s="1065"/>
      <c r="AN111" s="1065"/>
      <c r="AO111" s="42">
        <f>X139+AB139</f>
        <v>2673</v>
      </c>
      <c r="AR111" s="28"/>
      <c r="AS111" s="28"/>
      <c r="AT111" s="28"/>
    </row>
    <row r="112" spans="1:50" ht="25.35" customHeight="1">
      <c r="A112" s="648" t="str">
        <f t="shared" si="7"/>
        <v>Broward College</v>
      </c>
      <c r="B112" s="622">
        <v>1113</v>
      </c>
      <c r="C112" s="628"/>
      <c r="D112" s="967">
        <f t="shared" si="8"/>
        <v>1113</v>
      </c>
      <c r="E112" s="1071">
        <v>10769.338335884886</v>
      </c>
      <c r="F112" s="630">
        <v>476.04007571701146</v>
      </c>
      <c r="G112" s="629">
        <f t="shared" si="9"/>
        <v>11245.378411601898</v>
      </c>
      <c r="H112" s="1138">
        <v>5837.5073015000162</v>
      </c>
      <c r="I112" s="1139">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5" t="s">
        <v>93</v>
      </c>
      <c r="AJ112" s="1065"/>
      <c r="AK112" s="1065"/>
      <c r="AL112" s="1065"/>
      <c r="AM112" s="1065"/>
      <c r="AN112" s="1065"/>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1">
        <v>1773.1988276570255</v>
      </c>
      <c r="F113" s="630">
        <v>69.360688002738328</v>
      </c>
      <c r="G113" s="629">
        <f t="shared" si="9"/>
        <v>1842.5595156597637</v>
      </c>
      <c r="H113" s="1138">
        <v>1075.7106295853951</v>
      </c>
      <c r="I113" s="1139">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5" t="s">
        <v>94</v>
      </c>
      <c r="AJ113" s="1065"/>
      <c r="AK113" s="1065"/>
      <c r="AL113" s="1065"/>
      <c r="AM113" s="1065"/>
      <c r="AN113" s="1065"/>
      <c r="AO113" s="582">
        <f>3747-0</f>
        <v>3747</v>
      </c>
    </row>
    <row r="114" spans="1:50" ht="25.35" customHeight="1">
      <c r="A114" s="654" t="str">
        <f t="shared" si="7"/>
        <v>Chipola College</v>
      </c>
      <c r="B114" s="622">
        <v>136</v>
      </c>
      <c r="C114" s="628"/>
      <c r="D114" s="967">
        <f t="shared" si="8"/>
        <v>136</v>
      </c>
      <c r="E114" s="1071">
        <v>587.8461337171268</v>
      </c>
      <c r="F114" s="630">
        <v>54.699463561428765</v>
      </c>
      <c r="G114" s="629">
        <f t="shared" si="9"/>
        <v>642.54559727855553</v>
      </c>
      <c r="H114" s="1138">
        <v>163.33010648596323</v>
      </c>
      <c r="I114" s="1139">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1">
        <v>3924.0806598915729</v>
      </c>
      <c r="F115" s="630">
        <v>213.16398188990146</v>
      </c>
      <c r="G115" s="629">
        <f t="shared" si="9"/>
        <v>4137.2446417814745</v>
      </c>
      <c r="H115" s="1138">
        <v>1904.5630637291142</v>
      </c>
      <c r="I115" s="1139">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1">
        <v>6485.1085390690969</v>
      </c>
      <c r="F116" s="630">
        <v>269.7336943023198</v>
      </c>
      <c r="G116" s="629">
        <f t="shared" si="9"/>
        <v>6754.842233371417</v>
      </c>
      <c r="H116" s="1138">
        <v>343.97809523809525</v>
      </c>
      <c r="I116" s="1139">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1">
        <v>6555.559169235682</v>
      </c>
      <c r="F117" s="630">
        <v>202.5386703349341</v>
      </c>
      <c r="G117" s="629">
        <f t="shared" si="9"/>
        <v>6758.0978395706161</v>
      </c>
      <c r="H117" s="1138">
        <v>2928.0981193785769</v>
      </c>
      <c r="I117" s="1139">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1">
        <v>293.38483796296299</v>
      </c>
      <c r="F118" s="630">
        <v>34.806423611111107</v>
      </c>
      <c r="G118" s="629">
        <f t="shared" si="9"/>
        <v>328.19126157407408</v>
      </c>
      <c r="H118" s="1138">
        <v>235.06822880771881</v>
      </c>
      <c r="I118" s="1139">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4" t="s">
        <v>95</v>
      </c>
      <c r="AJ118" s="1064"/>
      <c r="AK118" s="1064"/>
      <c r="AL118" s="1064"/>
      <c r="AM118" s="1064"/>
      <c r="AN118" s="1064"/>
      <c r="AO118" s="387">
        <f>AO116-AO117</f>
        <v>235968.55882579324</v>
      </c>
    </row>
    <row r="119" spans="1:50" ht="25.35" customHeight="1">
      <c r="A119" s="654" t="str">
        <f t="shared" si="7"/>
        <v>Gulf Coast State College</v>
      </c>
      <c r="B119" s="622">
        <v>127</v>
      </c>
      <c r="C119" s="628"/>
      <c r="D119" s="967">
        <f t="shared" si="8"/>
        <v>127</v>
      </c>
      <c r="E119" s="1071">
        <v>1745.6002404290734</v>
      </c>
      <c r="F119" s="630">
        <v>111.88246717218421</v>
      </c>
      <c r="G119" s="629">
        <f t="shared" si="9"/>
        <v>1857.4827076012577</v>
      </c>
      <c r="H119" s="1138">
        <v>495.82181885534357</v>
      </c>
      <c r="I119" s="1139">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1">
        <v>8757.1743018345696</v>
      </c>
      <c r="F120" s="630">
        <v>471.96092225258161</v>
      </c>
      <c r="G120" s="629">
        <f t="shared" si="9"/>
        <v>9229.1352240871511</v>
      </c>
      <c r="H120" s="1138">
        <v>4447.9587874659401</v>
      </c>
      <c r="I120" s="1139">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4" t="s">
        <v>758</v>
      </c>
      <c r="AJ120" s="1064"/>
      <c r="AK120" s="1064"/>
      <c r="AL120" s="1064"/>
      <c r="AM120" s="1064"/>
      <c r="AN120" s="1064"/>
      <c r="AO120" s="388">
        <f>AO114+AO118</f>
        <v>270875</v>
      </c>
    </row>
    <row r="121" spans="1:50" ht="25.35" customHeight="1">
      <c r="A121" s="654" t="str">
        <f t="shared" si="7"/>
        <v>Indian River State College</v>
      </c>
      <c r="B121" s="622">
        <v>1235</v>
      </c>
      <c r="C121" s="628"/>
      <c r="D121" s="967">
        <f t="shared" si="8"/>
        <v>1235</v>
      </c>
      <c r="E121" s="1071">
        <v>4028.0139814206623</v>
      </c>
      <c r="F121" s="630">
        <v>123.77273153795626</v>
      </c>
      <c r="G121" s="629">
        <f t="shared" si="9"/>
        <v>4151.7867129586184</v>
      </c>
      <c r="H121" s="1138">
        <v>2080.5948006613999</v>
      </c>
      <c r="I121" s="1139">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1">
        <v>869.6032516379521</v>
      </c>
      <c r="F122" s="630">
        <v>11.258917738413007</v>
      </c>
      <c r="G122" s="629">
        <f t="shared" si="9"/>
        <v>880.86216937636516</v>
      </c>
      <c r="H122" s="1138">
        <v>341.11536358665938</v>
      </c>
      <c r="I122" s="1139">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1">
        <v>1702.4992125275617</v>
      </c>
      <c r="F123" s="630">
        <v>28.217612383566571</v>
      </c>
      <c r="G123" s="629">
        <f t="shared" si="9"/>
        <v>1730.7168249111282</v>
      </c>
      <c r="H123" s="1138">
        <v>416.33072677092918</v>
      </c>
      <c r="I123" s="1139">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1">
        <v>3989.8404151589352</v>
      </c>
      <c r="F124" s="630">
        <v>193.31379601742105</v>
      </c>
      <c r="G124" s="629">
        <f t="shared" si="9"/>
        <v>4183.1542111763565</v>
      </c>
      <c r="H124" s="1138">
        <v>591.90598713508166</v>
      </c>
      <c r="I124" s="1139">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1">
        <v>26855.966376270149</v>
      </c>
      <c r="F125" s="630">
        <v>1540.737158408348</v>
      </c>
      <c r="G125" s="629">
        <f t="shared" si="9"/>
        <v>28396.703534678498</v>
      </c>
      <c r="H125" s="1138">
        <v>4037.4676471311577</v>
      </c>
      <c r="I125" s="1139">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1">
        <v>376.02913836253123</v>
      </c>
      <c r="F126" s="630">
        <v>10.557382910260992</v>
      </c>
      <c r="G126" s="629">
        <f t="shared" si="9"/>
        <v>386.5865212727922</v>
      </c>
      <c r="H126" s="1138">
        <v>93.426336375488916</v>
      </c>
      <c r="I126" s="1139">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1">
        <v>1415.6479275376587</v>
      </c>
      <c r="F127" s="630">
        <v>129.07905877719799</v>
      </c>
      <c r="G127" s="629">
        <f t="shared" si="9"/>
        <v>1544.7269863148567</v>
      </c>
      <c r="H127" s="1138">
        <v>488.70819672131142</v>
      </c>
      <c r="I127" s="1139">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1">
        <v>11128.474256581856</v>
      </c>
      <c r="F128" s="630">
        <v>610.18313971841644</v>
      </c>
      <c r="G128" s="629">
        <f t="shared" si="9"/>
        <v>11738.657396300272</v>
      </c>
      <c r="H128" s="1138">
        <v>1319.1051714119699</v>
      </c>
      <c r="I128" s="1139">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1">
        <v>2691.449841723394</v>
      </c>
      <c r="F129" s="630">
        <v>34.112810600330562</v>
      </c>
      <c r="G129" s="629">
        <f t="shared" si="9"/>
        <v>2725.5626523237247</v>
      </c>
      <c r="H129" s="1138">
        <v>1506.2325516314995</v>
      </c>
      <c r="I129" s="1139">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1">
        <v>2849.9901207464322</v>
      </c>
      <c r="F130" s="630">
        <v>69.04610318331504</v>
      </c>
      <c r="G130" s="629">
        <f t="shared" si="9"/>
        <v>2919.0362239297474</v>
      </c>
      <c r="H130" s="1138">
        <v>992.05412371134025</v>
      </c>
      <c r="I130" s="1139">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1">
        <v>2847.6763703933107</v>
      </c>
      <c r="F131" s="630">
        <v>109.0284917931248</v>
      </c>
      <c r="G131" s="629">
        <f t="shared" si="9"/>
        <v>2956.7048621864355</v>
      </c>
      <c r="H131" s="1138">
        <v>1152.4091344618334</v>
      </c>
      <c r="I131" s="1139">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1">
        <v>1770.5757854514582</v>
      </c>
      <c r="F132" s="630">
        <v>48.810359467874321</v>
      </c>
      <c r="G132" s="629">
        <f t="shared" si="9"/>
        <v>1819.3861449193325</v>
      </c>
      <c r="H132" s="1138">
        <v>605.7775961780236</v>
      </c>
      <c r="I132" s="1139">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1">
        <v>6213.5692149408414</v>
      </c>
      <c r="F133" s="630">
        <v>325.48750956700667</v>
      </c>
      <c r="G133" s="629">
        <f t="shared" si="9"/>
        <v>6539.0567245078482</v>
      </c>
      <c r="H133" s="1138">
        <v>3688.2180216031838</v>
      </c>
      <c r="I133" s="1139">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1">
        <v>5223.5261437908503</v>
      </c>
      <c r="F134" s="630">
        <v>360.29971988795518</v>
      </c>
      <c r="G134" s="629">
        <f t="shared" si="9"/>
        <v>5583.825863678805</v>
      </c>
      <c r="H134" s="1138">
        <v>1933.6501919618993</v>
      </c>
      <c r="I134" s="1139">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1">
        <v>5013.3920539481114</v>
      </c>
      <c r="F135" s="630">
        <v>132.29706341560643</v>
      </c>
      <c r="G135" s="629">
        <f t="shared" si="9"/>
        <v>5145.6891173637177</v>
      </c>
      <c r="H135" s="1138">
        <v>2390.8582342651098</v>
      </c>
      <c r="I135" s="1139">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1">
        <v>1179.2592592592591</v>
      </c>
      <c r="F136" s="630">
        <v>13.544973544973546</v>
      </c>
      <c r="G136" s="629">
        <f t="shared" si="9"/>
        <v>1192.8042328042327</v>
      </c>
      <c r="H136" s="1138">
        <v>0.8125</v>
      </c>
      <c r="I136" s="1139">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1">
        <v>6354.0720162617363</v>
      </c>
      <c r="F137" s="630">
        <v>309.3433632479223</v>
      </c>
      <c r="G137" s="629">
        <f t="shared" si="9"/>
        <v>6663.415379509659</v>
      </c>
      <c r="H137" s="1138">
        <v>1305.0127118644068</v>
      </c>
      <c r="I137" s="1139">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2">
        <v>16383.00091191689</v>
      </c>
      <c r="F138" s="603">
        <v>1334.1537360882294</v>
      </c>
      <c r="G138" s="572">
        <f t="shared" si="9"/>
        <v>17717.154648005118</v>
      </c>
      <c r="H138" s="1140">
        <v>7151.3431840866961</v>
      </c>
      <c r="I138" s="1141">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3" t="s">
        <v>753</v>
      </c>
      <c r="B147" s="1050"/>
      <c r="C147" s="1132"/>
      <c r="D147" s="1132"/>
    </row>
    <row r="148" spans="1:4" ht="21.75" thickBot="1">
      <c r="A148" s="62"/>
      <c r="B148" s="63" t="s">
        <v>766</v>
      </c>
    </row>
    <row r="149" spans="1:4" ht="21.75" thickBot="1">
      <c r="A149" s="62">
        <v>1</v>
      </c>
      <c r="B149" s="52">
        <v>2</v>
      </c>
    </row>
    <row r="150" spans="1:4" ht="57" customHeight="1" thickBot="1">
      <c r="A150" s="38" t="s">
        <v>156</v>
      </c>
      <c r="B150" s="1128" t="s">
        <v>765</v>
      </c>
    </row>
    <row r="151" spans="1:4" ht="63.75" thickBot="1">
      <c r="A151" s="292" t="s">
        <v>17</v>
      </c>
      <c r="B151" s="23" t="s">
        <v>156</v>
      </c>
    </row>
    <row r="152" spans="1:4">
      <c r="A152" s="410" t="s">
        <v>21</v>
      </c>
      <c r="B152" s="1129">
        <v>1004407</v>
      </c>
    </row>
    <row r="153" spans="1:4">
      <c r="A153" s="390" t="s">
        <v>22</v>
      </c>
      <c r="B153" s="1130">
        <v>2716373</v>
      </c>
    </row>
    <row r="154" spans="1:4">
      <c r="A154" s="390" t="s">
        <v>23</v>
      </c>
      <c r="B154" s="1130">
        <v>609302</v>
      </c>
    </row>
    <row r="155" spans="1:4">
      <c r="A155" s="390" t="s">
        <v>24</v>
      </c>
      <c r="B155" s="1130">
        <v>206774</v>
      </c>
    </row>
    <row r="156" spans="1:4">
      <c r="A156" s="390" t="s">
        <v>25</v>
      </c>
      <c r="B156" s="1130">
        <v>757867</v>
      </c>
    </row>
    <row r="157" spans="1:4">
      <c r="A157" s="390" t="s">
        <v>26</v>
      </c>
      <c r="B157" s="1130">
        <v>858371</v>
      </c>
    </row>
    <row r="158" spans="1:4">
      <c r="A158" s="390" t="s">
        <v>27</v>
      </c>
      <c r="B158" s="1130">
        <v>1828775</v>
      </c>
    </row>
    <row r="159" spans="1:4">
      <c r="A159" s="390" t="s">
        <v>28</v>
      </c>
      <c r="B159" s="1130">
        <v>62550</v>
      </c>
    </row>
    <row r="160" spans="1:4">
      <c r="A160" s="390" t="s">
        <v>29</v>
      </c>
      <c r="B160" s="1130">
        <v>302379</v>
      </c>
    </row>
    <row r="161" spans="1:2">
      <c r="A161" s="390" t="s">
        <v>30</v>
      </c>
      <c r="B161" s="1130">
        <v>1281953</v>
      </c>
    </row>
    <row r="162" spans="1:2">
      <c r="A162" s="390" t="s">
        <v>31</v>
      </c>
      <c r="B162" s="1130">
        <v>859530</v>
      </c>
    </row>
    <row r="163" spans="1:2">
      <c r="A163" s="390" t="s">
        <v>32</v>
      </c>
      <c r="B163" s="1130">
        <v>239130</v>
      </c>
    </row>
    <row r="164" spans="1:2">
      <c r="A164" s="390" t="s">
        <v>33</v>
      </c>
      <c r="B164" s="1130">
        <v>338782</v>
      </c>
    </row>
    <row r="165" spans="1:2">
      <c r="A165" s="390" t="s">
        <v>34</v>
      </c>
      <c r="B165" s="1130">
        <v>590443</v>
      </c>
    </row>
    <row r="166" spans="1:2">
      <c r="A166" s="390" t="s">
        <v>35</v>
      </c>
      <c r="B166" s="1130">
        <v>4236132</v>
      </c>
    </row>
    <row r="167" spans="1:2">
      <c r="A167" s="390" t="s">
        <v>36</v>
      </c>
      <c r="B167" s="1130">
        <v>101236</v>
      </c>
    </row>
    <row r="168" spans="1:2">
      <c r="A168" s="390" t="s">
        <v>37</v>
      </c>
      <c r="B168" s="1130">
        <v>255008</v>
      </c>
    </row>
    <row r="169" spans="1:2">
      <c r="A169" s="390" t="s">
        <v>38</v>
      </c>
      <c r="B169" s="1130">
        <v>1524062</v>
      </c>
    </row>
    <row r="170" spans="1:2">
      <c r="A170" s="390" t="s">
        <v>39</v>
      </c>
      <c r="B170" s="1130">
        <v>685955</v>
      </c>
    </row>
    <row r="171" spans="1:2">
      <c r="A171" s="390" t="s">
        <v>40</v>
      </c>
      <c r="B171" s="1130">
        <v>469614</v>
      </c>
    </row>
    <row r="172" spans="1:2">
      <c r="A172" s="390" t="s">
        <v>41</v>
      </c>
      <c r="B172" s="1130">
        <v>524793</v>
      </c>
    </row>
    <row r="173" spans="1:2">
      <c r="A173" s="390" t="s">
        <v>42</v>
      </c>
      <c r="B173" s="1130">
        <v>320730</v>
      </c>
    </row>
    <row r="174" spans="1:2">
      <c r="A174" s="390" t="s">
        <v>43</v>
      </c>
      <c r="B174" s="1130">
        <v>1764500</v>
      </c>
    </row>
    <row r="175" spans="1:2">
      <c r="A175" s="390" t="s">
        <v>44</v>
      </c>
      <c r="B175" s="1130">
        <v>1130815</v>
      </c>
    </row>
    <row r="176" spans="1:2">
      <c r="A176" s="390" t="s">
        <v>45</v>
      </c>
      <c r="B176" s="1130">
        <v>1743287</v>
      </c>
    </row>
    <row r="177" spans="1:2">
      <c r="A177" s="390" t="s">
        <v>46</v>
      </c>
      <c r="B177" s="1130">
        <v>204592</v>
      </c>
    </row>
    <row r="178" spans="1:2">
      <c r="A178" s="390" t="s">
        <v>48</v>
      </c>
      <c r="B178" s="1130">
        <v>657964</v>
      </c>
    </row>
    <row r="179" spans="1:2" ht="21.75" thickBot="1">
      <c r="A179" s="391" t="s">
        <v>49</v>
      </c>
      <c r="B179" s="1131">
        <v>4724676</v>
      </c>
    </row>
    <row r="180" spans="1:2" ht="24" thickBot="1">
      <c r="A180" s="392" t="s">
        <v>50</v>
      </c>
      <c r="B180" s="433">
        <f>SUM(B152:B179)</f>
        <v>30000000</v>
      </c>
    </row>
    <row r="182" spans="1:2" ht="36.75" thickBot="1">
      <c r="A182" s="1133" t="s">
        <v>753</v>
      </c>
      <c r="B182" s="1050"/>
    </row>
    <row r="183" spans="1:2" ht="21.75" thickBot="1">
      <c r="A183" s="62"/>
      <c r="B183" s="63" t="s">
        <v>766</v>
      </c>
    </row>
    <row r="184" spans="1:2" ht="21.75" thickBot="1">
      <c r="A184" s="62">
        <v>1</v>
      </c>
      <c r="B184" s="52">
        <v>2</v>
      </c>
    </row>
    <row r="185" spans="1:2" ht="54" thickBot="1">
      <c r="A185" s="1134" t="s">
        <v>708</v>
      </c>
      <c r="B185" s="1128" t="s">
        <v>765</v>
      </c>
    </row>
    <row r="186" spans="1:2" ht="42.75" thickBot="1">
      <c r="A186" s="292" t="s">
        <v>17</v>
      </c>
      <c r="B186" s="23" t="s">
        <v>708</v>
      </c>
    </row>
    <row r="187" spans="1:2">
      <c r="A187" s="410" t="s">
        <v>21</v>
      </c>
      <c r="B187" s="1135">
        <v>1361076</v>
      </c>
    </row>
    <row r="188" spans="1:2">
      <c r="A188" s="390" t="s">
        <v>22</v>
      </c>
      <c r="B188" s="1130">
        <v>1664598</v>
      </c>
    </row>
    <row r="189" spans="1:2">
      <c r="A189" s="390" t="s">
        <v>23</v>
      </c>
      <c r="B189" s="1130">
        <v>814514</v>
      </c>
    </row>
    <row r="190" spans="1:2">
      <c r="A190" s="390" t="s">
        <v>24</v>
      </c>
      <c r="B190" s="1130">
        <v>494178</v>
      </c>
    </row>
    <row r="191" spans="1:2">
      <c r="A191" s="390" t="s">
        <v>25</v>
      </c>
      <c r="B191" s="1130">
        <v>2454251</v>
      </c>
    </row>
    <row r="192" spans="1:2">
      <c r="A192" s="390" t="s">
        <v>26</v>
      </c>
      <c r="B192" s="1130">
        <v>1601835</v>
      </c>
    </row>
    <row r="193" spans="1:2">
      <c r="A193" s="390" t="s">
        <v>27</v>
      </c>
      <c r="B193" s="1130">
        <v>2154031</v>
      </c>
    </row>
    <row r="194" spans="1:2">
      <c r="A194" s="390" t="s">
        <v>28</v>
      </c>
      <c r="B194" s="1130">
        <v>748137</v>
      </c>
    </row>
    <row r="195" spans="1:2">
      <c r="A195" s="390" t="s">
        <v>29</v>
      </c>
      <c r="B195" s="1130">
        <v>1777524</v>
      </c>
    </row>
    <row r="196" spans="1:2">
      <c r="A196" s="390" t="s">
        <v>30</v>
      </c>
      <c r="B196" s="1130">
        <v>714831</v>
      </c>
    </row>
    <row r="197" spans="1:2">
      <c r="A197" s="390" t="s">
        <v>31</v>
      </c>
      <c r="B197" s="1130">
        <v>1713555</v>
      </c>
    </row>
    <row r="198" spans="1:2">
      <c r="A198" s="390" t="s">
        <v>32</v>
      </c>
      <c r="B198" s="1130">
        <v>1501485</v>
      </c>
    </row>
    <row r="199" spans="1:2">
      <c r="A199" s="390" t="s">
        <v>33</v>
      </c>
      <c r="B199" s="1130">
        <v>764607</v>
      </c>
    </row>
    <row r="200" spans="1:2">
      <c r="A200" s="390" t="s">
        <v>34</v>
      </c>
      <c r="B200" s="1130">
        <v>1862607</v>
      </c>
    </row>
    <row r="201" spans="1:2">
      <c r="A201" s="390" t="s">
        <v>35</v>
      </c>
      <c r="B201" s="1130">
        <v>2299040</v>
      </c>
    </row>
    <row r="202" spans="1:2">
      <c r="A202" s="390" t="s">
        <v>36</v>
      </c>
      <c r="B202" s="1130">
        <v>1610425</v>
      </c>
    </row>
    <row r="203" spans="1:2">
      <c r="A203" s="390" t="s">
        <v>37</v>
      </c>
      <c r="B203" s="1130">
        <v>666964</v>
      </c>
    </row>
    <row r="204" spans="1:2">
      <c r="A204" s="390" t="s">
        <v>38</v>
      </c>
      <c r="B204" s="1130">
        <v>1576533</v>
      </c>
    </row>
    <row r="205" spans="1:2">
      <c r="A205" s="390" t="s">
        <v>39</v>
      </c>
      <c r="B205" s="1130">
        <v>1722262</v>
      </c>
    </row>
    <row r="206" spans="1:2">
      <c r="A206" s="390" t="s">
        <v>40</v>
      </c>
      <c r="B206" s="1130">
        <v>1053760</v>
      </c>
    </row>
    <row r="207" spans="1:2">
      <c r="A207" s="390" t="s">
        <v>41</v>
      </c>
      <c r="B207" s="1130">
        <v>1348353</v>
      </c>
    </row>
    <row r="208" spans="1:2">
      <c r="A208" s="390" t="s">
        <v>42</v>
      </c>
      <c r="B208" s="1130">
        <v>959639</v>
      </c>
    </row>
    <row r="209" spans="1:2">
      <c r="A209" s="390" t="s">
        <v>43</v>
      </c>
      <c r="B209" s="1130">
        <v>2073253</v>
      </c>
    </row>
    <row r="210" spans="1:2">
      <c r="A210" s="390" t="s">
        <v>44</v>
      </c>
      <c r="B210" s="1130">
        <v>1446897</v>
      </c>
    </row>
    <row r="211" spans="1:2">
      <c r="A211" s="390" t="s">
        <v>45</v>
      </c>
      <c r="B211" s="1130">
        <v>1538643</v>
      </c>
    </row>
    <row r="212" spans="1:2">
      <c r="A212" s="390" t="s">
        <v>46</v>
      </c>
      <c r="B212" s="1130">
        <v>1471106</v>
      </c>
    </row>
    <row r="213" spans="1:2">
      <c r="A213" s="390" t="s">
        <v>48</v>
      </c>
      <c r="B213" s="1130">
        <v>924068</v>
      </c>
    </row>
    <row r="214" spans="1:2" ht="21.75" thickBot="1">
      <c r="A214" s="391" t="s">
        <v>49</v>
      </c>
      <c r="B214" s="1131">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22</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0.26228913578493618</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33390</v>
      </c>
      <c r="E44" s="114">
        <f>+'EXHIBIT C'!F10</f>
        <v>33991.350000000006</v>
      </c>
      <c r="F44" s="115">
        <f t="shared" ref="F44:F50" si="0">IF(D44=0,"0",(E44/D44-1))</f>
        <v>1.8009883198562671E-2</v>
      </c>
      <c r="G44" s="116" t="str">
        <f t="shared" ref="G44:G50" si="1">IF(OR(F44&gt;3%, F44&lt;-3%),"YES","NO")</f>
        <v>NO</v>
      </c>
      <c r="H44" s="88"/>
    </row>
    <row r="45" spans="1:8" ht="20.100000000000001" customHeight="1">
      <c r="C45" s="117" t="s">
        <v>132</v>
      </c>
      <c r="D45" s="664">
        <f>VLOOKUP($D$7,VLOOKUP!$A$111:$S$139,5)*30+D60</f>
        <v>337361.35234805691</v>
      </c>
      <c r="E45" s="118">
        <f>+'EXHIBIT C'!F11</f>
        <v>349996.49</v>
      </c>
      <c r="F45" s="665">
        <f t="shared" si="0"/>
        <v>3.7452830811833371E-2</v>
      </c>
      <c r="G45" s="666" t="str">
        <f t="shared" si="1"/>
        <v>YES</v>
      </c>
      <c r="H45" s="88"/>
    </row>
    <row r="46" spans="1:8" ht="20.100000000000001" customHeight="1">
      <c r="C46" s="667" t="s">
        <v>133</v>
      </c>
      <c r="D46" s="668">
        <f>VLOOKUP($D$7,VLOOKUP!$A$111:$S$139,8)*30</f>
        <v>175125.2190450005</v>
      </c>
      <c r="E46" s="669">
        <f>+'EXHIBIT C'!F12</f>
        <v>182630.77</v>
      </c>
      <c r="F46" s="665">
        <f t="shared" si="0"/>
        <v>4.2858195957892642E-2</v>
      </c>
      <c r="G46" s="666" t="str">
        <f t="shared" si="1"/>
        <v>YES</v>
      </c>
      <c r="H46" s="88"/>
    </row>
    <row r="47" spans="1:8" ht="20.100000000000001" customHeight="1">
      <c r="C47" s="667" t="s">
        <v>82</v>
      </c>
      <c r="D47" s="668">
        <f>VLOOKUP($D$7,VLOOKUP!$A$111:$S$139,17)*30</f>
        <v>5175.2305065452474</v>
      </c>
      <c r="E47" s="669">
        <f>+'EXHIBIT C'!F13</f>
        <v>5207.4799999999996</v>
      </c>
      <c r="F47" s="665">
        <f t="shared" si="0"/>
        <v>6.2315086089335114E-3</v>
      </c>
      <c r="G47" s="666" t="str">
        <f t="shared" si="1"/>
        <v>NO</v>
      </c>
      <c r="H47" s="88"/>
    </row>
    <row r="48" spans="1:8" ht="20.100000000000001" customHeight="1">
      <c r="C48" s="667" t="s">
        <v>134</v>
      </c>
      <c r="D48" s="668">
        <f>VLOOKUP($D$7,VLOOKUP!$A$111:$S$139,11)*30</f>
        <v>16391.418451135083</v>
      </c>
      <c r="E48" s="669">
        <f>+'EXHIBIT C'!F14</f>
        <v>18108.689999999999</v>
      </c>
      <c r="F48" s="665">
        <f t="shared" si="0"/>
        <v>0.10476650047000646</v>
      </c>
      <c r="G48" s="666" t="str">
        <f t="shared" si="1"/>
        <v>YES</v>
      </c>
      <c r="H48" s="88"/>
    </row>
    <row r="49" spans="3:8" ht="20.100000000000001" customHeight="1" thickBot="1">
      <c r="C49" s="670" t="s">
        <v>135</v>
      </c>
      <c r="D49" s="671">
        <f>VLOOKUP($D$7,VLOOKUP!$A$111:$S$139,14)*30</f>
        <v>330</v>
      </c>
      <c r="E49" s="672">
        <f>+'EXHIBIT C'!F15</f>
        <v>316.18</v>
      </c>
      <c r="F49" s="673">
        <f t="shared" si="0"/>
        <v>-4.1878787878787849E-2</v>
      </c>
      <c r="G49" s="674" t="str">
        <f t="shared" si="1"/>
        <v>YES</v>
      </c>
      <c r="H49" s="88"/>
    </row>
    <row r="50" spans="3:8" ht="20.100000000000001" customHeight="1" thickBot="1">
      <c r="C50" s="119" t="s">
        <v>50</v>
      </c>
      <c r="D50" s="120">
        <f>SUM(D44:D49)</f>
        <v>567773.2203507378</v>
      </c>
      <c r="E50" s="121">
        <f>+'EXHIBIT C'!F17</f>
        <v>590250.96</v>
      </c>
      <c r="F50" s="122">
        <f t="shared" si="0"/>
        <v>3.958929171646508E-2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8" t="s">
        <v>785</v>
      </c>
      <c r="D53" s="1109"/>
      <c r="E53" s="1109"/>
      <c r="F53" s="1109"/>
      <c r="G53" s="1110"/>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783.77</v>
      </c>
      <c r="F59" s="676" t="str">
        <f t="shared" ref="F59:F65" si="2">IF(D59=0,"0",(E59/D59-1))</f>
        <v>0</v>
      </c>
      <c r="G59" s="677" t="str">
        <f>IF(OR(F59&gt;5%, F59&lt;-5%),"YES","NO")</f>
        <v>NO</v>
      </c>
    </row>
    <row r="60" spans="3:8" ht="20.100000000000001" customHeight="1">
      <c r="C60" s="117" t="s">
        <v>132</v>
      </c>
      <c r="D60" s="675">
        <f>VLOOKUP($D$7,VLOOKUP!$A$111:$S$139,6)*30</f>
        <v>14281.202271510343</v>
      </c>
      <c r="E60" s="131">
        <f>+'EXHIBIT C'!D20</f>
        <v>16248.28</v>
      </c>
      <c r="F60" s="676">
        <f t="shared" si="2"/>
        <v>0.13773894459948877</v>
      </c>
      <c r="G60" s="677" t="str">
        <f t="shared" ref="G60:G65" si="3">IF(OR(F60&gt;5%, F60&lt;-5%),"YES","NO")</f>
        <v>YES</v>
      </c>
      <c r="H60" s="88"/>
    </row>
    <row r="61" spans="3:8" ht="20.100000000000001" customHeight="1">
      <c r="C61" s="667" t="s">
        <v>133</v>
      </c>
      <c r="D61" s="678">
        <f>VLOOKUP($D$7,VLOOKUP!$A$111:$S$139,9)*30</f>
        <v>8462.9057831546143</v>
      </c>
      <c r="E61" s="679">
        <f>+'EXHIBIT C'!D21</f>
        <v>8646.0300000000007</v>
      </c>
      <c r="F61" s="676">
        <f t="shared" si="2"/>
        <v>2.1638456286479535E-2</v>
      </c>
      <c r="G61" s="677" t="str">
        <f t="shared" si="3"/>
        <v>NO</v>
      </c>
      <c r="H61" s="88"/>
    </row>
    <row r="62" spans="3:8" ht="20.100000000000001" customHeight="1">
      <c r="C62" s="667" t="s">
        <v>82</v>
      </c>
      <c r="D62" s="678">
        <f>VLOOKUP($D$7,VLOOKUP!$A$111:$S$139,18)*30</f>
        <v>14.769493454752419</v>
      </c>
      <c r="E62" s="679">
        <f>+'EXHIBIT C'!D22</f>
        <v>25.52</v>
      </c>
      <c r="F62" s="676">
        <f t="shared" si="2"/>
        <v>0.72788593448940264</v>
      </c>
      <c r="G62" s="677" t="str">
        <f t="shared" si="3"/>
        <v>YES</v>
      </c>
      <c r="H62" s="88"/>
    </row>
    <row r="63" spans="3:8" ht="20.100000000000001" customHeight="1">
      <c r="C63" s="667" t="s">
        <v>134</v>
      </c>
      <c r="D63" s="678">
        <f>VLOOKUP($D$7,VLOOKUP!$A$111:$S$139,12)*30</f>
        <v>2058.5815488649173</v>
      </c>
      <c r="E63" s="679">
        <f>+'EXHIBIT C'!D23</f>
        <v>2272.1799999999998</v>
      </c>
      <c r="F63" s="676">
        <f t="shared" si="2"/>
        <v>0.10376001439090854</v>
      </c>
      <c r="G63" s="677" t="str">
        <f t="shared" si="3"/>
        <v>YES</v>
      </c>
      <c r="H63" s="88"/>
    </row>
    <row r="64" spans="3:8" ht="20.100000000000001" customHeight="1" thickBot="1">
      <c r="C64" s="670" t="s">
        <v>135</v>
      </c>
      <c r="D64" s="680">
        <f>VLOOKUP($D$7,VLOOKUP!$A$111:$S$139,15)*30</f>
        <v>0</v>
      </c>
      <c r="E64" s="681">
        <f>+'EXHIBIT C'!D24</f>
        <v>12.85</v>
      </c>
      <c r="F64" s="682" t="str">
        <f t="shared" si="2"/>
        <v>0</v>
      </c>
      <c r="G64" s="683" t="str">
        <f t="shared" si="3"/>
        <v>NO</v>
      </c>
      <c r="H64" s="88"/>
    </row>
    <row r="65" spans="1:8" ht="20.100000000000001" customHeight="1" thickBot="1">
      <c r="C65" s="119" t="s">
        <v>50</v>
      </c>
      <c r="D65" s="132">
        <f>SUM(D59:D64)</f>
        <v>24817.459096984625</v>
      </c>
      <c r="E65" s="133">
        <f>SUM(E59:E64)</f>
        <v>27988.63</v>
      </c>
      <c r="F65" s="134">
        <f t="shared" si="2"/>
        <v>0.12777983800125137</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1" t="s">
        <v>785</v>
      </c>
      <c r="D68" s="1112"/>
      <c r="E68" s="1112"/>
      <c r="F68" s="1112"/>
      <c r="G68" s="1113"/>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89136073</v>
      </c>
      <c r="E84" s="1150">
        <f>+'EXHIBIT D'!G75</f>
        <v>89136073</v>
      </c>
      <c r="F84" s="1150">
        <f>D84-E84</f>
        <v>0</v>
      </c>
      <c r="G84" s="88"/>
      <c r="H84" s="88"/>
    </row>
    <row r="85" spans="1:8" ht="20.100000000000001" customHeight="1">
      <c r="A85" s="98"/>
      <c r="B85" s="98"/>
      <c r="C85" s="688" t="s">
        <v>156</v>
      </c>
      <c r="D85" s="687">
        <f>VLOOKUP($D$7,VLOOKUP!$A$152:$B$180,2)</f>
        <v>2716373</v>
      </c>
      <c r="E85" s="1150">
        <f>'EXHIBIT D'!G77</f>
        <v>2716373</v>
      </c>
      <c r="F85" s="1150">
        <f>D85-E85</f>
        <v>0</v>
      </c>
      <c r="G85" s="88"/>
      <c r="H85" s="88"/>
    </row>
    <row r="86" spans="1:8" ht="20.100000000000001" customHeight="1">
      <c r="A86" s="98"/>
      <c r="B86" s="98"/>
      <c r="C86" s="688" t="s">
        <v>157</v>
      </c>
      <c r="D86" s="687">
        <f>VLOOKUP($D$7,VLOOKUP!$A$7:$E$35,3)</f>
        <v>20525830</v>
      </c>
      <c r="E86" s="1150">
        <f>'EXHIBIT D'!G81</f>
        <v>20525830</v>
      </c>
      <c r="F86" s="1150">
        <f>D86-E86</f>
        <v>0</v>
      </c>
      <c r="G86" s="88"/>
      <c r="H86" s="88"/>
    </row>
    <row r="87" spans="1:8" ht="20.100000000000001" customHeight="1" thickBot="1">
      <c r="A87" s="97"/>
      <c r="B87" s="97"/>
      <c r="C87" s="143" t="s">
        <v>708</v>
      </c>
      <c r="D87" s="687">
        <f>VLOOKUP($D$7,VLOOKUP!$A$187:$B$215,2)</f>
        <v>1664598</v>
      </c>
      <c r="E87" s="1151">
        <f>'EXHIBIT D'!G76</f>
        <v>1664598</v>
      </c>
      <c r="F87" s="1150">
        <f>D87-E87</f>
        <v>0</v>
      </c>
      <c r="G87" s="88"/>
      <c r="H87" s="88"/>
    </row>
    <row r="88" spans="1:8" ht="20.100000000000001" customHeight="1" thickBot="1">
      <c r="A88" s="97"/>
      <c r="B88" s="97"/>
      <c r="C88" s="144" t="s">
        <v>158</v>
      </c>
      <c r="D88" s="145">
        <f>SUM(D84:D87)</f>
        <v>114042874</v>
      </c>
      <c r="E88" s="145">
        <f>SUM(E84:E87)</f>
        <v>114042874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81096812</v>
      </c>
      <c r="D101" s="836" t="s">
        <v>721</v>
      </c>
      <c r="E101" s="836"/>
      <c r="F101" s="836"/>
      <c r="G101" s="88"/>
      <c r="H101" s="88"/>
    </row>
    <row r="102" spans="1:8" ht="20.100000000000001" customHeight="1">
      <c r="A102" s="95"/>
      <c r="B102" s="95"/>
      <c r="C102" s="691">
        <f>'EXHIBIT D'!G266-'EXHIBIT D'!G252-'EXHIBIT D'!G264</f>
        <v>81096812</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106356183</v>
      </c>
      <c r="D108" s="17" t="s">
        <v>723</v>
      </c>
    </row>
    <row r="109" spans="1:8" ht="26.25" customHeight="1">
      <c r="A109" s="151"/>
      <c r="B109" s="151"/>
      <c r="C109" s="693">
        <f>'EXHIBIT A'!E36</f>
        <v>107166183</v>
      </c>
      <c r="D109" s="17" t="s">
        <v>724</v>
      </c>
    </row>
    <row r="110" spans="1:8" ht="26.1" customHeight="1">
      <c r="A110" s="151"/>
      <c r="B110" s="151"/>
      <c r="C110" s="694">
        <f>C108-C109</f>
        <v>-810000</v>
      </c>
      <c r="D110" s="89" t="s">
        <v>166</v>
      </c>
      <c r="E110" s="89"/>
      <c r="F110" s="89"/>
      <c r="G110" s="89"/>
    </row>
    <row r="111" spans="1:8" ht="20.100000000000001" customHeight="1">
      <c r="A111" s="151"/>
      <c r="B111" s="151"/>
      <c r="C111" s="154"/>
    </row>
    <row r="112" spans="1:8" ht="26.1" customHeight="1">
      <c r="A112" s="151"/>
      <c r="B112" s="151"/>
      <c r="C112" s="692">
        <f>'EXHIBIT D'!G186</f>
        <v>810000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91.789999514582377</v>
      </c>
      <c r="D119" s="17" t="s">
        <v>87</v>
      </c>
    </row>
    <row r="120" spans="1:8" ht="20.100000000000001" customHeight="1">
      <c r="C120" s="158"/>
    </row>
    <row r="121" spans="1:8" ht="20.100000000000001" customHeight="1">
      <c r="C121" s="159">
        <f>IF('EXHIBIT G'!D119=0,"No Credit Hours or Not Applicable",('EXHIBIT G'!D119/'EXHIBIT C'!D19))</f>
        <v>384.72000714495323</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4"/>
      <c r="D138" s="1115"/>
      <c r="E138" s="1115"/>
      <c r="F138" s="1115"/>
      <c r="G138" s="1116"/>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aI41xEmyRE+HxB/FVw5s5HVampRLKrsIsloZt8EF7bZYz48MfrzMTRMm8JVRKz1egHswdmVznkyQMiuRB7j+RQ==" saltValue="2JO/mip5vGLqFPsjwDXKg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Broward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7696245</v>
      </c>
    </row>
    <row r="14" spans="2:7" ht="25.35" customHeight="1">
      <c r="B14" s="17" t="s">
        <v>180</v>
      </c>
      <c r="D14" s="28"/>
      <c r="E14" s="585">
        <v>106356183</v>
      </c>
    </row>
    <row r="15" spans="2:7" ht="25.35" customHeight="1">
      <c r="B15" s="28"/>
      <c r="D15" s="28"/>
      <c r="E15" s="164"/>
    </row>
    <row r="16" spans="2:7" ht="25.35" customHeight="1">
      <c r="B16" s="17" t="s">
        <v>735</v>
      </c>
      <c r="C16" s="28"/>
      <c r="D16" s="28"/>
      <c r="E16" s="586">
        <f>+E14+E13</f>
        <v>114052428</v>
      </c>
    </row>
    <row r="17" spans="2:7" ht="25.35" customHeight="1">
      <c r="B17" s="28"/>
      <c r="C17" s="28"/>
      <c r="D17" s="28"/>
      <c r="E17" s="165"/>
    </row>
    <row r="18" spans="2:7" ht="25.35" customHeight="1">
      <c r="B18" s="17" t="s">
        <v>181</v>
      </c>
      <c r="C18" s="28"/>
      <c r="D18" s="28"/>
      <c r="E18" s="175">
        <f>+'EXHIBIT D'!G142-SUM(+'EXHIBIT D'!G132+'EXHIBIT D'!G133)</f>
        <v>193067212</v>
      </c>
      <c r="G18" s="138"/>
    </row>
    <row r="19" spans="2:7" ht="25.35" customHeight="1">
      <c r="B19" s="17" t="s">
        <v>182</v>
      </c>
      <c r="D19" s="28"/>
      <c r="E19" s="586">
        <f>+'EXHIBIT D'!G132+'EXHIBIT D'!G133</f>
        <v>2068965</v>
      </c>
    </row>
    <row r="20" spans="2:7" ht="25.35" customHeight="1">
      <c r="B20" s="28"/>
      <c r="D20" s="28"/>
      <c r="E20" s="170"/>
    </row>
    <row r="21" spans="2:7" ht="25.35" customHeight="1">
      <c r="B21" s="17" t="s">
        <v>183</v>
      </c>
      <c r="C21" s="28"/>
      <c r="D21" s="28"/>
      <c r="E21" s="587">
        <f>+E19+E18</f>
        <v>195136177</v>
      </c>
    </row>
    <row r="22" spans="2:7" ht="25.35" customHeight="1">
      <c r="B22" s="28"/>
      <c r="C22" s="28"/>
      <c r="D22" s="28"/>
      <c r="E22" s="170"/>
    </row>
    <row r="23" spans="2:7" ht="25.35" customHeight="1">
      <c r="B23" s="28" t="s">
        <v>184</v>
      </c>
      <c r="C23" s="28"/>
      <c r="D23" s="28"/>
      <c r="E23" s="587">
        <f>+E21+E16</f>
        <v>309188605</v>
      </c>
    </row>
    <row r="24" spans="2:7" ht="25.35" customHeight="1">
      <c r="B24" s="28"/>
      <c r="C24" s="28"/>
      <c r="D24" s="28"/>
      <c r="E24" s="170"/>
    </row>
    <row r="25" spans="2:7" ht="25.35" customHeight="1">
      <c r="B25" s="17" t="s">
        <v>185</v>
      </c>
      <c r="C25" s="28"/>
      <c r="D25" s="28"/>
      <c r="E25" s="176">
        <f>'EXHIBIT D'!G248-SUM(+'EXHIBIT D'!G222+'EXHIBIT D'!G223)</f>
        <v>205522666</v>
      </c>
    </row>
    <row r="26" spans="2:7" ht="25.35" customHeight="1">
      <c r="B26" s="17" t="s">
        <v>186</v>
      </c>
      <c r="D26" s="28"/>
      <c r="E26" s="586">
        <f>'EXHIBIT D'!G222+'EXHIBIT D'!G223</f>
        <v>9000000</v>
      </c>
    </row>
    <row r="27" spans="2:7" ht="25.35" customHeight="1">
      <c r="B27" s="28"/>
      <c r="D27" s="28"/>
      <c r="E27" s="170"/>
    </row>
    <row r="28" spans="2:7" ht="25.35" customHeight="1">
      <c r="B28" s="28" t="s">
        <v>187</v>
      </c>
      <c r="C28" s="28"/>
      <c r="D28" s="28"/>
      <c r="E28" s="588">
        <f>+E26+E25</f>
        <v>214522666</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94665939</v>
      </c>
      <c r="E32" s="166"/>
    </row>
    <row r="33" spans="2:10" ht="25.35" customHeight="1">
      <c r="B33" s="17" t="s">
        <v>189</v>
      </c>
      <c r="C33" s="28"/>
      <c r="D33" s="589">
        <f>+'EXHIBIT D'!G186</f>
        <v>810000</v>
      </c>
      <c r="E33" s="166"/>
    </row>
    <row r="34" spans="2:10" ht="25.35" customHeight="1">
      <c r="B34" s="28"/>
      <c r="D34" s="28"/>
      <c r="E34" s="166"/>
      <c r="J34" s="168"/>
    </row>
    <row r="35" spans="2:10" ht="25.35" customHeight="1">
      <c r="B35" s="17" t="s">
        <v>736</v>
      </c>
      <c r="C35" s="28"/>
      <c r="D35" s="28"/>
      <c r="E35" s="169">
        <f>+D32+D33</f>
        <v>95475939</v>
      </c>
    </row>
    <row r="36" spans="2:10" ht="25.35" customHeight="1">
      <c r="B36" s="17" t="s">
        <v>737</v>
      </c>
      <c r="C36" s="28"/>
      <c r="D36" s="28"/>
      <c r="E36" s="587">
        <f>-'EXHIBIT D'!G264</f>
        <v>107166183</v>
      </c>
      <c r="J36" s="48"/>
    </row>
    <row r="37" spans="2:10" ht="25.35" customHeight="1">
      <c r="D37" s="28"/>
      <c r="E37" s="169"/>
    </row>
    <row r="38" spans="2:10" ht="25.35" customHeight="1">
      <c r="B38" s="28" t="s">
        <v>738</v>
      </c>
      <c r="D38" s="28"/>
      <c r="E38" s="586">
        <f>+E35-E36</f>
        <v>-11690244</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81096812</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0.26228913578493618</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Broward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1148">
        <v>91.79</v>
      </c>
      <c r="C14" s="1148">
        <v>4.59</v>
      </c>
      <c r="D14" s="1148">
        <v>9.18</v>
      </c>
      <c r="E14" s="1148">
        <v>14.74</v>
      </c>
      <c r="F14" s="1148">
        <v>4.59</v>
      </c>
      <c r="G14" s="696">
        <f>SUM(B14:F14)</f>
        <v>124.89</v>
      </c>
      <c r="H14" s="367">
        <f>G14*30</f>
        <v>3746.7</v>
      </c>
    </row>
    <row r="15" spans="1:18" s="17" customFormat="1" ht="20.100000000000001" customHeight="1">
      <c r="A15" s="28" t="s">
        <v>207</v>
      </c>
      <c r="B15" s="983">
        <v>82</v>
      </c>
      <c r="C15" s="983">
        <v>4.0999999999999996</v>
      </c>
      <c r="D15" s="983">
        <v>8.1999999999999993</v>
      </c>
      <c r="E15" s="983">
        <v>13.5</v>
      </c>
      <c r="F15" s="983">
        <v>4.0999999999999996</v>
      </c>
      <c r="G15" s="696">
        <f>SUM(B15:F15)</f>
        <v>111.89999999999999</v>
      </c>
      <c r="H15" s="340">
        <f>G15*30</f>
        <v>3356.9999999999995</v>
      </c>
    </row>
    <row r="16" spans="1:18" s="17" customFormat="1" ht="20.100000000000001" customHeight="1" thickBot="1">
      <c r="A16" s="28" t="s">
        <v>82</v>
      </c>
      <c r="B16" s="984">
        <v>73.400000000000006</v>
      </c>
      <c r="C16" s="984">
        <v>3.65</v>
      </c>
      <c r="D16" s="985"/>
      <c r="E16" s="984">
        <v>3.65</v>
      </c>
      <c r="F16" s="984">
        <v>3.65</v>
      </c>
      <c r="G16" s="341">
        <f>SUM(B16:F16)</f>
        <v>84.350000000000023</v>
      </c>
      <c r="H16" s="697">
        <f>G16*30</f>
        <v>2530.5000000000009</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1148">
        <v>384.72</v>
      </c>
      <c r="D29" s="1148">
        <v>23.83</v>
      </c>
      <c r="E29" s="543">
        <f>D14</f>
        <v>9.18</v>
      </c>
      <c r="F29" s="1148">
        <v>50.1</v>
      </c>
      <c r="G29" s="1148">
        <v>23.83</v>
      </c>
      <c r="H29" s="348">
        <f>SUM(B29:G29)</f>
        <v>583.45000000000005</v>
      </c>
      <c r="I29" s="361">
        <f>H29*30</f>
        <v>17503.5</v>
      </c>
    </row>
    <row r="30" spans="1:11" s="17" customFormat="1" ht="20.100000000000001" customHeight="1">
      <c r="A30" s="28" t="str">
        <f t="shared" si="0"/>
        <v>LOWER LEVEL - CREDIT (A &amp; P, PSV, DEVELOPMENTAL EDUCATION AND EPI)</v>
      </c>
      <c r="B30" s="700">
        <f t="shared" si="0"/>
        <v>82</v>
      </c>
      <c r="C30" s="986">
        <v>226.4</v>
      </c>
      <c r="D30" s="986">
        <v>15.4</v>
      </c>
      <c r="E30" s="701">
        <f>D15</f>
        <v>8.1999999999999993</v>
      </c>
      <c r="F30" s="986">
        <v>19.600000000000001</v>
      </c>
      <c r="G30" s="986">
        <v>15.4</v>
      </c>
      <c r="H30" s="696">
        <f>SUM(B30:G30)</f>
        <v>366.99999999999994</v>
      </c>
      <c r="I30" s="340">
        <f>H30*30</f>
        <v>11009.999999999998</v>
      </c>
    </row>
    <row r="31" spans="1:11" s="17" customFormat="1" ht="20.100000000000001" customHeight="1" thickBot="1">
      <c r="A31" s="28" t="str">
        <f t="shared" si="0"/>
        <v>CAREER CERTIFICATE AND APPLIED TECHNOLOGY DIPLOMA</v>
      </c>
      <c r="B31" s="411">
        <f t="shared" si="0"/>
        <v>73.400000000000006</v>
      </c>
      <c r="C31" s="983">
        <v>209.75</v>
      </c>
      <c r="D31" s="983">
        <v>14.15</v>
      </c>
      <c r="E31" s="322"/>
      <c r="F31" s="983">
        <v>14.15</v>
      </c>
      <c r="G31" s="983">
        <v>14.15</v>
      </c>
      <c r="H31" s="341">
        <f>SUM(B31:G31)</f>
        <v>325.59999999999991</v>
      </c>
      <c r="I31" s="697">
        <f>H31*30</f>
        <v>9767.9999999999964</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P9CiFxdyLhEpK1Lkvx9CLawT3N5cSGk9S6gksrW3T/teP2bCz51dtSckINaLxalwACMPXWTeAMCzIzyXXBTIlA==" saltValue="q/h+LukwFj3vNNvHt9nmd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topLeftCell="B1" zoomScale="70" zoomScaleNormal="70" zoomScaleSheetLayoutView="50" zoomScalePageLayoutView="50" workbookViewId="0">
      <selection activeCell="B1" sqref="B1"/>
    </sheetView>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Broward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34282.230000000003</v>
      </c>
      <c r="E10" s="546">
        <v>290.88</v>
      </c>
      <c r="F10" s="547">
        <f t="shared" ref="F10:F15" si="0">+D10-E10</f>
        <v>33991.350000000006</v>
      </c>
      <c r="G10" s="547">
        <f>'EXHIBIT B'!B14</f>
        <v>91.79</v>
      </c>
      <c r="H10" s="548">
        <f>ROUND(+F10*G10,0)</f>
        <v>3120066</v>
      </c>
    </row>
    <row r="11" spans="1:9" ht="20.100000000000001" customHeight="1">
      <c r="A11" s="707" t="s">
        <v>200</v>
      </c>
      <c r="B11" s="707" t="s">
        <v>132</v>
      </c>
      <c r="C11" s="708" t="s">
        <v>228</v>
      </c>
      <c r="D11" s="706">
        <v>404861.69</v>
      </c>
      <c r="E11" s="706">
        <v>54865.2</v>
      </c>
      <c r="F11" s="709">
        <f t="shared" si="0"/>
        <v>349996.49</v>
      </c>
      <c r="G11" s="709">
        <f>+'EXHIBIT B'!B15</f>
        <v>82</v>
      </c>
      <c r="H11" s="710">
        <f t="shared" ref="H11:H15" si="1">ROUND(+F11*G11,0)</f>
        <v>28699712</v>
      </c>
    </row>
    <row r="12" spans="1:9" ht="20.100000000000001" customHeight="1">
      <c r="A12" s="707" t="s">
        <v>200</v>
      </c>
      <c r="B12" s="707" t="s">
        <v>133</v>
      </c>
      <c r="C12" s="708" t="s">
        <v>229</v>
      </c>
      <c r="D12" s="706">
        <v>195849.4</v>
      </c>
      <c r="E12" s="706">
        <v>13218.63</v>
      </c>
      <c r="F12" s="709">
        <f t="shared" si="0"/>
        <v>182630.77</v>
      </c>
      <c r="G12" s="709">
        <f>+'EXHIBIT B'!B15</f>
        <v>82</v>
      </c>
      <c r="H12" s="710">
        <f t="shared" si="1"/>
        <v>14975723</v>
      </c>
    </row>
    <row r="13" spans="1:9" ht="20.100000000000001" customHeight="1">
      <c r="A13" s="707" t="s">
        <v>200</v>
      </c>
      <c r="B13" s="707" t="s">
        <v>82</v>
      </c>
      <c r="C13" s="708" t="s">
        <v>230</v>
      </c>
      <c r="D13" s="711">
        <v>5207.4799999999996</v>
      </c>
      <c r="E13" s="711">
        <v>0</v>
      </c>
      <c r="F13" s="709">
        <f t="shared" si="0"/>
        <v>5207.4799999999996</v>
      </c>
      <c r="G13" s="709">
        <f>+'EXHIBIT B'!B16</f>
        <v>73.400000000000006</v>
      </c>
      <c r="H13" s="710">
        <f t="shared" si="1"/>
        <v>382229</v>
      </c>
    </row>
    <row r="14" spans="1:9" ht="20.100000000000001" customHeight="1">
      <c r="A14" s="707" t="s">
        <v>200</v>
      </c>
      <c r="B14" s="707" t="s">
        <v>134</v>
      </c>
      <c r="C14" s="708" t="s">
        <v>231</v>
      </c>
      <c r="D14" s="706">
        <v>18331.89</v>
      </c>
      <c r="E14" s="706">
        <v>223.2</v>
      </c>
      <c r="F14" s="709">
        <f t="shared" si="0"/>
        <v>18108.689999999999</v>
      </c>
      <c r="G14" s="709">
        <f>+'EXHIBIT B'!B15</f>
        <v>82</v>
      </c>
      <c r="H14" s="710">
        <f t="shared" si="1"/>
        <v>1484913</v>
      </c>
    </row>
    <row r="15" spans="1:9" ht="20.100000000000001" customHeight="1" thickBot="1">
      <c r="A15" s="712" t="s">
        <v>200</v>
      </c>
      <c r="B15" s="712" t="s">
        <v>135</v>
      </c>
      <c r="C15" s="713">
        <v>40160</v>
      </c>
      <c r="D15" s="714">
        <v>316.18</v>
      </c>
      <c r="E15" s="714">
        <v>0</v>
      </c>
      <c r="F15" s="715">
        <f t="shared" si="0"/>
        <v>316.18</v>
      </c>
      <c r="G15" s="715">
        <f>+'EXHIBIT B'!B15</f>
        <v>82</v>
      </c>
      <c r="H15" s="716">
        <f t="shared" si="1"/>
        <v>25927</v>
      </c>
    </row>
    <row r="16" spans="1:9" ht="24.95" customHeight="1" thickBot="1">
      <c r="A16" s="298"/>
      <c r="B16" s="298"/>
      <c r="C16" s="298"/>
      <c r="D16" s="299"/>
      <c r="E16" s="299"/>
      <c r="F16" s="300"/>
      <c r="G16" s="300"/>
      <c r="H16" s="301"/>
    </row>
    <row r="17" spans="1:9" ht="24.95" customHeight="1" thickBot="1">
      <c r="A17" s="302"/>
      <c r="B17" s="303" t="s">
        <v>232</v>
      </c>
      <c r="C17" s="303"/>
      <c r="D17" s="304">
        <f>SUM(D10:D15)</f>
        <v>658848.87</v>
      </c>
      <c r="E17" s="304">
        <f>SUM(E10:E15)</f>
        <v>68597.909999999989</v>
      </c>
      <c r="F17" s="305">
        <f>SUM(F10:F15)</f>
        <v>590250.96</v>
      </c>
      <c r="G17" s="305"/>
      <c r="H17" s="306">
        <f>SUM(H10:H15)</f>
        <v>48688570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7">
        <v>783.77</v>
      </c>
      <c r="E19" s="718">
        <f>'EXHIBIT B'!C29</f>
        <v>384.72</v>
      </c>
      <c r="F19" s="719">
        <f t="shared" ref="F19:F24" si="2">ROUND(+D19*E19,0)</f>
        <v>301532</v>
      </c>
      <c r="G19" s="308"/>
      <c r="H19" s="308"/>
    </row>
    <row r="20" spans="1:9" ht="20.100000000000001" customHeight="1">
      <c r="A20" s="654" t="s">
        <v>215</v>
      </c>
      <c r="B20" s="654" t="s">
        <v>132</v>
      </c>
      <c r="C20" s="720" t="s">
        <v>235</v>
      </c>
      <c r="D20" s="727">
        <v>16248.28</v>
      </c>
      <c r="E20" s="721">
        <f>+'EXHIBIT B'!C30</f>
        <v>226.4</v>
      </c>
      <c r="F20" s="722">
        <f t="shared" si="2"/>
        <v>3678611</v>
      </c>
      <c r="G20" s="48"/>
      <c r="H20" s="48"/>
    </row>
    <row r="21" spans="1:9" ht="20.100000000000001" customHeight="1">
      <c r="A21" s="654" t="s">
        <v>215</v>
      </c>
      <c r="B21" s="654" t="s">
        <v>133</v>
      </c>
      <c r="C21" s="720" t="s">
        <v>236</v>
      </c>
      <c r="D21" s="727">
        <v>8646.0300000000007</v>
      </c>
      <c r="E21" s="721">
        <f>+'EXHIBIT B'!C30</f>
        <v>226.4</v>
      </c>
      <c r="F21" s="722">
        <f t="shared" si="2"/>
        <v>1957461</v>
      </c>
      <c r="G21" s="48"/>
      <c r="H21" s="48"/>
    </row>
    <row r="22" spans="1:9" ht="20.100000000000001" customHeight="1">
      <c r="A22" s="654" t="s">
        <v>215</v>
      </c>
      <c r="B22" s="654" t="s">
        <v>82</v>
      </c>
      <c r="C22" s="720" t="s">
        <v>237</v>
      </c>
      <c r="D22" s="727">
        <v>25.52</v>
      </c>
      <c r="E22" s="721">
        <f>+'EXHIBIT B'!C31</f>
        <v>209.75</v>
      </c>
      <c r="F22" s="722">
        <f t="shared" si="2"/>
        <v>5353</v>
      </c>
      <c r="G22" s="48"/>
      <c r="H22" s="48"/>
    </row>
    <row r="23" spans="1:9" ht="20.100000000000001" customHeight="1">
      <c r="A23" s="654" t="s">
        <v>215</v>
      </c>
      <c r="B23" s="654" t="s">
        <v>134</v>
      </c>
      <c r="C23" s="720" t="s">
        <v>238</v>
      </c>
      <c r="D23" s="727">
        <v>2272.1799999999998</v>
      </c>
      <c r="E23" s="721">
        <f>+'EXHIBIT B'!C30</f>
        <v>226.4</v>
      </c>
      <c r="F23" s="722">
        <f t="shared" si="2"/>
        <v>514422</v>
      </c>
      <c r="G23" s="48"/>
      <c r="H23" s="48"/>
    </row>
    <row r="24" spans="1:9" ht="20.100000000000001" customHeight="1" thickBot="1">
      <c r="A24" s="606" t="s">
        <v>215</v>
      </c>
      <c r="B24" s="606" t="s">
        <v>135</v>
      </c>
      <c r="C24" s="607">
        <v>40360</v>
      </c>
      <c r="D24" s="988">
        <v>12.85</v>
      </c>
      <c r="E24" s="608">
        <f>+'EXHIBIT B'!C30</f>
        <v>226.4</v>
      </c>
      <c r="F24" s="609">
        <f t="shared" si="2"/>
        <v>2909</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27988.63</v>
      </c>
      <c r="E26" s="725"/>
      <c r="F26" s="726">
        <f>SUM(F19:F24)</f>
        <v>6460288</v>
      </c>
      <c r="G26" s="312"/>
      <c r="H26" s="312"/>
    </row>
    <row r="27" spans="1:9" ht="20.100000000000001" customHeight="1" thickBot="1">
      <c r="A27" s="313" t="s">
        <v>239</v>
      </c>
      <c r="B27" s="313"/>
      <c r="C27" s="313"/>
      <c r="D27" s="313"/>
      <c r="E27" s="313"/>
      <c r="F27" s="314"/>
      <c r="G27" s="549"/>
      <c r="H27" s="315">
        <f>H17+F26</f>
        <v>55148858</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55148858</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6" t="s">
        <v>752</v>
      </c>
      <c r="B50" s="1126"/>
      <c r="C50" s="1127"/>
      <c r="D50" s="1127"/>
      <c r="E50" s="1127"/>
      <c r="F50" s="1127"/>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thickBot="1">
      <c r="A54" s="732" t="s">
        <v>691</v>
      </c>
      <c r="B54" s="989">
        <v>1000000</v>
      </c>
      <c r="C54" s="991"/>
      <c r="D54" s="992" t="s">
        <v>781</v>
      </c>
      <c r="E54" s="991" t="s">
        <v>782</v>
      </c>
      <c r="F54" s="992"/>
    </row>
    <row r="55" spans="1:10" ht="24.95" customHeight="1">
      <c r="A55" s="732" t="s">
        <v>691</v>
      </c>
      <c r="B55" s="727">
        <v>8000000</v>
      </c>
      <c r="C55" s="993"/>
      <c r="D55" s="992" t="s">
        <v>781</v>
      </c>
      <c r="E55" s="991" t="s">
        <v>784</v>
      </c>
      <c r="F55" s="994"/>
      <c r="J55" s="92"/>
    </row>
    <row r="56" spans="1:10" ht="24.95" customHeight="1">
      <c r="A56" s="733"/>
      <c r="B56" s="727">
        <v>0</v>
      </c>
      <c r="C56" s="993"/>
      <c r="D56" s="994"/>
      <c r="E56" s="993"/>
      <c r="F56" s="994"/>
    </row>
    <row r="57" spans="1:10" ht="24.95" customHeight="1">
      <c r="A57" s="733"/>
      <c r="B57" s="727">
        <v>0</v>
      </c>
      <c r="C57" s="993"/>
      <c r="D57" s="994"/>
      <c r="E57" s="993"/>
      <c r="F57" s="994"/>
    </row>
    <row r="58" spans="1:10" ht="24.95" customHeight="1">
      <c r="A58" s="733"/>
      <c r="B58" s="727">
        <v>0</v>
      </c>
      <c r="C58" s="993"/>
      <c r="D58" s="994"/>
      <c r="E58" s="993"/>
      <c r="F58" s="994"/>
    </row>
    <row r="59" spans="1:10" ht="24.95" customHeight="1" thickBot="1">
      <c r="A59" s="610"/>
      <c r="B59" s="611">
        <v>0</v>
      </c>
      <c r="C59" s="995"/>
      <c r="D59" s="996"/>
      <c r="E59" s="997"/>
      <c r="F59" s="998"/>
    </row>
    <row r="60" spans="1:10" ht="24.95" customHeight="1" thickBot="1">
      <c r="A60" s="292" t="s">
        <v>262</v>
      </c>
      <c r="B60" s="293">
        <f>SUM(B54:B59)</f>
        <v>9000000</v>
      </c>
      <c r="C60" s="999"/>
      <c r="D60" s="1000"/>
      <c r="E60" s="999"/>
      <c r="F60" s="1000"/>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0">
        <v>2068965</v>
      </c>
      <c r="C63" s="991"/>
      <c r="D63" s="992" t="s">
        <v>783</v>
      </c>
      <c r="E63" s="991" t="s">
        <v>781</v>
      </c>
      <c r="F63" s="992"/>
    </row>
    <row r="64" spans="1:10" ht="24.95" customHeight="1">
      <c r="A64" s="733"/>
      <c r="B64" s="727"/>
      <c r="C64" s="993"/>
      <c r="D64" s="994"/>
      <c r="E64" s="993"/>
      <c r="F64" s="994"/>
    </row>
    <row r="65" spans="1:6" ht="24.95" customHeight="1">
      <c r="A65" s="733"/>
      <c r="B65" s="727">
        <v>0</v>
      </c>
      <c r="C65" s="993"/>
      <c r="D65" s="994"/>
      <c r="E65" s="993"/>
      <c r="F65" s="994"/>
    </row>
    <row r="66" spans="1:6" ht="24.95" customHeight="1">
      <c r="A66" s="733"/>
      <c r="B66" s="727">
        <v>0</v>
      </c>
      <c r="C66" s="993"/>
      <c r="D66" s="994"/>
      <c r="E66" s="993"/>
      <c r="F66" s="994"/>
    </row>
    <row r="67" spans="1:6" ht="24.95" customHeight="1">
      <c r="A67" s="733"/>
      <c r="B67" s="727">
        <v>0</v>
      </c>
      <c r="C67" s="993"/>
      <c r="D67" s="994"/>
      <c r="E67" s="993"/>
      <c r="F67" s="994"/>
    </row>
    <row r="68" spans="1:6" ht="24.95" customHeight="1" thickBot="1">
      <c r="A68" s="610"/>
      <c r="B68" s="611">
        <v>0</v>
      </c>
      <c r="C68" s="997"/>
      <c r="D68" s="998"/>
      <c r="E68" s="997"/>
      <c r="F68" s="998"/>
    </row>
    <row r="69" spans="1:6" ht="24.95" customHeight="1" thickBot="1">
      <c r="A69" s="292" t="s">
        <v>263</v>
      </c>
      <c r="B69" s="293">
        <f>SUM(B63:B68)</f>
        <v>2068965</v>
      </c>
      <c r="C69" s="1001"/>
      <c r="D69" s="1002"/>
      <c r="E69" s="1001"/>
      <c r="F69" s="1002"/>
    </row>
    <row r="70" spans="1:6" ht="24.95" customHeight="1" thickBot="1">
      <c r="A70" s="292" t="s">
        <v>264</v>
      </c>
      <c r="B70" s="293">
        <f>+B69+B60</f>
        <v>11068965</v>
      </c>
      <c r="C70" s="1001"/>
      <c r="D70" s="1002"/>
      <c r="E70" s="1003"/>
      <c r="F70" s="1004"/>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Broward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5"/>
      <c r="E19" s="1006"/>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2" zoomScaleNormal="72"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Broward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3120066</v>
      </c>
    </row>
    <row r="13" spans="1:8" ht="20.100000000000001" customHeight="1">
      <c r="A13" s="499" t="s">
        <v>200</v>
      </c>
      <c r="B13" s="184"/>
      <c r="C13" s="177" t="s">
        <v>132</v>
      </c>
      <c r="D13" s="184"/>
      <c r="E13" s="184"/>
      <c r="F13" s="189" t="s">
        <v>228</v>
      </c>
      <c r="G13" s="188">
        <f>+'EXHIBIT C'!H11+'EXHIBIT C(2)'!E14</f>
        <v>28699712</v>
      </c>
    </row>
    <row r="14" spans="1:8" ht="20.100000000000001" customHeight="1">
      <c r="A14" s="499" t="s">
        <v>200</v>
      </c>
      <c r="B14" s="184"/>
      <c r="C14" s="184" t="s">
        <v>133</v>
      </c>
      <c r="D14" s="184"/>
      <c r="E14" s="184"/>
      <c r="F14" s="189" t="s">
        <v>229</v>
      </c>
      <c r="G14" s="520">
        <f>+'EXHIBIT C'!H12+'EXHIBIT C(2)'!E15</f>
        <v>14975723</v>
      </c>
    </row>
    <row r="15" spans="1:8" ht="20.100000000000001" customHeight="1">
      <c r="A15" s="499" t="s">
        <v>200</v>
      </c>
      <c r="B15" s="184"/>
      <c r="C15" s="190" t="s">
        <v>281</v>
      </c>
      <c r="D15" s="184"/>
      <c r="E15" s="184"/>
      <c r="F15" s="189" t="s">
        <v>230</v>
      </c>
      <c r="G15" s="520">
        <f>+'EXHIBIT C'!H13+'EXHIBIT C(2)'!E16</f>
        <v>382229</v>
      </c>
    </row>
    <row r="16" spans="1:8" ht="20.100000000000001" customHeight="1">
      <c r="A16" s="499" t="s">
        <v>200</v>
      </c>
      <c r="B16" s="184"/>
      <c r="C16" s="190" t="s">
        <v>282</v>
      </c>
      <c r="D16" s="184"/>
      <c r="E16" s="184"/>
      <c r="F16" s="189" t="s">
        <v>231</v>
      </c>
      <c r="G16" s="521">
        <f>+'EXHIBIT C'!H14+'EXHIBIT C(2)'!E17</f>
        <v>1484913</v>
      </c>
    </row>
    <row r="17" spans="1:7" ht="20.100000000000001" customHeight="1">
      <c r="A17" s="499" t="s">
        <v>200</v>
      </c>
      <c r="B17" s="184"/>
      <c r="C17" s="177" t="s">
        <v>135</v>
      </c>
      <c r="D17" s="184"/>
      <c r="E17" s="184"/>
      <c r="F17" s="187">
        <v>40160</v>
      </c>
      <c r="G17" s="521">
        <f>+'EXHIBIT C'!H15+'EXHIBIT C(2)'!E18</f>
        <v>25927</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48688570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301532</v>
      </c>
    </row>
    <row r="22" spans="1:7" ht="20.100000000000001" customHeight="1">
      <c r="A22" s="499" t="s">
        <v>215</v>
      </c>
      <c r="B22" s="184"/>
      <c r="C22" s="177" t="s">
        <v>132</v>
      </c>
      <c r="D22" s="184"/>
      <c r="E22" s="184"/>
      <c r="F22" s="189" t="s">
        <v>235</v>
      </c>
      <c r="G22" s="193">
        <f>+'EXHIBIT C'!F20+'EXHIBIT C(2)'!E23</f>
        <v>3678611</v>
      </c>
    </row>
    <row r="23" spans="1:7" ht="20.100000000000001" customHeight="1">
      <c r="A23" s="499" t="s">
        <v>215</v>
      </c>
      <c r="B23" s="184"/>
      <c r="C23" s="184" t="s">
        <v>133</v>
      </c>
      <c r="D23" s="184"/>
      <c r="E23" s="184"/>
      <c r="F23" s="189" t="s">
        <v>236</v>
      </c>
      <c r="G23" s="198">
        <f>+'EXHIBIT C'!F21+'EXHIBIT C(2)'!E24</f>
        <v>1957461</v>
      </c>
    </row>
    <row r="24" spans="1:7" ht="20.100000000000001" customHeight="1">
      <c r="A24" s="499" t="s">
        <v>215</v>
      </c>
      <c r="B24" s="184"/>
      <c r="C24" s="190" t="s">
        <v>281</v>
      </c>
      <c r="D24" s="184"/>
      <c r="E24" s="184"/>
      <c r="F24" s="189" t="s">
        <v>237</v>
      </c>
      <c r="G24" s="198">
        <f>+'EXHIBIT C'!F22+'EXHIBIT C(2)'!E25</f>
        <v>5353</v>
      </c>
    </row>
    <row r="25" spans="1:7" ht="20.100000000000001" customHeight="1">
      <c r="A25" s="499" t="s">
        <v>215</v>
      </c>
      <c r="B25" s="184"/>
      <c r="C25" s="190" t="s">
        <v>282</v>
      </c>
      <c r="D25" s="184"/>
      <c r="E25" s="184"/>
      <c r="F25" s="189" t="s">
        <v>238</v>
      </c>
      <c r="G25" s="198">
        <f>+'EXHIBIT C'!F23+'EXHIBIT C(2)'!E26</f>
        <v>514422</v>
      </c>
    </row>
    <row r="26" spans="1:7" ht="20.100000000000001" customHeight="1">
      <c r="A26" s="499" t="s">
        <v>215</v>
      </c>
      <c r="B26" s="184"/>
      <c r="C26" s="177" t="s">
        <v>135</v>
      </c>
      <c r="D26" s="184"/>
      <c r="E26" s="184"/>
      <c r="F26" s="187">
        <v>40360</v>
      </c>
      <c r="G26" s="198">
        <f>+'EXHIBIT C'!F24+'EXHIBIT C(2)'!E27</f>
        <v>2909</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6460288</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55148858</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177032</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1579612</v>
      </c>
    </row>
    <row r="51" spans="1:7" ht="20.100000000000001" customHeight="1">
      <c r="A51" s="499" t="s">
        <v>302</v>
      </c>
      <c r="B51" s="184"/>
      <c r="C51" s="184"/>
      <c r="D51" s="184"/>
      <c r="E51" s="184"/>
      <c r="F51" s="187">
        <v>40450</v>
      </c>
      <c r="G51" s="448">
        <v>2026520</v>
      </c>
    </row>
    <row r="52" spans="1:7" ht="20.100000000000001" customHeight="1">
      <c r="A52" s="499" t="s">
        <v>303</v>
      </c>
      <c r="B52" s="184"/>
      <c r="C52" s="184"/>
      <c r="D52" s="184"/>
      <c r="E52" s="184"/>
      <c r="F52" s="189" t="s">
        <v>304</v>
      </c>
      <c r="G52" s="448">
        <v>535005</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101794</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2800761</v>
      </c>
    </row>
    <row r="59" spans="1:7" ht="20.100000000000001" customHeight="1">
      <c r="A59" s="499" t="s">
        <v>317</v>
      </c>
      <c r="B59" s="184"/>
      <c r="C59" s="184"/>
      <c r="D59" s="184"/>
      <c r="E59" s="184"/>
      <c r="F59" s="189" t="s">
        <v>318</v>
      </c>
      <c r="G59" s="448">
        <v>3192373</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65561955</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3381179</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3381179</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89136073</v>
      </c>
    </row>
    <row r="76" spans="1:7" ht="20.100000000000001" customHeight="1">
      <c r="A76" s="499" t="s">
        <v>709</v>
      </c>
      <c r="B76" s="184"/>
      <c r="C76" s="184"/>
      <c r="D76" s="184"/>
      <c r="E76" s="184"/>
      <c r="F76" s="187">
        <v>42130</v>
      </c>
      <c r="G76" s="523">
        <v>1664598</v>
      </c>
    </row>
    <row r="77" spans="1:7" ht="20.100000000000001" customHeight="1">
      <c r="A77" s="501" t="s">
        <v>335</v>
      </c>
      <c r="B77" s="502"/>
      <c r="C77" s="502"/>
      <c r="D77" s="502"/>
      <c r="E77" s="502"/>
      <c r="F77" s="203" t="s">
        <v>336</v>
      </c>
      <c r="G77" s="524">
        <v>2716373</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1759569</v>
      </c>
    </row>
    <row r="81" spans="1:10" ht="20.100000000000001" customHeight="1">
      <c r="A81" s="499" t="s">
        <v>342</v>
      </c>
      <c r="B81" s="184"/>
      <c r="C81" s="184"/>
      <c r="D81" s="184"/>
      <c r="E81" s="184"/>
      <c r="F81" s="189" t="s">
        <v>343</v>
      </c>
      <c r="G81" s="522">
        <f>'CHECK SHEET'!D86</f>
        <v>20525830</v>
      </c>
    </row>
    <row r="82" spans="1:10" ht="20.100000000000001" customHeight="1">
      <c r="A82" s="503" t="s">
        <v>344</v>
      </c>
      <c r="B82" s="504"/>
      <c r="C82" s="504"/>
      <c r="D82" s="504"/>
      <c r="E82" s="504"/>
      <c r="F82" s="202" t="s">
        <v>345</v>
      </c>
      <c r="G82" s="523">
        <v>1254149</v>
      </c>
    </row>
    <row r="83" spans="1:10" ht="20.100000000000001" customHeight="1">
      <c r="A83" s="499" t="s">
        <v>346</v>
      </c>
      <c r="B83" s="184"/>
      <c r="C83" s="184"/>
      <c r="D83" s="184"/>
      <c r="E83" s="184"/>
      <c r="F83" s="189" t="s">
        <v>347</v>
      </c>
      <c r="G83" s="523">
        <v>96873</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117153465</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7">
        <v>43518</v>
      </c>
      <c r="G90" s="525">
        <v>0</v>
      </c>
      <c r="J90" s="204"/>
    </row>
    <row r="91" spans="1:10" ht="20.100000000000001" customHeight="1">
      <c r="A91" s="499" t="s">
        <v>353</v>
      </c>
      <c r="B91" s="184"/>
      <c r="C91" s="184"/>
      <c r="D91" s="184"/>
      <c r="E91" s="184"/>
      <c r="F91" s="1027">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1071002</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1071002</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232474</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232474</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f>323968+2000000</f>
        <v>2323968</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3628</v>
      </c>
    </row>
    <row r="113" spans="1:7" ht="20.100000000000001" customHeight="1">
      <c r="A113" s="499" t="s">
        <v>375</v>
      </c>
      <c r="B113" s="184"/>
      <c r="C113" s="184"/>
      <c r="D113" s="184"/>
      <c r="E113" s="184"/>
      <c r="F113" s="189" t="s">
        <v>376</v>
      </c>
      <c r="G113" s="1100">
        <v>33710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2361306</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400000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6280</v>
      </c>
    </row>
    <row r="126" spans="1:7" ht="20.100000000000001" customHeight="1">
      <c r="A126" s="499" t="s">
        <v>388</v>
      </c>
      <c r="B126" s="184"/>
      <c r="C126" s="184"/>
      <c r="D126" s="184"/>
      <c r="E126" s="184"/>
      <c r="F126" s="189" t="s">
        <v>389</v>
      </c>
      <c r="G126" s="449">
        <f>2925559-26008</f>
        <v>2899551</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3305831</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7" t="s">
        <v>393</v>
      </c>
      <c r="G132" s="451">
        <v>0</v>
      </c>
    </row>
    <row r="133" spans="1:7" ht="20.100000000000001" customHeight="1">
      <c r="A133" s="499" t="s">
        <v>711</v>
      </c>
      <c r="B133" s="184"/>
      <c r="C133" s="184"/>
      <c r="D133" s="508"/>
      <c r="E133" s="199"/>
      <c r="F133" s="1117">
        <v>49200</v>
      </c>
      <c r="G133" s="449">
        <v>2068965</v>
      </c>
    </row>
    <row r="134" spans="1:7" ht="20.100000000000001" customHeight="1">
      <c r="A134" s="499" t="s">
        <v>394</v>
      </c>
      <c r="B134" s="184"/>
      <c r="C134" s="184"/>
      <c r="D134" s="184"/>
      <c r="E134" s="184"/>
      <c r="F134" s="1073" t="s">
        <v>395</v>
      </c>
      <c r="G134" s="449">
        <v>0</v>
      </c>
    </row>
    <row r="135" spans="1:7" ht="20.100000000000001" customHeight="1">
      <c r="A135" s="499" t="s">
        <v>396</v>
      </c>
      <c r="B135" s="184"/>
      <c r="C135" s="184"/>
      <c r="D135" s="184"/>
      <c r="E135" s="184"/>
      <c r="F135" s="187">
        <v>49520</v>
      </c>
      <c r="G135" s="449">
        <v>0</v>
      </c>
    </row>
    <row r="136" spans="1:7" ht="20.100000000000001" customHeight="1">
      <c r="A136" s="1042"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2068965</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195136177</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2722184</v>
      </c>
    </row>
    <row r="147" spans="1:7" ht="20.100000000000001" customHeight="1">
      <c r="A147" s="499" t="s">
        <v>406</v>
      </c>
      <c r="F147" s="189" t="s">
        <v>407</v>
      </c>
      <c r="G147" s="453">
        <v>2038286</v>
      </c>
    </row>
    <row r="148" spans="1:7" ht="20.100000000000001" customHeight="1">
      <c r="A148" s="499" t="s">
        <v>408</v>
      </c>
      <c r="F148" s="189" t="s">
        <v>409</v>
      </c>
      <c r="G148" s="453">
        <v>8833816</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28249797</v>
      </c>
    </row>
    <row r="152" spans="1:7" ht="20.100000000000001" customHeight="1">
      <c r="A152" s="499" t="s">
        <v>416</v>
      </c>
      <c r="B152" s="184"/>
      <c r="C152" s="184"/>
      <c r="D152" s="184"/>
      <c r="E152" s="184"/>
      <c r="F152" s="189" t="s">
        <v>417</v>
      </c>
      <c r="G152" s="453">
        <v>6029835</v>
      </c>
    </row>
    <row r="153" spans="1:7" ht="20.100000000000001" customHeight="1">
      <c r="A153" s="499" t="s">
        <v>418</v>
      </c>
      <c r="B153" s="184"/>
      <c r="C153" s="184"/>
      <c r="D153" s="184"/>
      <c r="E153" s="184"/>
      <c r="F153" s="189" t="s">
        <v>419</v>
      </c>
      <c r="G153" s="453">
        <v>13033</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19122</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15734225</v>
      </c>
    </row>
    <row r="162" spans="1:7" ht="20.100000000000001" customHeight="1">
      <c r="A162" s="499" t="s">
        <v>435</v>
      </c>
      <c r="B162" s="184"/>
      <c r="C162" s="184"/>
      <c r="D162" s="184"/>
      <c r="E162" s="184"/>
      <c r="F162" s="189" t="s">
        <v>436</v>
      </c>
      <c r="G162" s="453">
        <v>16490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19308865</v>
      </c>
    </row>
    <row r="167" spans="1:7" ht="20.100000000000001" customHeight="1">
      <c r="A167" s="499" t="s">
        <v>445</v>
      </c>
      <c r="B167" s="184"/>
      <c r="C167" s="184"/>
      <c r="D167" s="184"/>
      <c r="E167" s="184"/>
      <c r="F167" s="189" t="s">
        <v>446</v>
      </c>
      <c r="G167" s="453">
        <v>112921</v>
      </c>
    </row>
    <row r="168" spans="1:7" ht="20.100000000000001" customHeight="1">
      <c r="A168" s="499" t="s">
        <v>447</v>
      </c>
      <c r="B168" s="184"/>
      <c r="C168" s="184"/>
      <c r="D168" s="184"/>
      <c r="E168" s="184"/>
      <c r="F168" s="189" t="s">
        <v>448</v>
      </c>
      <c r="G168" s="453">
        <v>3953276</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10684594</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12269</v>
      </c>
    </row>
    <row r="176" spans="1:7" ht="20.100000000000001" customHeight="1">
      <c r="A176" s="507" t="s">
        <v>460</v>
      </c>
      <c r="F176" s="207" t="s">
        <v>461</v>
      </c>
      <c r="G176" s="453">
        <v>58006</v>
      </c>
    </row>
    <row r="177" spans="1:7" ht="20.100000000000001" customHeight="1">
      <c r="A177" s="499" t="s">
        <v>462</v>
      </c>
      <c r="B177" s="184"/>
      <c r="C177" s="184"/>
      <c r="D177" s="184"/>
      <c r="E177" s="184"/>
      <c r="F177" s="189" t="s">
        <v>463</v>
      </c>
      <c r="G177" s="453">
        <v>1039861</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137725</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38172</v>
      </c>
    </row>
    <row r="184" spans="1:7" ht="20.100000000000001" customHeight="1">
      <c r="A184" s="499" t="s">
        <v>476</v>
      </c>
      <c r="B184" s="184"/>
      <c r="C184" s="184"/>
      <c r="D184" s="184"/>
      <c r="E184" s="184"/>
      <c r="F184" s="189" t="s">
        <v>477</v>
      </c>
      <c r="G184" s="453">
        <v>6970077</v>
      </c>
    </row>
    <row r="185" spans="1:7" ht="20.100000000000001" customHeight="1">
      <c r="A185" s="499" t="s">
        <v>478</v>
      </c>
      <c r="B185" s="184"/>
      <c r="C185" s="184"/>
      <c r="D185" s="184"/>
      <c r="E185" s="184"/>
      <c r="F185" s="189" t="s">
        <v>479</v>
      </c>
      <c r="G185" s="453">
        <v>11760864</v>
      </c>
    </row>
    <row r="186" spans="1:7" ht="20.100000000000001" customHeight="1">
      <c r="A186" s="499" t="s">
        <v>480</v>
      </c>
      <c r="B186" s="184"/>
      <c r="C186" s="184"/>
      <c r="D186" s="184"/>
      <c r="E186" s="184"/>
      <c r="F186" s="189" t="s">
        <v>481</v>
      </c>
      <c r="G186" s="453">
        <v>810000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240149</v>
      </c>
    </row>
    <row r="189" spans="1:7" ht="20.100000000000001" customHeight="1">
      <c r="A189" s="499" t="s">
        <v>486</v>
      </c>
      <c r="B189" s="184"/>
      <c r="C189" s="184"/>
      <c r="D189" s="184"/>
      <c r="E189" s="184"/>
      <c r="F189" s="207">
        <v>59600</v>
      </c>
      <c r="G189" s="453">
        <v>500000</v>
      </c>
    </row>
    <row r="190" spans="1:7" ht="20.100000000000001" customHeight="1">
      <c r="A190" s="499" t="s">
        <v>487</v>
      </c>
      <c r="B190" s="184"/>
      <c r="C190" s="184"/>
      <c r="D190" s="184"/>
      <c r="E190" s="184"/>
      <c r="F190" s="189" t="s">
        <v>488</v>
      </c>
      <c r="G190" s="453">
        <v>21400394</v>
      </c>
    </row>
    <row r="191" spans="1:7" ht="20.100000000000001" customHeight="1">
      <c r="A191" s="499" t="s">
        <v>489</v>
      </c>
      <c r="B191" s="184"/>
      <c r="C191" s="184"/>
      <c r="D191" s="184"/>
      <c r="E191" s="184"/>
      <c r="F191" s="189" t="s">
        <v>490</v>
      </c>
      <c r="G191" s="453">
        <v>304617</v>
      </c>
    </row>
    <row r="192" spans="1:7" ht="20.100000000000001" customHeight="1">
      <c r="A192" s="499" t="s">
        <v>491</v>
      </c>
      <c r="B192" s="184"/>
      <c r="C192" s="184"/>
      <c r="D192" s="184"/>
      <c r="E192" s="184"/>
      <c r="F192" s="189" t="s">
        <v>492</v>
      </c>
      <c r="G192" s="453">
        <v>4189923</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145178501</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299937</v>
      </c>
    </row>
    <row r="199" spans="1:7" ht="20.100000000000001" customHeight="1">
      <c r="A199" s="499" t="s">
        <v>497</v>
      </c>
      <c r="B199" s="184"/>
      <c r="C199" s="184"/>
      <c r="D199" s="184"/>
      <c r="E199" s="184"/>
      <c r="F199" s="189" t="s">
        <v>498</v>
      </c>
      <c r="G199" s="453">
        <v>139855</v>
      </c>
    </row>
    <row r="200" spans="1:7" ht="20.100000000000001" customHeight="1">
      <c r="A200" s="499" t="s">
        <v>499</v>
      </c>
      <c r="B200" s="184"/>
      <c r="C200" s="184"/>
      <c r="D200" s="184"/>
      <c r="E200" s="184"/>
      <c r="F200" s="189" t="s">
        <v>500</v>
      </c>
      <c r="G200" s="453">
        <v>569696</v>
      </c>
    </row>
    <row r="201" spans="1:7" ht="20.100000000000001" customHeight="1">
      <c r="A201" s="499" t="s">
        <v>501</v>
      </c>
      <c r="B201" s="184"/>
      <c r="C201" s="184"/>
      <c r="D201" s="184"/>
      <c r="E201" s="184"/>
      <c r="F201" s="189" t="s">
        <v>502</v>
      </c>
      <c r="G201" s="453">
        <v>265845</v>
      </c>
    </row>
    <row r="202" spans="1:7" ht="20.100000000000001" customHeight="1">
      <c r="A202" s="499" t="s">
        <v>503</v>
      </c>
      <c r="B202" s="184"/>
      <c r="C202" s="184"/>
      <c r="D202" s="184"/>
      <c r="E202" s="184"/>
      <c r="F202" s="189" t="s">
        <v>504</v>
      </c>
      <c r="G202" s="453">
        <v>2559522</v>
      </c>
    </row>
    <row r="203" spans="1:7" ht="20.100000000000001" customHeight="1">
      <c r="A203" s="499" t="s">
        <v>505</v>
      </c>
      <c r="B203" s="184"/>
      <c r="C203" s="184"/>
      <c r="D203" s="184"/>
      <c r="E203" s="184"/>
      <c r="F203" s="189" t="s">
        <v>506</v>
      </c>
      <c r="G203" s="453">
        <v>1923098</v>
      </c>
    </row>
    <row r="204" spans="1:7" ht="20.100000000000001" customHeight="1">
      <c r="A204" s="499" t="s">
        <v>697</v>
      </c>
      <c r="B204" s="184"/>
      <c r="C204" s="184"/>
      <c r="D204" s="184"/>
      <c r="E204" s="184"/>
      <c r="F204" s="1027">
        <v>63100</v>
      </c>
      <c r="G204" s="453">
        <v>0</v>
      </c>
    </row>
    <row r="205" spans="1:7" ht="20.100000000000001" customHeight="1">
      <c r="A205" s="499" t="s">
        <v>507</v>
      </c>
      <c r="B205" s="184"/>
      <c r="C205" s="184"/>
      <c r="D205" s="184"/>
      <c r="E205" s="184"/>
      <c r="F205" s="189" t="s">
        <v>508</v>
      </c>
      <c r="G205" s="453">
        <v>3306127</v>
      </c>
    </row>
    <row r="206" spans="1:7" ht="20.100000000000001" customHeight="1">
      <c r="A206" s="499" t="s">
        <v>509</v>
      </c>
      <c r="B206" s="184"/>
      <c r="C206" s="184"/>
      <c r="D206" s="184"/>
      <c r="E206" s="184"/>
      <c r="F206" s="189" t="s">
        <v>510</v>
      </c>
      <c r="G206" s="453">
        <v>4680313</v>
      </c>
    </row>
    <row r="207" spans="1:7" ht="20.100000000000001" customHeight="1">
      <c r="A207" s="499" t="s">
        <v>511</v>
      </c>
      <c r="B207" s="184"/>
      <c r="C207" s="184"/>
      <c r="D207" s="184"/>
      <c r="E207" s="184"/>
      <c r="F207" s="189" t="s">
        <v>512</v>
      </c>
      <c r="G207" s="453">
        <v>28167981</v>
      </c>
    </row>
    <row r="208" spans="1:7" ht="20.100000000000001" customHeight="1">
      <c r="A208" s="499" t="s">
        <v>690</v>
      </c>
      <c r="B208" s="184"/>
      <c r="C208" s="184"/>
      <c r="D208" s="184"/>
      <c r="E208" s="184"/>
      <c r="F208" s="189" t="s">
        <v>513</v>
      </c>
      <c r="G208" s="453"/>
    </row>
    <row r="209" spans="1:9" ht="20.100000000000001" customHeight="1">
      <c r="A209" s="499" t="s">
        <v>514</v>
      </c>
      <c r="B209" s="184"/>
      <c r="C209" s="184"/>
      <c r="D209" s="184"/>
      <c r="E209" s="184"/>
      <c r="F209" s="189" t="s">
        <v>515</v>
      </c>
      <c r="G209" s="453"/>
    </row>
    <row r="210" spans="1:9" ht="20.100000000000001" customHeight="1">
      <c r="A210" s="499" t="s">
        <v>516</v>
      </c>
      <c r="B210" s="184"/>
      <c r="C210" s="184"/>
      <c r="D210" s="184"/>
      <c r="E210" s="184"/>
      <c r="F210" s="189" t="s">
        <v>517</v>
      </c>
      <c r="G210" s="453">
        <v>5920743</v>
      </c>
    </row>
    <row r="211" spans="1:9" ht="20.100000000000001" customHeight="1">
      <c r="A211" s="499" t="s">
        <v>518</v>
      </c>
      <c r="B211" s="184"/>
      <c r="C211" s="184"/>
      <c r="D211" s="184"/>
      <c r="E211" s="184"/>
      <c r="F211" s="189" t="s">
        <v>519</v>
      </c>
      <c r="G211" s="453">
        <f>3348959+621045</f>
        <v>3970004</v>
      </c>
    </row>
    <row r="212" spans="1:9" ht="20.100000000000001" customHeight="1">
      <c r="A212" s="499" t="s">
        <v>520</v>
      </c>
      <c r="F212" s="207" t="s">
        <v>521</v>
      </c>
      <c r="G212" s="453">
        <v>205493</v>
      </c>
    </row>
    <row r="213" spans="1:9" ht="20.100000000000001" customHeight="1">
      <c r="A213" s="499" t="s">
        <v>522</v>
      </c>
      <c r="B213" s="184"/>
      <c r="C213" s="184"/>
      <c r="D213" s="184"/>
      <c r="E213" s="184"/>
      <c r="F213" s="189" t="s">
        <v>523</v>
      </c>
      <c r="G213" s="453">
        <v>553806</v>
      </c>
    </row>
    <row r="214" spans="1:9" ht="20.100000000000001" customHeight="1">
      <c r="A214" s="499" t="s">
        <v>524</v>
      </c>
      <c r="B214" s="184"/>
      <c r="C214" s="184"/>
      <c r="D214" s="184"/>
      <c r="E214" s="184"/>
      <c r="F214" s="189" t="s">
        <v>525</v>
      </c>
      <c r="G214" s="453">
        <v>588363</v>
      </c>
    </row>
    <row r="215" spans="1:9" ht="20.100000000000001" customHeight="1">
      <c r="A215" s="499" t="s">
        <v>526</v>
      </c>
      <c r="B215" s="184"/>
      <c r="C215" s="184"/>
      <c r="D215" s="184"/>
      <c r="E215" s="184"/>
      <c r="F215" s="189" t="s">
        <v>527</v>
      </c>
      <c r="G215" s="453">
        <v>251779</v>
      </c>
    </row>
    <row r="216" spans="1:9" ht="20.100000000000001" customHeight="1">
      <c r="A216" s="499" t="s">
        <v>528</v>
      </c>
      <c r="B216" s="184"/>
      <c r="C216" s="184"/>
      <c r="D216" s="184"/>
      <c r="E216" s="184"/>
      <c r="F216" s="205" t="s">
        <v>529</v>
      </c>
      <c r="G216" s="453"/>
    </row>
    <row r="217" spans="1:9" ht="20.100000000000001" customHeight="1">
      <c r="A217" s="499" t="s">
        <v>530</v>
      </c>
      <c r="B217" s="184"/>
      <c r="C217" s="184"/>
      <c r="D217" s="184"/>
      <c r="E217" s="184"/>
      <c r="F217" s="189" t="s">
        <v>531</v>
      </c>
      <c r="G217" s="453"/>
    </row>
    <row r="218" spans="1:9" ht="20.100000000000001" customHeight="1">
      <c r="A218" s="499" t="s">
        <v>532</v>
      </c>
      <c r="B218" s="184"/>
      <c r="C218" s="184"/>
      <c r="D218" s="184"/>
      <c r="E218" s="184"/>
      <c r="F218" s="189" t="s">
        <v>533</v>
      </c>
      <c r="G218" s="453"/>
    </row>
    <row r="219" spans="1:9" ht="20.100000000000001" customHeight="1">
      <c r="A219" s="499" t="s">
        <v>534</v>
      </c>
      <c r="B219" s="184"/>
      <c r="C219" s="184"/>
      <c r="D219" s="184"/>
      <c r="E219" s="184"/>
      <c r="F219" s="189" t="s">
        <v>535</v>
      </c>
      <c r="G219" s="453">
        <v>1547579</v>
      </c>
    </row>
    <row r="220" spans="1:9" ht="20.100000000000001" customHeight="1">
      <c r="A220" s="499" t="s">
        <v>536</v>
      </c>
      <c r="B220" s="184"/>
      <c r="C220" s="184"/>
      <c r="D220" s="184"/>
      <c r="E220" s="184"/>
      <c r="F220" s="189" t="s">
        <v>537</v>
      </c>
      <c r="G220" s="453"/>
    </row>
    <row r="221" spans="1:9" ht="20.100000000000001" customHeight="1">
      <c r="A221" s="499" t="s">
        <v>538</v>
      </c>
      <c r="B221" s="184"/>
      <c r="C221" s="184"/>
      <c r="D221" s="184"/>
      <c r="E221" s="184"/>
      <c r="F221" s="189" t="s">
        <v>539</v>
      </c>
      <c r="G221" s="453"/>
    </row>
    <row r="222" spans="1:9" ht="20.100000000000001" customHeight="1">
      <c r="A222" s="510" t="s">
        <v>712</v>
      </c>
      <c r="B222" s="184"/>
      <c r="C222" s="184"/>
      <c r="D222" s="213"/>
      <c r="E222" s="184"/>
      <c r="F222" s="1119">
        <v>69100</v>
      </c>
      <c r="G222" s="453"/>
    </row>
    <row r="223" spans="1:9" ht="20.100000000000001" customHeight="1">
      <c r="A223" s="510" t="s">
        <v>713</v>
      </c>
      <c r="B223" s="214"/>
      <c r="C223" s="214"/>
      <c r="D223" s="215"/>
      <c r="E223" s="214"/>
      <c r="F223" s="1118">
        <v>69200</v>
      </c>
      <c r="G223" s="453">
        <v>9000000</v>
      </c>
    </row>
    <row r="224" spans="1:9" ht="20.100000000000001" customHeight="1">
      <c r="A224" s="499" t="s">
        <v>540</v>
      </c>
      <c r="B224" s="184"/>
      <c r="C224" s="184"/>
      <c r="D224" s="184"/>
      <c r="E224" s="184"/>
      <c r="F224" s="189" t="s">
        <v>541</v>
      </c>
      <c r="G224" s="453">
        <v>2287907</v>
      </c>
      <c r="I224" s="216"/>
    </row>
    <row r="225" spans="1:7" ht="20.100000000000001" customHeight="1">
      <c r="A225" s="499" t="s">
        <v>542</v>
      </c>
      <c r="B225" s="184"/>
      <c r="C225" s="184"/>
      <c r="D225" s="184"/>
      <c r="E225" s="184"/>
      <c r="F225" s="189" t="s">
        <v>543</v>
      </c>
      <c r="G225" s="453"/>
    </row>
    <row r="226" spans="1:7" ht="20.100000000000001" customHeight="1">
      <c r="A226" s="499" t="s">
        <v>544</v>
      </c>
      <c r="B226" s="184"/>
      <c r="C226" s="184"/>
      <c r="D226" s="184"/>
      <c r="E226" s="184"/>
      <c r="F226" s="189" t="s">
        <v>545</v>
      </c>
      <c r="G226" s="1101">
        <v>998064</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67236112</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110260</v>
      </c>
    </row>
    <row r="233" spans="1:7" ht="20.100000000000001" customHeight="1">
      <c r="A233" s="499" t="s">
        <v>549</v>
      </c>
      <c r="B233" s="184"/>
      <c r="C233" s="184"/>
      <c r="D233" s="184"/>
      <c r="E233" s="184"/>
      <c r="F233" s="189" t="s">
        <v>550</v>
      </c>
      <c r="G233" s="453">
        <v>288828</v>
      </c>
    </row>
    <row r="234" spans="1:7" ht="20.100000000000001" customHeight="1">
      <c r="A234" s="499" t="s">
        <v>551</v>
      </c>
      <c r="B234" s="184"/>
      <c r="C234" s="184"/>
      <c r="D234" s="184"/>
      <c r="E234" s="184"/>
      <c r="F234" s="189" t="s">
        <v>552</v>
      </c>
      <c r="G234" s="453">
        <v>171852</v>
      </c>
    </row>
    <row r="235" spans="1:7" ht="20.100000000000001" customHeight="1">
      <c r="A235" s="499" t="s">
        <v>553</v>
      </c>
      <c r="B235" s="184"/>
      <c r="C235" s="184"/>
      <c r="D235" s="184"/>
      <c r="E235" s="184"/>
      <c r="F235" s="1073" t="s">
        <v>554</v>
      </c>
      <c r="G235" s="453">
        <v>2148</v>
      </c>
    </row>
    <row r="236" spans="1:7" ht="20.100000000000001" customHeight="1">
      <c r="A236" s="499" t="s">
        <v>701</v>
      </c>
      <c r="B236" s="184"/>
      <c r="C236" s="184"/>
      <c r="D236" s="184"/>
      <c r="E236" s="184"/>
      <c r="F236" s="1073">
        <v>73001</v>
      </c>
      <c r="G236" s="453">
        <v>0</v>
      </c>
    </row>
    <row r="237" spans="1:7" ht="20.100000000000001" customHeight="1">
      <c r="A237" s="499" t="s">
        <v>702</v>
      </c>
      <c r="B237" s="184"/>
      <c r="C237" s="184"/>
      <c r="D237" s="184"/>
      <c r="E237" s="184"/>
      <c r="F237" s="1073">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1524379</v>
      </c>
    </row>
    <row r="241" spans="1:7" ht="20.100000000000001" customHeight="1">
      <c r="A241" s="499" t="s">
        <v>558</v>
      </c>
      <c r="B241" s="184"/>
      <c r="C241" s="184"/>
      <c r="D241" s="184"/>
      <c r="E241" s="184"/>
      <c r="F241" s="189" t="s">
        <v>559</v>
      </c>
      <c r="G241" s="453">
        <v>10586</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2108053</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214522666</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14666226</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81096812</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95763038</v>
      </c>
    </row>
    <row r="263" spans="1:12" ht="20.100000000000001" customHeight="1">
      <c r="A263" s="500"/>
      <c r="B263" s="184"/>
      <c r="C263" s="184"/>
      <c r="D263" s="184"/>
      <c r="E263" s="184"/>
      <c r="F263" s="201"/>
      <c r="G263" s="217"/>
    </row>
    <row r="264" spans="1:12" ht="20.100000000000001" customHeight="1" thickBot="1">
      <c r="A264" s="511" t="s">
        <v>703</v>
      </c>
      <c r="F264" s="207">
        <v>30800</v>
      </c>
      <c r="G264" s="454">
        <v>-107166183</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-11403145</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0E8BA41C6EE646B3DB15E39B8C0D37" ma:contentTypeVersion="17" ma:contentTypeDescription="Create a new document." ma:contentTypeScope="" ma:versionID="3d796c3234814a2954041d6e76707fa5">
  <xsd:schema xmlns:xsd="http://www.w3.org/2001/XMLSchema" xmlns:xs="http://www.w3.org/2001/XMLSchema" xmlns:p="http://schemas.microsoft.com/office/2006/metadata/properties" xmlns:ns2="eb466dff-3b0c-4c73-b76b-cbd78686aa69" xmlns:ns3="a54ecdc7-7cf8-4452-b3ae-60057c54cf31" targetNamespace="http://schemas.microsoft.com/office/2006/metadata/properties" ma:root="true" ma:fieldsID="c50691eb77b64cbc95f2373aefac4938" ns2:_="" ns3:_="">
    <xsd:import namespace="eb466dff-3b0c-4c73-b76b-cbd78686aa69"/>
    <xsd:import namespace="a54ecdc7-7cf8-4452-b3ae-60057c54cf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466dff-3b0c-4c73-b76b-cbd78686aa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e08447-af87-4dab-83c7-aa7c561607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ecdc7-7cf8-4452-b3ae-60057c54cf3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5979a5d-423d-4614-a630-b6571ec164f4}" ma:internalName="TaxCatchAll" ma:showField="CatchAllData" ma:web="a54ecdc7-7cf8-4452-b3ae-60057c54cf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466dff-3b0c-4c73-b76b-cbd78686aa69">
      <Terms xmlns="http://schemas.microsoft.com/office/infopath/2007/PartnerControls"/>
    </lcf76f155ced4ddcb4097134ff3c332f>
    <TaxCatchAll xmlns="a54ecdc7-7cf8-4452-b3ae-60057c54cf31" xsi:nil="true"/>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D4DC017D-E8F0-49AD-8E57-C198D7A887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466dff-3b0c-4c73-b76b-cbd78686aa69"/>
    <ds:schemaRef ds:uri="a54ecdc7-7cf8-4452-b3ae-60057c54c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eb466dff-3b0c-4c73-b76b-cbd78686aa69"/>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a54ecdc7-7cf8-4452-b3ae-60057c54cf3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MediaServiceImageTags">
    <vt:lpwstr/>
  </property>
</Properties>
</file>