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C:\Users\Amy.Bradbury\OneDrive - Tallahassee Community College\Desktop\2022-23 Budget Developme\"/>
    </mc:Choice>
  </mc:AlternateContent>
  <xr:revisionPtr revIDLastSave="9" documentId="8_{15361A7B-22E8-478E-8FC4-251607EA2953}" xr6:coauthVersionLast="36" xr6:coauthVersionMax="36" xr10:uidLastSave="{226C3DE3-5E0B-41FC-9754-BE25BE482058}"/>
  <bookViews>
    <workbookView xWindow="0" yWindow="0" windowWidth="28800" windowHeight="11730" tabRatio="769" firstSheet="3" activeTab="8"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66" i="7" l="1"/>
  <c r="G220" i="7"/>
  <c r="G236" i="7"/>
  <c r="C16" i="8" l="1"/>
  <c r="G219" i="7" l="1"/>
  <c r="G204" i="7"/>
  <c r="G209" i="7"/>
  <c r="G208" i="7"/>
  <c r="G211" i="7"/>
  <c r="G202" i="7"/>
  <c r="G205" i="7"/>
  <c r="G223" i="7"/>
  <c r="G216" i="7"/>
  <c r="G203" i="7"/>
  <c r="G213" i="7"/>
  <c r="G200" i="7"/>
  <c r="E14" i="6" l="1"/>
  <c r="E13" i="6"/>
  <c r="E12" i="6"/>
  <c r="E11" i="6"/>
  <c r="E10" i="6"/>
  <c r="B34" i="23" l="1"/>
  <c r="B33" i="23"/>
  <c r="B11" i="23"/>
  <c r="B9" i="23"/>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F33" i="6"/>
  <c r="G33" i="6"/>
  <c r="F34" i="6"/>
  <c r="G34" i="6"/>
  <c r="H34" i="6"/>
  <c r="G32" i="7"/>
  <c r="F35" i="6"/>
  <c r="G35" i="6"/>
  <c r="E19" i="6"/>
  <c r="F19" i="6" s="1"/>
  <c r="G21" i="7" s="1"/>
  <c r="E20" i="6"/>
  <c r="F20" i="6" s="1"/>
  <c r="G22" i="7" s="1"/>
  <c r="E21" i="6"/>
  <c r="F21" i="6" s="1"/>
  <c r="G23" i="7" s="1"/>
  <c r="E22" i="6"/>
  <c r="F22" i="6" s="1"/>
  <c r="G24" i="7" s="1"/>
  <c r="E23" i="6"/>
  <c r="F23" i="6" s="1"/>
  <c r="G25" i="7" s="1"/>
  <c r="E24" i="6"/>
  <c r="F24" i="6" s="1"/>
  <c r="G26" i="7" s="1"/>
  <c r="B34" i="5"/>
  <c r="E39" i="6"/>
  <c r="F39" i="6" s="1"/>
  <c r="B35" i="5"/>
  <c r="E40" i="6" s="1"/>
  <c r="F40" i="6" s="1"/>
  <c r="G38" i="7" s="1"/>
  <c r="B37" i="5"/>
  <c r="E41" i="6"/>
  <c r="F41" i="6"/>
  <c r="G39" i="7" s="1"/>
  <c r="B38" i="5"/>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59" i="22"/>
  <c r="D62" i="22" s="1"/>
  <c r="D60" i="22"/>
  <c r="B52" i="22"/>
  <c r="E33" i="22"/>
  <c r="E34" i="22" s="1"/>
  <c r="D33" i="22"/>
  <c r="D34" i="22"/>
  <c r="D26" i="22"/>
  <c r="D38" i="22"/>
  <c r="C38" i="22"/>
  <c r="E15" i="22"/>
  <c r="D15" i="22"/>
  <c r="B46" i="22"/>
  <c r="E26" i="22"/>
  <c r="E59" i="22"/>
  <c r="E61" i="22"/>
  <c r="E38" i="22"/>
  <c r="B29" i="5"/>
  <c r="G14" i="5"/>
  <c r="H14" i="5" s="1"/>
  <c r="G258" i="7"/>
  <c r="E15" i="8"/>
  <c r="E36" i="6"/>
  <c r="D36" i="6"/>
  <c r="F36" i="6" s="1"/>
  <c r="D43" i="6"/>
  <c r="D26" i="6"/>
  <c r="E17" i="6"/>
  <c r="G20" i="5"/>
  <c r="H20" i="5"/>
  <c r="G19" i="5"/>
  <c r="H19" i="5" s="1"/>
  <c r="G22" i="5"/>
  <c r="H22" i="5"/>
  <c r="G23" i="5"/>
  <c r="H23" i="5" s="1"/>
  <c r="E20" i="12"/>
  <c r="E29" i="12"/>
  <c r="E30" i="12"/>
  <c r="G196" i="7"/>
  <c r="D21" i="8"/>
  <c r="E68" i="3"/>
  <c r="C94" i="12"/>
  <c r="B31" i="5"/>
  <c r="H31" i="5"/>
  <c r="I31" i="5" s="1"/>
  <c r="B30" i="5"/>
  <c r="H30" i="5" s="1"/>
  <c r="I30" i="5" s="1"/>
  <c r="G16" i="5"/>
  <c r="H16" i="5" s="1"/>
  <c r="G15" i="5"/>
  <c r="H15" i="5" s="1"/>
  <c r="D96" i="8"/>
  <c r="C96" i="8"/>
  <c r="B69" i="6"/>
  <c r="C92" i="3"/>
  <c r="E69" i="3"/>
  <c r="E70" i="3"/>
  <c r="E71" i="3"/>
  <c r="E72" i="3"/>
  <c r="E73" i="3"/>
  <c r="B21" i="8"/>
  <c r="C21" i="8"/>
  <c r="E10" i="8"/>
  <c r="E12" i="8"/>
  <c r="E16" i="8"/>
  <c r="E17" i="8"/>
  <c r="E18" i="8"/>
  <c r="E19" i="8"/>
  <c r="E20" i="8"/>
  <c r="E36" i="4"/>
  <c r="C127" i="3"/>
  <c r="D33" i="4"/>
  <c r="B60" i="6"/>
  <c r="C96" i="3"/>
  <c r="E26" i="4"/>
  <c r="C95" i="3" s="1"/>
  <c r="E16" i="4"/>
  <c r="G274" i="7"/>
  <c r="G278" i="7" s="1"/>
  <c r="C120" i="3" s="1"/>
  <c r="E67" i="22"/>
  <c r="D61" i="22"/>
  <c r="E14" i="8"/>
  <c r="G240" i="7"/>
  <c r="X147" i="23"/>
  <c r="E60" i="22"/>
  <c r="D66" i="22"/>
  <c r="D68" i="22"/>
  <c r="H35" i="6"/>
  <c r="G33" i="7" s="1"/>
  <c r="H34" i="5"/>
  <c r="I34" i="5" s="1"/>
  <c r="E62" i="22"/>
  <c r="H38" i="5"/>
  <c r="I38" i="5"/>
  <c r="C93" i="3"/>
  <c r="B70" i="6"/>
  <c r="D69" i="22"/>
  <c r="H37" i="5"/>
  <c r="I37" i="5"/>
  <c r="D70" i="22"/>
  <c r="D17" i="6"/>
  <c r="F12" i="6"/>
  <c r="H12" i="6" s="1"/>
  <c r="G14" i="7" s="1"/>
  <c r="F11" i="6"/>
  <c r="H11" i="6" s="1"/>
  <c r="G13" i="7" s="1"/>
  <c r="F14" i="6"/>
  <c r="E48" i="3" s="1"/>
  <c r="H13" i="6"/>
  <c r="G15" i="7" s="1"/>
  <c r="F15" i="6"/>
  <c r="E49" i="3"/>
  <c r="F10" i="6"/>
  <c r="H10" i="6" s="1"/>
  <c r="D128" i="15" s="1"/>
  <c r="C144" i="3" s="1"/>
  <c r="E47" i="3"/>
  <c r="H15" i="6"/>
  <c r="G17" i="7" s="1"/>
  <c r="C113" i="3" l="1"/>
  <c r="E21" i="8"/>
  <c r="C111" i="3"/>
  <c r="H33" i="6"/>
  <c r="G31" i="7" s="1"/>
  <c r="E45" i="3"/>
  <c r="H14" i="6"/>
  <c r="G16" i="7" s="1"/>
  <c r="E46" i="3"/>
  <c r="F17" i="6"/>
  <c r="E50" i="3" s="1"/>
  <c r="E44" i="3"/>
  <c r="H32" i="6"/>
  <c r="G30" i="7" s="1"/>
  <c r="G12" i="7"/>
  <c r="F43" i="6"/>
  <c r="G37" i="7"/>
  <c r="E68" i="22"/>
  <c r="E69" i="22"/>
  <c r="E70" i="22"/>
  <c r="H29" i="5"/>
  <c r="I29" i="5" s="1"/>
  <c r="E74" i="3"/>
  <c r="G75" i="7"/>
  <c r="G85" i="7" s="1"/>
  <c r="D106" i="3"/>
  <c r="F121" i="15"/>
  <c r="G260" i="7"/>
  <c r="E25" i="4" s="1"/>
  <c r="E28" i="4" s="1"/>
  <c r="T119" i="23"/>
  <c r="C112" i="3"/>
  <c r="C121" i="3"/>
  <c r="G28" i="7"/>
  <c r="G42" i="7"/>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35" i="7" l="1"/>
  <c r="H36" i="6"/>
  <c r="H44" i="6" s="1"/>
  <c r="H17" i="6"/>
  <c r="H27" i="6" s="1"/>
  <c r="G19" i="7"/>
  <c r="G44" i="7" s="1"/>
  <c r="G63" i="7" s="1"/>
  <c r="G144" i="7" s="1"/>
  <c r="E18" i="4" s="1"/>
  <c r="E21" i="4" s="1"/>
  <c r="E23" i="4" s="1"/>
  <c r="E44" i="4" s="1"/>
  <c r="C17" i="3" s="1"/>
  <c r="E102" i="3"/>
  <c r="E106" i="3" s="1"/>
  <c r="F123" i="15"/>
  <c r="C114" i="3"/>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H46" i="6" l="1"/>
  <c r="C34" i="3" s="1"/>
  <c r="F102" i="3"/>
  <c r="F106" i="3" s="1"/>
  <c r="D32" i="4"/>
  <c r="E35" i="4" s="1"/>
  <c r="E38" i="4" s="1"/>
  <c r="C153" i="3"/>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2"/>
            <color indexed="81"/>
            <rFont val="Arial"/>
            <family val="2"/>
          </rPr>
          <t>Comment:
    Source Data:   J:\Finance\Operating Budgets - current year\2022-23 OPERATING BUDGET\Forms and Instructions\Working Documents\2022-23Side by Side6.2.22 HB 5001 Conf Report (After Vetos ) .xxlsx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<sst xmlns="http://schemas.openxmlformats.org/spreadsheetml/2006/main" count="1333" uniqueCount="809">
  <si>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</si>
  <si>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</si>
  <si>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</si>
  <si>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</si>
  <si>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</si>
  <si>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</si>
  <si>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</si>
  <si>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</si>
  <si>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</si>
  <si>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</si>
  <si>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</si>
  <si>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</si>
  <si>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</si>
  <si>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</si>
  <si>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</si>
  <si>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</si>
  <si>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</si>
  <si>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</si>
  <si>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</si>
  <si>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</si>
  <si>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</si>
  <si>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</si>
  <si>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</si>
  <si>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</si>
  <si>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</si>
  <si>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</si>
  <si>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</si>
  <si>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</si>
  <si>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</si>
  <si>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</si>
  <si>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</si>
  <si>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</si>
  <si>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</si>
  <si>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</si>
  <si>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</si>
  <si>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</si>
  <si>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</si>
  <si>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</si>
  <si>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</si>
  <si>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</si>
  <si>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</si>
  <si>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</si>
  <si>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</si>
  <si>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</si>
  <si>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</si>
  <si>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</si>
  <si>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</si>
  <si>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</si>
  <si>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</si>
  <si>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</si>
  <si>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</si>
  <si>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</si>
  <si>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</si>
  <si>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</si>
  <si>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</si>
  <si>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</si>
  <si>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</si>
  <si>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</si>
  <si>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</si>
  <si>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</si>
  <si>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</si>
  <si>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</si>
  <si>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</si>
  <si>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</si>
  <si>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</si>
  <si>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</si>
  <si>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</si>
  <si>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</si>
  <si>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</si>
  <si>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</si>
  <si>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</si>
  <si>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</si>
  <si>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</si>
  <si>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</si>
  <si>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</si>
  <si>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</si>
  <si>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</si>
  <si>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</si>
  <si>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</si>
  <si>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</si>
  <si>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</si>
  <si>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</si>
  <si>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</si>
  <si>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</si>
  <si>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</si>
  <si>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</si>
  <si>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</si>
  <si>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</si>
  <si>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</si>
  <si>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</si>
  <si>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</si>
  <si>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</si>
  <si>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</si>
  <si>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</si>
  <si>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</si>
  <si>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</si>
  <si>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</si>
  <si>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</si>
  <si>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</si>
  <si>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</si>
  <si>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</si>
  <si>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</si>
  <si>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</si>
  <si>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</si>
  <si>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</si>
  <si>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</si>
  <si>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</si>
  <si>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</si>
  <si>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</si>
  <si>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</si>
  <si>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</si>
  <si>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</si>
  <si>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</si>
  <si>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</si>
  <si>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</si>
  <si>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</si>
  <si>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</si>
  <si>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</si>
  <si>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</si>
  <si>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</si>
  <si>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</si>
  <si>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</si>
  <si>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</si>
  <si>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</si>
  <si>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</si>
  <si>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</si>
  <si>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</si>
  <si>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</si>
  <si>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</si>
  <si>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</si>
  <si>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</si>
  <si>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</si>
  <si>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</si>
  <si>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</si>
  <si>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</si>
  <si>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</si>
  <si>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</si>
  <si>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</si>
  <si>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</si>
  <si>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</si>
  <si>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</si>
  <si>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</si>
  <si>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</si>
  <si>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</si>
  <si>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</si>
  <si>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</si>
  <si>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</si>
  <si>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</si>
  <si>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</si>
  <si>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</si>
  <si>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</si>
  <si>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</si>
  <si>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</si>
  <si>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</si>
  <si>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</si>
  <si>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</si>
  <si>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</si>
  <si>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</si>
  <si>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</si>
  <si>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</si>
  <si>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</si>
  <si>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</si>
  <si>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</si>
  <si>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</si>
  <si>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</si>
  <si>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</si>
  <si>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</si>
  <si>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</si>
  <si>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</si>
  <si>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</si>
  <si>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</si>
  <si>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</si>
  <si>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</si>
  <si>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</si>
  <si>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</si>
  <si>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</si>
  <si>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</si>
  <si>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</si>
  <si>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</si>
  <si>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</si>
  <si>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</si>
  <si>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</si>
  <si>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</si>
  <si>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</si>
  <si>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</si>
  <si>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</si>
  <si>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</si>
  <si>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</si>
  <si>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</si>
  <si>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</si>
  <si>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</si>
  <si>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</si>
  <si>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</si>
  <si>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</si>
  <si>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</si>
  <si>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</si>
  <si>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</si>
  <si>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</si>
  <si>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</si>
  <si>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</si>
  <si>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</si>
  <si>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</si>
  <si>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</si>
  <si>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</si>
  <si>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</si>
  <si>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</si>
  <si>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</si>
  <si>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</si>
  <si>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</si>
  <si>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</si>
  <si>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</si>
  <si>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</si>
  <si>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</si>
  <si>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</si>
  <si>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</si>
  <si>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</si>
  <si>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</si>
  <si>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</si>
  <si>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</si>
  <si>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</si>
  <si>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</si>
  <si>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</si>
  <si>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</si>
  <si>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</si>
  <si>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</si>
  <si>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</si>
  <si>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</si>
  <si>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</si>
  <si>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</si>
  <si>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</si>
  <si>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</si>
  <si>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</si>
  <si>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</si>
  <si>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</si>
  <si>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</si>
  <si>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</si>
  <si>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</si>
  <si>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</si>
  <si>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</si>
  <si>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</si>
  <si>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</si>
  <si>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</si>
  <si>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</si>
  <si>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</si>
  <si>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</si>
  <si>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</si>
  <si>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</si>
  <si>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</si>
  <si>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</si>
  <si>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</si>
  <si>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</si>
  <si>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</si>
  <si>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</si>
  <si>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</si>
  <si>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</si>
  <si>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</si>
  <si>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</si>
  <si>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</si>
  <si>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</si>
  <si>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</si>
  <si>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</si>
  <si>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</si>
  <si>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</si>
  <si>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</si>
  <si>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</si>
  <si>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</si>
  <si>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</si>
  <si>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</si>
  <si>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</si>
  <si>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</si>
  <si>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</si>
  <si>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</si>
  <si>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</si>
  <si>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</si>
  <si>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</si>
  <si>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</si>
  <si>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</si>
  <si>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</si>
  <si>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</si>
  <si>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</si>
  <si>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</si>
  <si>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</si>
  <si>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</si>
  <si>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</si>
  <si>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</si>
  <si>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</si>
  <si>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</si>
  <si>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</si>
  <si>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</si>
  <si>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</si>
  <si>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</si>
  <si>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</si>
  <si>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</si>
  <si>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</si>
  <si>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</si>
  <si>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</si>
  <si>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</si>
  <si>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</si>
  <si>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</si>
  <si>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</si>
  <si>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</si>
  <si>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</si>
  <si>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</si>
  <si>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</si>
  <si>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</si>
  <si>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</si>
  <si>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</si>
  <si>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</si>
  <si>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</si>
  <si>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</si>
  <si>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</si>
  <si>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</si>
  <si>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</si>
  <si>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</si>
  <si>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</si>
  <si>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</si>
  <si>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</si>
  <si>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</si>
  <si>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</si>
  <si>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</si>
  <si>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</si>
  <si>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</si>
  <si>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</si>
  <si>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</si>
  <si>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</si>
  <si>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</si>
  <si>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</si>
  <si>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</si>
  <si>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</si>
  <si>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</si>
  <si>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</si>
  <si>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</si>
  <si>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</si>
  <si>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</si>
  <si>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</si>
  <si>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</si>
  <si>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</si>
  <si>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</si>
  <si>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</si>
  <si>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</si>
  <si>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</si>
  <si>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</si>
  <si>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</si>
  <si>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</si>
  <si>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</si>
  <si>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</si>
  <si>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</si>
  <si>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</si>
  <si>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</si>
  <si>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</si>
  <si>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</si>
  <si>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</si>
  <si>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</si>
  <si>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</si>
  <si>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</si>
  <si>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</si>
  <si>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</si>
  <si>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</si>
  <si>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</si>
  <si>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</si>
  <si>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</si>
  <si>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</si>
  <si>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</si>
  <si>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</si>
  <si>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</si>
  <si>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</si>
  <si>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</si>
  <si>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</si>
  <si>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</si>
  <si>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</si>
  <si>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</si>
  <si>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</si>
  <si>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</si>
  <si>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</si>
  <si>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</si>
  <si>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</si>
  <si>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</si>
  <si>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</si>
  <si>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</si>
  <si>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</si>
  <si>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</si>
  <si>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</si>
  <si>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</si>
  <si>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</si>
  <si>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</si>
  <si>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</si>
  <si>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</si>
  <si>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</si>
  <si>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</si>
  <si>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</si>
  <si>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</si>
  <si>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</si>
  <si>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</si>
  <si>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</si>
  <si>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</si>
  <si>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</si>
  <si>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</si>
  <si>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</si>
  <si>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</si>
  <si>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</si>
  <si>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</si>
  <si>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</si>
  <si>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</si>
  <si>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</si>
  <si>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</si>
  <si>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</si>
  <si>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</si>
  <si>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</si>
  <si>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</si>
  <si>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</si>
  <si>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</si>
  <si>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</si>
  <si>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</si>
  <si>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</si>
  <si>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</si>
  <si>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</si>
  <si>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</si>
  <si>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</si>
  <si>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</si>
  <si>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</si>
  <si>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</si>
  <si>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</si>
  <si>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</si>
  <si>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</si>
  <si>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</si>
  <si>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</si>
  <si>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</si>
  <si>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</si>
  <si>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</si>
  <si>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</si>
  <si>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</si>
  <si>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</si>
  <si>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</si>
  <si>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</si>
  <si>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</si>
  <si>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</si>
  <si>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</si>
  <si>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</si>
  <si>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</si>
  <si>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</si>
  <si>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</si>
  <si>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</si>
  <si>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</si>
  <si>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</si>
  <si>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</si>
  <si>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</si>
  <si>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</si>
  <si>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</si>
  <si>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</si>
  <si>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</si>
  <si>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</si>
  <si>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</si>
  <si>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</si>
  <si>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</si>
  <si>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</si>
  <si>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</si>
  <si>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</si>
  <si>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</si>
  <si>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</si>
  <si>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</si>
  <si>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</si>
  <si>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</si>
  <si>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</si>
  <si>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</si>
  <si>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</si>
  <si>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</si>
  <si>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</si>
  <si>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</si>
  <si>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</si>
  <si>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</si>
  <si>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</si>
  <si>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</si>
  <si>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</si>
  <si>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</si>
  <si>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</si>
  <si>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</si>
  <si>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</si>
  <si>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</si>
  <si>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</si>
  <si>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</si>
  <si>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</si>
  <si>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</si>
  <si>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</si>
  <si>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</si>
  <si>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</si>
  <si>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</si>
  <si>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</si>
  <si>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</si>
  <si>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</si>
  <si>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</si>
  <si>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</si>
  <si>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</si>
  <si>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</si>
  <si>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</si>
  <si>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</si>
  <si>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</si>
  <si>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</si>
  <si>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</si>
  <si>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</si>
  <si>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</si>
  <si>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</si>
  <si>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</si>
  <si>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</si>
  <si>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</si>
  <si>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</si>
  <si>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</si>
  <si>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</si>
  <si>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</si>
  <si>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</si>
  <si>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</si>
  <si>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</si>
  <si>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</si>
  <si>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</si>
  <si>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</si>
  <si>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</si>
  <si>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</si>
  <si>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</si>
  <si>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</si>
  <si>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</si>
  <si>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</si>
  <si>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</si>
  <si>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</si>
  <si>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</si>
  <si>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</si>
  <si>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</si>
  <si>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</si>
  <si>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</si>
  <si>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</si>
  <si>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</si>
  <si>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</si>
  <si>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</si>
  <si>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</si>
  <si>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</si>
  <si>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</si>
  <si>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</si>
  <si>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</si>
  <si>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</si>
  <si>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</si>
  <si>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</si>
  <si>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</si>
  <si>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</si>
  <si>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</si>
  <si>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</si>
  <si>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</si>
  <si>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</si>
  <si>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</si>
  <si>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</si>
  <si>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</si>
  <si>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</si>
  <si>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</si>
  <si>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</si>
  <si>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</si>
  <si>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</si>
  <si>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</si>
  <si>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</si>
  <si>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</si>
  <si>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</si>
  <si>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</si>
  <si>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</si>
  <si>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</si>
  <si>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</si>
  <si>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</si>
  <si>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</si>
  <si>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</si>
  <si>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</si>
  <si>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</si>
  <si>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</si>
  <si>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</si>
  <si>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</si>
  <si>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</si>
  <si>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</si>
  <si>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</si>
  <si>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</si>
  <si>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</si>
  <si>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</si>
  <si>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</si>
  <si>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</si>
  <si>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</si>
  <si>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</si>
  <si>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</si>
  <si>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</si>
  <si>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</si>
  <si>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</si>
  <si>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</si>
  <si>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</si>
  <si>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</si>
  <si>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</si>
  <si>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</si>
  <si>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</si>
  <si>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</si>
  <si>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</si>
  <si>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</si>
  <si>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</si>
  <si>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</si>
  <si>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</si>
  <si>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</si>
  <si>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</si>
  <si>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</si>
  <si>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</si>
  <si>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</si>
  <si>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</si>
  <si>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</si>
  <si>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</si>
  <si>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</si>
  <si>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</si>
  <si>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</si>
  <si>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</si>
  <si>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</si>
  <si>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</si>
  <si>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</si>
  <si>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</si>
  <si>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</si>
  <si>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</si>
  <si>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</si>
  <si>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</si>
  <si>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</si>
  <si>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</si>
  <si>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</si>
  <si>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</si>
  <si>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</si>
  <si>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</si>
  <si>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</si>
  <si>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</si>
  <si>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</si>
  <si>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</si>
  <si>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</si>
  <si>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</si>
  <si>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</si>
  <si>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</si>
  <si>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</si>
  <si>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</si>
  <si>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</si>
  <si>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</si>
  <si>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</si>
  <si>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</si>
  <si>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</si>
  <si>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</si>
  <si>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</si>
  <si>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</si>
  <si>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</si>
  <si>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</si>
  <si>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</si>
  <si>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</si>
  <si>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</si>
  <si>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</si>
  <si>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</si>
  <si>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</si>
  <si>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</si>
  <si>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</si>
  <si>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</si>
  <si>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</si>
  <si>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</si>
  <si>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</si>
  <si>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</si>
  <si>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</si>
  <si>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</si>
  <si>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</si>
  <si>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</si>
  <si>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</si>
  <si>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</si>
  <si>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</si>
  <si>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</si>
  <si>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</si>
  <si>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</si>
  <si>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</si>
  <si>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</si>
  <si>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</si>
  <si>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</si>
  <si>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</si>
  <si>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</si>
  <si>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</si>
  <si>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</si>
  <si>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</si>
  <si>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</si>
  <si>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</si>
  <si>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</si>
  <si>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</si>
  <si>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</si>
  <si>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</si>
  <si>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</si>
  <si>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</si>
  <si>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</si>
  <si>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</si>
  <si>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</si>
  <si>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</si>
  <si>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</si>
  <si>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</si>
  <si>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</si>
  <si>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</si>
  <si>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</si>
  <si>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</si>
  <si>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</si>
  <si>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</si>
  <si>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</si>
  <si>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</si>
  <si>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</si>
  <si>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</si>
  <si>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</si>
  <si>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</si>
  <si>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</si>
  <si>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</si>
  <si>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</si>
  <si>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</si>
  <si>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</si>
  <si>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</si>
  <si>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</si>
  <si>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</si>
  <si>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</si>
  <si>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</si>
  <si>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</si>
  <si>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</si>
  <si>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</si>
  <si>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</si>
  <si>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</si>
  <si>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</si>
  <si>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</si>
  <si>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</si>
  <si>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</si>
  <si>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</si>
  <si>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</si>
  <si>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</si>
  <si>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</si>
  <si>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</si>
  <si>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</si>
  <si>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</si>
  <si>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</si>
  <si>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</si>
  <si>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</si>
  <si>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</si>
  <si>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</si>
  <si>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</si>
  <si>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</si>
  <si>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</si>
  <si>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</si>
  <si>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</si>
  <si>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</si>
  <si>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</si>
  <si>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</si>
  <si>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</si>
  <si>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</si>
  <si>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</si>
  <si>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</si>
  <si>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</si>
  <si>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</si>
  <si>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</si>
  <si>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</si>
  <si>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</si>
  <si>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</si>
  <si>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</si>
  <si>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</si>
  <si>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</si>
  <si>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</si>
  <si>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</si>
  <si>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</si>
  <si>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</si>
  <si>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</si>
  <si>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</si>
  <si>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</si>
  <si>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</si>
  <si>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</si>
  <si>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</si>
  <si>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</si>
  <si>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</si>
  <si>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</si>
  <si>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</si>
  <si>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</si>
  <si>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</si>
  <si>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</si>
  <si>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</si>
  <si>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</si>
  <si>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</si>
  <si>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</si>
  <si>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</si>
  <si>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</si>
  <si>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</si>
  <si>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</si>
  <si>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</si>
  <si>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</si>
  <si>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</si>
  <si>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</si>
  <si>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</si>
  <si>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</si>
  <si>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</si>
  <si>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</si>
  <si>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</si>
  <si>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</si>
  <si>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</si>
  <si>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</si>
  <si>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</si>
  <si>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</si>
  <si>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</si>
  <si>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</si>
  <si>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</si>
  <si>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</si>
  <si>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</si>
  <si>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</si>
  <si>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</si>
  <si>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</si>
  <si>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</si>
  <si>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</si>
  <si>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</si>
  <si>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</si>
  <si>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</si>
  <si>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</si>
  <si>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</si>
  <si>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</si>
  <si>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Date Updated:   06.03.22    BY:  EN</t>
  </si>
  <si>
    <t>Updated: 6.3.22 EN</t>
  </si>
  <si>
    <t>It is our intent to double the enrollment of students in our nursing programs with the special appropriation/pipeline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</si>
</sst>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323850</xdr:colOff>
          <xdr:row>4</xdr:row>
          <xdr:rowOff>38100</xdr:rowOff>
        </xdr:from>
        <xdr:to>
          <xdr:col>2</xdr:col>
          <xdr:colOff>323850</xdr:colOff>
          <xdr:row>50</xdr:row>
          <xdr:rowOff>133350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0000"/>
  </sheetPr>
  <dimension ref="A1:H96"/>
  <sheetViews>
    <sheetView showGridLines="0" zoomScale="80" zoomScaleNormal="80" zoomScalePageLayoutView="80" workbookViewId="0">
      <selection activeCell="C21" sqref="C2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Tallahassee Community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756</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28215916</v>
      </c>
      <c r="C10" s="577">
        <v>6095483</v>
      </c>
      <c r="D10" s="577">
        <v>0</v>
      </c>
      <c r="E10" s="480">
        <f>SUM(B10:D10)</f>
        <v>34311399</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6">
        <v>2519278</v>
      </c>
      <c r="C14" s="579">
        <v>588067</v>
      </c>
      <c r="D14" s="579">
        <v>175453</v>
      </c>
      <c r="E14" s="481">
        <f t="shared" ref="E14:E20" si="0">SUM(B14:D14)</f>
        <v>3282798</v>
      </c>
      <c r="F14" s="457"/>
    </row>
    <row r="15" spans="1:8" s="37" customFormat="1" ht="20.100000000000001" customHeight="1">
      <c r="A15" s="479" t="s">
        <v>625</v>
      </c>
      <c r="B15" s="576">
        <v>0</v>
      </c>
      <c r="C15" s="567">
        <v>0</v>
      </c>
      <c r="D15" s="567">
        <v>0</v>
      </c>
      <c r="E15" s="481">
        <f>SUM(B15:D15)</f>
        <v>0</v>
      </c>
      <c r="F15" s="457"/>
    </row>
    <row r="16" spans="1:8" s="37" customFormat="1" ht="20.100000000000001" customHeight="1">
      <c r="A16" s="479" t="s">
        <v>626</v>
      </c>
      <c r="B16" s="576">
        <v>7053979</v>
      </c>
      <c r="C16" s="567">
        <f>442326+250000</f>
        <v>692326</v>
      </c>
      <c r="D16" s="567">
        <v>74547</v>
      </c>
      <c r="E16" s="481">
        <f t="shared" si="0"/>
        <v>7820852</v>
      </c>
      <c r="F16" s="457"/>
    </row>
    <row r="17" spans="1:6" s="37" customFormat="1" ht="20.100000000000001" customHeight="1">
      <c r="A17" s="479" t="s">
        <v>627</v>
      </c>
      <c r="B17" s="576">
        <v>7557834</v>
      </c>
      <c r="C17" s="567">
        <v>3806588</v>
      </c>
      <c r="D17" s="567">
        <v>0</v>
      </c>
      <c r="E17" s="481">
        <f t="shared" si="0"/>
        <v>11364422</v>
      </c>
      <c r="F17" s="457"/>
    </row>
    <row r="18" spans="1:6" s="37" customFormat="1" ht="20.100000000000001" customHeight="1">
      <c r="A18" s="479" t="s">
        <v>628</v>
      </c>
      <c r="B18" s="576">
        <v>5038556</v>
      </c>
      <c r="C18" s="567">
        <v>2067536</v>
      </c>
      <c r="D18" s="567">
        <v>0</v>
      </c>
      <c r="E18" s="481">
        <f t="shared" si="0"/>
        <v>7106092</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50385563</v>
      </c>
      <c r="C21" s="461">
        <f>SUM(C10:C20)</f>
        <v>13250000</v>
      </c>
      <c r="D21" s="461">
        <f>SUM(D10:D20)</f>
        <v>250000</v>
      </c>
      <c r="E21" s="460">
        <f>SUM(E10:E20)</f>
        <v>63885563</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A3" sqref="A3"/>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utoPict="0" altText="Exhibit F attached" r:id="rId5">
            <anchor moveWithCells="1">
              <from>
                <xdr:col>0</xdr:col>
                <xdr:colOff>323850</xdr:colOff>
                <xdr:row>4</xdr:row>
                <xdr:rowOff>38100</xdr:rowOff>
              </from>
              <to>
                <xdr:col>2</xdr:col>
                <xdr:colOff>323850</xdr:colOff>
                <xdr:row>50</xdr:row>
                <xdr:rowOff>133350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D164" sqref="D164"/>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Tallahassee Community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756</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738</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192410</v>
      </c>
      <c r="E15" s="925">
        <v>0</v>
      </c>
      <c r="F15" s="926">
        <f t="shared" si="0"/>
        <v>192410</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803</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0</v>
      </c>
      <c r="E48" s="925">
        <v>0</v>
      </c>
      <c r="F48" s="926">
        <f t="shared" si="0"/>
        <v>0</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0</v>
      </c>
      <c r="E49" s="925">
        <v>0</v>
      </c>
      <c r="F49" s="926">
        <f t="shared" si="0"/>
        <v>0</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0</v>
      </c>
      <c r="E54" s="925">
        <v>0</v>
      </c>
      <c r="F54" s="926">
        <f t="shared" si="0"/>
        <v>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192410</v>
      </c>
      <c r="E57" s="346">
        <f>SUM(E10:E56)</f>
        <v>0</v>
      </c>
      <c r="F57" s="346">
        <f t="shared" si="0"/>
        <v>192410</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733</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0</v>
      </c>
      <c r="E80" s="925">
        <v>0</v>
      </c>
      <c r="F80" s="926">
        <f t="shared" si="0"/>
        <v>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0</v>
      </c>
      <c r="E84" s="925">
        <v>0</v>
      </c>
      <c r="F84" s="926">
        <f t="shared" si="1"/>
        <v>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0</v>
      </c>
      <c r="E103" s="342">
        <f>SUM(E64:E102)</f>
        <v>0</v>
      </c>
      <c r="F103" s="342">
        <f t="shared" si="1"/>
        <v>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764</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765</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732</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192410</v>
      </c>
      <c r="E123" s="342">
        <f>+E57+E103+E121</f>
        <v>0</v>
      </c>
      <c r="F123" s="342">
        <f>SUM(D123:E123)</f>
        <v>192410</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192410</v>
      </c>
      <c r="E128" s="925">
        <v>0</v>
      </c>
      <c r="F128" s="926">
        <f t="shared" ref="F128:F138" si="3">+D128+E128</f>
        <v>192410</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730</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192410</v>
      </c>
      <c r="E139" s="334">
        <f>SUM(E127:E138)</f>
        <v>0</v>
      </c>
      <c r="F139" s="335">
        <f>SUM(F127:F138)</f>
        <v>192410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798</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3"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757</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L15" sqref="L15"/>
    </sheetView>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758</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806</v>
      </c>
      <c r="C3" s="77"/>
      <c r="D3" s="86"/>
      <c r="E3" s="85"/>
      <c r="F3" s="25"/>
    </row>
    <row r="4" spans="1:10" ht="25.35" customHeight="1" thickBot="1">
      <c r="A4" s="75">
        <v>1</v>
      </c>
      <c r="B4" s="64">
        <v>2</v>
      </c>
      <c r="C4" s="64">
        <v>3</v>
      </c>
      <c r="D4" s="64">
        <v>4</v>
      </c>
      <c r="E4" s="68"/>
      <c r="F4" s="25"/>
    </row>
    <row r="5" spans="1:10" ht="44.1" customHeight="1" thickBot="1">
      <c r="A5" s="1273" t="s">
        <v>16</v>
      </c>
      <c r="B5" s="1322" t="s">
        <v>776</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f>33122473.9644-375000</f>
        <v>32747473.964400001</v>
      </c>
      <c r="C9" s="1169">
        <v>5159428</v>
      </c>
      <c r="D9" s="87">
        <f t="shared" si="0"/>
        <v>37906901.964400001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f>43596058.664-447123</f>
        <v>43148935.663999997</v>
      </c>
      <c r="C11" s="1169">
        <v>10843888</v>
      </c>
      <c r="D11" s="87">
        <f t="shared" si="0"/>
        <v>53992823.663999997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f>29636356.8458-50000</f>
        <v>29586356.845800001</v>
      </c>
      <c r="C33" s="1169">
        <v>6733218</v>
      </c>
      <c r="D33" s="87">
        <f t="shared" si="0"/>
        <v>36319574.845799997</v>
      </c>
      <c r="E33" s="529"/>
      <c r="F33" s="59"/>
      <c r="G33" s="59"/>
      <c r="I33" s="529"/>
      <c r="J33" s="59"/>
      <c r="K33" s="529"/>
    </row>
    <row r="34" spans="1:21" ht="25.35" customHeight="1" thickBot="1">
      <c r="A34" s="502" t="s">
        <v>49</v>
      </c>
      <c r="B34" s="1168">
        <f>88194296.7616-1000000</f>
        <v>87194296.761600003</v>
      </c>
      <c r="C34" s="1169">
        <v>14647340</v>
      </c>
      <c r="D34" s="88">
        <f t="shared" si="0"/>
        <v>101841636.7616</v>
      </c>
      <c r="E34" s="529"/>
      <c r="F34" s="59"/>
      <c r="G34" s="59"/>
      <c r="I34" s="529"/>
      <c r="J34" s="59"/>
      <c r="K34" s="529"/>
    </row>
    <row r="35" spans="1:21" ht="25.35" customHeight="1" thickBot="1">
      <c r="A35" s="503" t="s">
        <v>50</v>
      </c>
      <c r="B35" s="554">
        <f>SUM(B7:B34)</f>
        <v>1153749636.0000999</v>
      </c>
      <c r="C35" s="555">
        <f>SUM(C7:C34)</f>
        <v>240982604</v>
      </c>
      <c r="D35" s="518">
        <f>SUM(D7:D34)</f>
        <v>1394732240.0000999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794</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759</v>
      </c>
      <c r="B40" s="1162" t="s">
        <v>807</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778</v>
      </c>
      <c r="C44" s="1253"/>
      <c r="D44" s="1253">
        <v>0</v>
      </c>
      <c r="E44" s="782">
        <f t="shared" si="1"/>
        <v>0</v>
      </c>
    </row>
    <row r="45" spans="1:21" ht="42">
      <c r="A45" s="1172" t="str">
        <f>A11</f>
        <v>Daytona State College</v>
      </c>
      <c r="B45" s="783" t="s">
        <v>57</v>
      </c>
      <c r="C45" s="781">
        <v>500000</v>
      </c>
      <c r="D45" s="781"/>
      <c r="E45" s="782">
        <f t="shared" si="1"/>
        <v>500000</v>
      </c>
      <c r="H45" s="24"/>
    </row>
    <row r="46" spans="1:21" ht="84.75" customHeight="1">
      <c r="A46" s="1170" t="s">
        <v>25</v>
      </c>
      <c r="B46" s="783" t="s">
        <v>777</v>
      </c>
      <c r="C46" s="781"/>
      <c r="D46" s="781">
        <v>315500</v>
      </c>
      <c r="E46" s="782">
        <f t="shared" si="1"/>
        <v>315500</v>
      </c>
      <c r="H46" s="24"/>
    </row>
    <row r="47" spans="1:21" ht="84.75" customHeight="1">
      <c r="A47" s="1170" t="s">
        <v>25</v>
      </c>
      <c r="B47" s="1252" t="s">
        <v>780</v>
      </c>
      <c r="C47" s="1253"/>
      <c r="D47" s="1253">
        <v>0</v>
      </c>
      <c r="E47" s="782">
        <f t="shared" si="1"/>
        <v>0</v>
      </c>
      <c r="H47" s="24"/>
    </row>
    <row r="48" spans="1:21" ht="84.75" customHeight="1">
      <c r="A48" s="1170" t="s">
        <v>21</v>
      </c>
      <c r="B48" s="1252" t="s">
        <v>779</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782</v>
      </c>
      <c r="C50" s="1253"/>
      <c r="D50" s="1253">
        <v>1000000</v>
      </c>
      <c r="E50" s="782">
        <f t="shared" si="1"/>
        <v>1000000</v>
      </c>
      <c r="H50" s="24"/>
    </row>
    <row r="51" spans="1:8" ht="62.45" customHeight="1">
      <c r="A51" s="1170" t="s">
        <v>35</v>
      </c>
      <c r="B51" s="1252" t="s">
        <v>781</v>
      </c>
      <c r="C51" s="1253"/>
      <c r="D51" s="1253">
        <v>600050</v>
      </c>
      <c r="E51" s="782">
        <f t="shared" si="1"/>
        <v>600050</v>
      </c>
      <c r="H51" s="24"/>
    </row>
    <row r="52" spans="1:8" ht="62.45" customHeight="1">
      <c r="A52" s="1170" t="s">
        <v>36</v>
      </c>
      <c r="B52" s="1252" t="s">
        <v>783</v>
      </c>
      <c r="C52" s="1253"/>
      <c r="D52" s="1253">
        <v>400000</v>
      </c>
      <c r="E52" s="782">
        <f t="shared" si="1"/>
        <v>400000</v>
      </c>
      <c r="H52" s="24"/>
    </row>
    <row r="53" spans="1:8" ht="62.45" customHeight="1">
      <c r="A53" s="1170" t="s">
        <v>37</v>
      </c>
      <c r="B53" s="1252" t="s">
        <v>784</v>
      </c>
      <c r="C53" s="1253"/>
      <c r="D53" s="1253">
        <v>500000</v>
      </c>
      <c r="E53" s="782">
        <f t="shared" si="1"/>
        <v>500000</v>
      </c>
      <c r="H53" s="24"/>
    </row>
    <row r="54" spans="1:8" ht="62.45" customHeight="1">
      <c r="A54" s="1170" t="s">
        <v>39</v>
      </c>
      <c r="B54" s="1252" t="s">
        <v>785</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786</v>
      </c>
      <c r="B56" s="1252" t="s">
        <v>787</v>
      </c>
      <c r="C56" s="1253"/>
      <c r="D56" s="1253">
        <v>765645</v>
      </c>
      <c r="E56" s="782">
        <f t="shared" si="1"/>
        <v>765645</v>
      </c>
      <c r="H56" s="24"/>
    </row>
    <row r="57" spans="1:8" ht="42">
      <c r="A57" s="1329" t="s">
        <v>788</v>
      </c>
      <c r="B57" s="1252" t="s">
        <v>789</v>
      </c>
      <c r="C57" s="1253"/>
      <c r="D57" s="1253">
        <v>5000000</v>
      </c>
      <c r="E57" s="782">
        <f t="shared" si="1"/>
        <v>5000000</v>
      </c>
      <c r="H57" s="24"/>
    </row>
    <row r="58" spans="1:8" ht="42">
      <c r="A58" s="1328" t="s">
        <v>727</v>
      </c>
      <c r="B58" s="1252" t="s">
        <v>790</v>
      </c>
      <c r="C58" s="1253"/>
      <c r="D58" s="1253">
        <v>756722</v>
      </c>
      <c r="E58" s="782">
        <f t="shared" si="1"/>
        <v>756722</v>
      </c>
      <c r="H58" s="24"/>
    </row>
    <row r="59" spans="1:8" ht="63">
      <c r="A59" s="1173" t="s">
        <v>43</v>
      </c>
      <c r="B59" s="783" t="s">
        <v>791</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792</v>
      </c>
      <c r="C61" s="1253"/>
      <c r="D61" s="1253">
        <v>0</v>
      </c>
      <c r="E61" s="782">
        <f t="shared" si="1"/>
        <v>0</v>
      </c>
      <c r="H61" s="24"/>
    </row>
    <row r="62" spans="1:8" ht="86.25" customHeight="1" thickBot="1">
      <c r="A62" s="1328" t="s">
        <v>49</v>
      </c>
      <c r="B62" s="730" t="s">
        <v>793</v>
      </c>
      <c r="C62" s="731"/>
      <c r="D62" s="731">
        <v>0</v>
      </c>
      <c r="E62" s="1330">
        <f t="shared" si="1"/>
        <v>0</v>
      </c>
      <c r="H62" s="24"/>
    </row>
    <row r="63" spans="1:8" ht="24.6" customHeight="1" thickBot="1">
      <c r="A63" s="78" t="s">
        <v>55</v>
      </c>
      <c r="B63" s="500"/>
      <c r="C63" s="552">
        <f>SUM(C43:C62)</f>
        <v>5506271</v>
      </c>
      <c r="D63" s="552">
        <f>SUM(D43:D62)</f>
        <v>13293517</v>
      </c>
      <c r="E63" s="553">
        <f>SUM(E43:E62)</f>
        <v>18799788</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06.03.22    BY:  EN</v>
      </c>
      <c r="C67" s="53" t="s">
        <v>10</v>
      </c>
      <c r="D67" s="53"/>
      <c r="F67" s="24"/>
      <c r="G67" s="24"/>
      <c r="H67" s="24"/>
    </row>
    <row r="68" spans="1:13" ht="45" customHeight="1" thickBot="1">
      <c r="A68" s="1277" t="s">
        <v>728</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1" t="s">
        <v>767</v>
      </c>
      <c r="C75" s="1282"/>
      <c r="D75" s="1282"/>
      <c r="E75" s="1283"/>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768</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761</v>
      </c>
      <c r="B114" s="1257" t="s">
        <v>774</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769</v>
      </c>
      <c r="U116" s="41"/>
      <c r="V116" s="42"/>
      <c r="W116" s="43"/>
      <c r="X116" s="44"/>
      <c r="Y116" s="72"/>
      <c r="Z116" s="1290"/>
      <c r="AA116" s="1291"/>
      <c r="AB116" s="1292"/>
      <c r="AC116" s="22"/>
      <c r="AD116" s="729" t="s">
        <v>770</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771</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773</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T+lbx+Q01UhiVn8FMbZtwI9QZfLjb8c4si/dx9pgs0Qi9ZOgogIy9o9orroNekepSgWNKtRrKRiNoXH3dS1V0Q==" saltValue="CwFM7KtEwotq8jS+cL2Kng=="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22" colorId="22" zoomScale="70" zoomScaleNormal="70" zoomScaleSheetLayoutView="51" zoomScalePageLayoutView="60" workbookViewId="0">
      <selection activeCell="D57" sqref="D5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737</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48</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805</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8.2275155928111535E-2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1110</v>
      </c>
      <c r="E44" s="138">
        <f>+'EXHIBIT C'!F10</f>
        <v>2096.1999999999998</v>
      </c>
      <c r="F44" s="139">
        <f t="shared" ref="F44:F50" si="0">IF(D44=0,"0",(E44/D44-1))</f>
        <v>0.88846846846846828</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209717.82373947793</v>
      </c>
      <c r="E45" s="142">
        <f>+'EXHIBIT C'!F11</f>
        <v>208962.94</v>
      </c>
      <c r="F45" s="810">
        <f t="shared" si="0"/>
        <v>-3.5995211375818847E-3</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36818.324937027712</v>
      </c>
      <c r="E46" s="814">
        <f>+'EXHIBIT C'!F12</f>
        <v>36726.050000000003</v>
      </c>
      <c r="F46" s="810">
        <f t="shared" si="0"/>
        <v>-2.5062231154060477E-3</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6598.1446907817972</v>
      </c>
      <c r="E47" s="814">
        <f>+'EXHIBIT C'!F13</f>
        <v>6574.36</v>
      </c>
      <c r="F47" s="810">
        <f t="shared" si="0"/>
        <v>-3.604754350874817E-3</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3137.0302233902758</v>
      </c>
      <c r="E48" s="814">
        <f>+'EXHIBIT C'!F14</f>
        <v>3125.5</v>
      </c>
      <c r="F48" s="810">
        <f t="shared" si="0"/>
        <v>-3.6755219329109856E-3</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257381.3235906777</v>
      </c>
      <c r="E50" s="145">
        <f>+'EXHIBIT C'!F17</f>
        <v>257485.05</v>
      </c>
      <c r="F50" s="146">
        <f t="shared" si="0"/>
        <v>4.0300674452686813E-4</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808</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9271.2588215287797</v>
      </c>
      <c r="E69" s="159">
        <f>+'EXHIBIT C'!D20</f>
        <v>9271</v>
      </c>
      <c r="F69" s="821">
        <f t="shared" si="2"/>
        <v>-2.791654658362841E-5</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1064.8992443324937</v>
      </c>
      <c r="E70" s="824">
        <f>+'EXHIBIT C'!D21</f>
        <v>1065</v>
      </c>
      <c r="F70" s="821">
        <f t="shared" si="2"/>
        <v>9.4615211760684659E-5</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421.85530921820305</v>
      </c>
      <c r="E71" s="824">
        <f>+'EXHIBIT C'!D22</f>
        <v>422</v>
      </c>
      <c r="F71" s="821">
        <f t="shared" si="2"/>
        <v>3.4298675075361551E-4</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342.96977660972408</v>
      </c>
      <c r="E72" s="824">
        <f>+'EXHIBIT C'!D23</f>
        <v>343</v>
      </c>
      <c r="F72" s="821">
        <f t="shared" si="2"/>
        <v>8.8122605363949447E-5</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11100.983151689199</v>
      </c>
      <c r="E74" s="161">
        <f>SUM(E68:E73)</f>
        <v>11101</v>
      </c>
      <c r="F74" s="162">
        <f t="shared" si="2"/>
        <v>1.5177314089953597E-6</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29586356.845800001</v>
      </c>
      <c r="E102" s="833">
        <f>+'EXHIBIT D'!G75</f>
        <v>29586356.845800001</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1070810</v>
      </c>
      <c r="E103" s="833">
        <f>'EXHIBIT D'!G77</f>
        <v>1070810</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6733218</v>
      </c>
      <c r="E104" s="833">
        <f>'EXHIBIT D'!G81</f>
        <v>6733218</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796</v>
      </c>
      <c r="D105" s="173">
        <f>E105</f>
        <v>825607</v>
      </c>
      <c r="E105" s="174">
        <f>'EXHIBIT D'!G76</f>
        <v>825607</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38215991.845799997</v>
      </c>
      <c r="E106" s="176">
        <f>SUM(E102:E105)</f>
        <v>38215991.845799997</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739</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5727401</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5727401</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800</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0</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0</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91.789905543364185</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801</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802</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804</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6" zoomScale="70" zoomScaleNormal="70" zoomScaleSheetLayoutView="90" zoomScalePageLayoutView="70" workbookViewId="0">
      <selection activeCell="E18" sqref="E18"/>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736</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Tallahassee Community College</v>
      </c>
      <c r="D8" s="1039"/>
      <c r="E8" s="1039"/>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5727201</v>
      </c>
    </row>
    <row r="14" spans="2:7" ht="25.35" customHeight="1">
      <c r="B14" s="37" t="s">
        <v>185</v>
      </c>
      <c r="D14" s="112"/>
      <c r="E14" s="719">
        <v>0</v>
      </c>
    </row>
    <row r="15" spans="2:7" ht="25.35" customHeight="1">
      <c r="B15" s="112"/>
      <c r="C15" s="24"/>
      <c r="D15" s="112"/>
      <c r="E15" s="200"/>
    </row>
    <row r="16" spans="2:7" ht="25.35" customHeight="1">
      <c r="B16" s="24" t="s">
        <v>744</v>
      </c>
      <c r="C16" s="112"/>
      <c r="D16" s="35"/>
      <c r="E16" s="720">
        <f>+E14+E13</f>
        <v>5727201</v>
      </c>
    </row>
    <row r="17" spans="2:7" ht="25.35" customHeight="1">
      <c r="B17" s="112"/>
      <c r="C17" s="35"/>
      <c r="D17" s="112"/>
      <c r="E17" s="201"/>
    </row>
    <row r="18" spans="2:7" ht="25.35" customHeight="1">
      <c r="B18" s="37" t="s">
        <v>186</v>
      </c>
      <c r="C18" s="112"/>
      <c r="D18" s="112"/>
      <c r="E18" s="213">
        <f>+'EXHIBIT D'!G144-SUM(+'EXHIBIT D'!G132+'EXHIBIT D'!G133+'EXHIBIT D'!G134+'EXHIBIT D'!G135)</f>
        <v>63885562.845799997</v>
      </c>
      <c r="G18" s="202"/>
    </row>
    <row r="19" spans="2:7" ht="25.35" customHeight="1">
      <c r="B19" s="37" t="s">
        <v>187</v>
      </c>
      <c r="D19" s="112"/>
      <c r="E19" s="720">
        <f>+'EXHIBIT D'!G132+'EXHIBIT D'!G133+'EXHIBIT D'!G134+'EXHIBIT D'!G135</f>
        <v>0</v>
      </c>
    </row>
    <row r="20" spans="2:7" ht="25.35" customHeight="1">
      <c r="B20" s="112"/>
      <c r="D20" s="112"/>
      <c r="E20" s="208"/>
    </row>
    <row r="21" spans="2:7" ht="25.35" customHeight="1">
      <c r="B21" s="37" t="s">
        <v>188</v>
      </c>
      <c r="C21" s="112"/>
      <c r="D21" s="112"/>
      <c r="E21" s="721">
        <f>+E19+E18</f>
        <v>63885562.845799997</v>
      </c>
    </row>
    <row r="22" spans="2:7" ht="25.35" customHeight="1">
      <c r="B22" s="112"/>
      <c r="C22" s="112"/>
      <c r="D22" s="112"/>
      <c r="E22" s="208"/>
    </row>
    <row r="23" spans="2:7" ht="25.35" customHeight="1">
      <c r="B23" s="112" t="s">
        <v>189</v>
      </c>
      <c r="C23" s="112"/>
      <c r="D23" s="112"/>
      <c r="E23" s="721">
        <f>+E21+E16</f>
        <v>69612763.845799997</v>
      </c>
    </row>
    <row r="24" spans="2:7" ht="25.35" customHeight="1">
      <c r="B24" s="112"/>
      <c r="C24" s="112"/>
      <c r="D24" s="112"/>
      <c r="E24" s="208"/>
    </row>
    <row r="25" spans="2:7" ht="25.35" customHeight="1">
      <c r="B25" s="37" t="s">
        <v>190</v>
      </c>
      <c r="C25" s="112"/>
      <c r="D25" s="112"/>
      <c r="E25" s="214">
        <f>'EXHIBIT D'!G260-SUM(+'EXHIBIT D'!G231+'EXHIBIT D'!G232+'EXHIBIT D'!G233+'EXHIBIT D'!G234+'EXHIBIT D'!G235)</f>
        <v>63885563</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63885563</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5727200.8457999974</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f>+D32+D33</f>
        <v>5727200.8457999974</v>
      </c>
      <c r="J35" s="149"/>
    </row>
    <row r="36" spans="2:10" ht="25.35" customHeight="1">
      <c r="B36" s="37" t="s">
        <v>747</v>
      </c>
      <c r="C36" s="112"/>
      <c r="D36" s="112"/>
      <c r="E36" s="721">
        <f>-'EXHIBIT D'!G276</f>
        <v>0</v>
      </c>
      <c r="J36" s="207"/>
    </row>
    <row r="37" spans="2:10" ht="25.35" customHeight="1">
      <c r="D37" s="112"/>
      <c r="E37" s="206"/>
      <c r="J37" s="149"/>
    </row>
    <row r="38" spans="2:10" ht="25.35" customHeight="1">
      <c r="B38" s="112" t="s">
        <v>748</v>
      </c>
      <c r="D38" s="112"/>
      <c r="E38" s="720">
        <f>+E35-E36</f>
        <v>5727200.8457999974</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5727401</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8.2275155928111535E-2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F50" sqref="F50"/>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752</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Tallahassee Community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4.59</v>
      </c>
      <c r="D14" s="1191">
        <v>9.18</v>
      </c>
      <c r="E14" s="1191">
        <v>18.36</v>
      </c>
      <c r="F14" s="1191">
        <v>4.59</v>
      </c>
      <c r="G14" s="844">
        <f>SUM(B14:F14)</f>
        <v>128.51</v>
      </c>
      <c r="H14" s="474">
        <f>G14*30</f>
        <v>3855.2999999999997</v>
      </c>
      <c r="I14" s="24"/>
    </row>
    <row r="15" spans="1:18" s="37" customFormat="1" ht="20.100000000000001" customHeight="1">
      <c r="A15" s="112" t="s">
        <v>212</v>
      </c>
      <c r="B15" s="1192">
        <v>76.8</v>
      </c>
      <c r="C15" s="1192">
        <v>3.84</v>
      </c>
      <c r="D15" s="1192">
        <v>5.35</v>
      </c>
      <c r="E15" s="1192">
        <v>11</v>
      </c>
      <c r="F15" s="1192">
        <v>3.84</v>
      </c>
      <c r="G15" s="844">
        <f>SUM(B15:F15)</f>
        <v>100.83</v>
      </c>
      <c r="H15" s="437">
        <f>G15*30</f>
        <v>3024.9</v>
      </c>
      <c r="I15" s="24"/>
    </row>
    <row r="16" spans="1:18" s="37" customFormat="1" ht="20.100000000000001" customHeight="1" thickBot="1">
      <c r="A16" s="35" t="s">
        <v>82</v>
      </c>
      <c r="B16" s="1193">
        <v>69.900000000000006</v>
      </c>
      <c r="C16" s="1193">
        <v>3.39</v>
      </c>
      <c r="D16" s="1194"/>
      <c r="E16" s="1193">
        <v>3.39</v>
      </c>
      <c r="F16" s="1193">
        <v>3.39</v>
      </c>
      <c r="G16" s="438">
        <f>SUM(B16:F16)</f>
        <v>80.070000000000007</v>
      </c>
      <c r="H16" s="845">
        <f>G16*30</f>
        <v>2402.1000000000004</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275.37</v>
      </c>
      <c r="D29" s="1191">
        <v>18.36</v>
      </c>
      <c r="E29" s="676">
        <f>D14</f>
        <v>9.18</v>
      </c>
      <c r="F29" s="1191">
        <v>73.430000000000007</v>
      </c>
      <c r="G29" s="1191">
        <v>18.36</v>
      </c>
      <c r="H29" s="448">
        <f>SUM(B29:G29)</f>
        <v>486.49000000000007</v>
      </c>
      <c r="I29" s="468">
        <f>H29*30</f>
        <v>14594.700000000003</v>
      </c>
      <c r="J29" s="24"/>
    </row>
    <row r="30" spans="1:11" s="37" customFormat="1" ht="20.100000000000001" customHeight="1">
      <c r="A30" s="112" t="str">
        <f t="shared" si="0"/>
        <v>LOWER LEVEL - CREDIT (A &amp; P, PSV, DEVELOPMENTAL EDUCATION AND EPI)</v>
      </c>
      <c r="B30" s="848">
        <f t="shared" si="0"/>
        <v>76.8</v>
      </c>
      <c r="C30" s="1195">
        <v>230.4</v>
      </c>
      <c r="D30" s="1195">
        <v>15.36</v>
      </c>
      <c r="E30" s="849">
        <f>D15</f>
        <v>5.35</v>
      </c>
      <c r="F30" s="1195">
        <v>44</v>
      </c>
      <c r="G30" s="1195">
        <v>15.36</v>
      </c>
      <c r="H30" s="844">
        <f>SUM(B30:G30)</f>
        <v>387.27000000000004</v>
      </c>
      <c r="I30" s="437">
        <f>H30*30</f>
        <v>11618.1</v>
      </c>
    </row>
    <row r="31" spans="1:11" s="37" customFormat="1" ht="20.100000000000001" customHeight="1" thickBot="1">
      <c r="A31" s="112" t="str">
        <f t="shared" si="0"/>
        <v>CAREER CERTIFICATE AND APPLIED TECHNOLOGY DIPLOMA</v>
      </c>
      <c r="B31" s="527">
        <f t="shared" si="0"/>
        <v>69.900000000000006</v>
      </c>
      <c r="C31" s="1192">
        <v>209.7</v>
      </c>
      <c r="D31" s="1192">
        <v>13.56</v>
      </c>
      <c r="E31" s="405"/>
      <c r="F31" s="1192">
        <v>13.56</v>
      </c>
      <c r="G31" s="1192">
        <v>13.56</v>
      </c>
      <c r="H31" s="438">
        <f>SUM(B31:G31)</f>
        <v>320.28000000000003</v>
      </c>
      <c r="I31" s="845">
        <f>H31*30</f>
        <v>9608.4000000000015</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753</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zoomScale="50" zoomScaleNormal="50" zoomScaleSheetLayoutView="50" zoomScalePageLayoutView="50" workbookViewId="0">
      <selection activeCell="E14" sqref="E1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754</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Tallahassee Community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2230</v>
      </c>
      <c r="E10" s="680">
        <f>D10*0.06</f>
        <v>133.79999999999998</v>
      </c>
      <c r="F10" s="681">
        <f t="shared" ref="F10:F15" si="0">+D10-E10</f>
        <v>2096.1999999999998</v>
      </c>
      <c r="G10" s="681">
        <f>'EXHIBIT B'!B14</f>
        <v>91.79</v>
      </c>
      <c r="H10" s="682">
        <f>ROUND(+F10*G10,0)</f>
        <v>192410</v>
      </c>
      <c r="I10" s="149"/>
      <c r="J10" s="149"/>
    </row>
    <row r="11" spans="1:10" ht="20.100000000000001" customHeight="1">
      <c r="A11" s="855" t="s">
        <v>205</v>
      </c>
      <c r="B11" s="855" t="s">
        <v>133</v>
      </c>
      <c r="C11" s="856" t="s">
        <v>233</v>
      </c>
      <c r="D11" s="854">
        <v>222301</v>
      </c>
      <c r="E11" s="854">
        <f>D11*0.06</f>
        <v>13338.06</v>
      </c>
      <c r="F11" s="857">
        <f t="shared" si="0"/>
        <v>208962.94</v>
      </c>
      <c r="G11" s="857">
        <f>+'EXHIBIT B'!B15</f>
        <v>76.8</v>
      </c>
      <c r="H11" s="858">
        <f t="shared" ref="H11:H15" si="1">ROUND(+F11*G11,0)</f>
        <v>16048354</v>
      </c>
      <c r="I11" s="149"/>
      <c r="J11" s="149"/>
    </row>
    <row r="12" spans="1:10" ht="20.100000000000001" customHeight="1">
      <c r="A12" s="855" t="s">
        <v>205</v>
      </c>
      <c r="B12" s="855" t="s">
        <v>134</v>
      </c>
      <c r="C12" s="856" t="s">
        <v>234</v>
      </c>
      <c r="D12" s="854">
        <v>38659</v>
      </c>
      <c r="E12" s="854">
        <f>D12*0.05</f>
        <v>1932.95</v>
      </c>
      <c r="F12" s="857">
        <f t="shared" si="0"/>
        <v>36726.050000000003</v>
      </c>
      <c r="G12" s="857">
        <f>+'EXHIBIT B'!B15</f>
        <v>76.8</v>
      </c>
      <c r="H12" s="858">
        <f t="shared" si="1"/>
        <v>2820561</v>
      </c>
      <c r="I12" s="149"/>
      <c r="J12" s="149"/>
    </row>
    <row r="13" spans="1:10" ht="20.100000000000001" customHeight="1">
      <c r="A13" s="855" t="s">
        <v>205</v>
      </c>
      <c r="B13" s="855" t="s">
        <v>82</v>
      </c>
      <c r="C13" s="856" t="s">
        <v>235</v>
      </c>
      <c r="D13" s="859">
        <v>6994</v>
      </c>
      <c r="E13" s="859">
        <f>D13*0.06</f>
        <v>419.64</v>
      </c>
      <c r="F13" s="857">
        <f t="shared" si="0"/>
        <v>6574.36</v>
      </c>
      <c r="G13" s="857">
        <f>+'EXHIBIT B'!B16</f>
        <v>69.900000000000006</v>
      </c>
      <c r="H13" s="858">
        <f t="shared" si="1"/>
        <v>459548</v>
      </c>
      <c r="I13" s="149"/>
      <c r="J13" s="149"/>
    </row>
    <row r="14" spans="1:10" ht="20.100000000000001" customHeight="1">
      <c r="A14" s="855" t="s">
        <v>205</v>
      </c>
      <c r="B14" s="855" t="s">
        <v>135</v>
      </c>
      <c r="C14" s="856" t="s">
        <v>236</v>
      </c>
      <c r="D14" s="854">
        <v>3325</v>
      </c>
      <c r="E14" s="854">
        <f>D14*0.06</f>
        <v>199.5</v>
      </c>
      <c r="F14" s="857">
        <f t="shared" si="0"/>
        <v>3125.5</v>
      </c>
      <c r="G14" s="857">
        <f>+'EXHIBIT B'!B15</f>
        <v>76.8</v>
      </c>
      <c r="H14" s="858">
        <f t="shared" si="1"/>
        <v>240038</v>
      </c>
      <c r="I14" s="149"/>
      <c r="J14" s="149"/>
    </row>
    <row r="15" spans="1:10" ht="20.100000000000001" customHeight="1" thickBot="1">
      <c r="A15" s="860" t="s">
        <v>205</v>
      </c>
      <c r="B15" s="860" t="s">
        <v>136</v>
      </c>
      <c r="C15" s="861">
        <v>40160</v>
      </c>
      <c r="D15" s="862">
        <v>0</v>
      </c>
      <c r="E15" s="862">
        <v>0</v>
      </c>
      <c r="F15" s="863">
        <f t="shared" si="0"/>
        <v>0</v>
      </c>
      <c r="G15" s="863">
        <f>+'EXHIBIT B'!B15</f>
        <v>76.8</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273509</v>
      </c>
      <c r="E17" s="386">
        <f>SUM(E10:E15)</f>
        <v>16023.949999999999</v>
      </c>
      <c r="F17" s="387">
        <f>SUM(F10:F15)</f>
        <v>257485.05</v>
      </c>
      <c r="G17" s="387"/>
      <c r="H17" s="388">
        <f>SUM(H10:H15)</f>
        <v>19760911</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0</v>
      </c>
      <c r="E19" s="867">
        <f>'EXHIBIT B'!C29</f>
        <v>275.37</v>
      </c>
      <c r="F19" s="868">
        <f t="shared" ref="F19:F24" si="2">ROUND(+D19*E19,0)</f>
        <v>0</v>
      </c>
      <c r="G19" s="390"/>
      <c r="H19" s="390"/>
    </row>
    <row r="20" spans="1:10" ht="20.100000000000001" customHeight="1">
      <c r="A20" s="869" t="s">
        <v>220</v>
      </c>
      <c r="B20" s="869" t="s">
        <v>133</v>
      </c>
      <c r="C20" s="870" t="s">
        <v>240</v>
      </c>
      <c r="D20" s="877">
        <v>9271</v>
      </c>
      <c r="E20" s="871">
        <f>+'EXHIBIT B'!C30</f>
        <v>230.4</v>
      </c>
      <c r="F20" s="872">
        <f t="shared" si="2"/>
        <v>2136038</v>
      </c>
      <c r="G20" s="391"/>
      <c r="H20" s="391"/>
    </row>
    <row r="21" spans="1:10" ht="20.100000000000001" customHeight="1">
      <c r="A21" s="869" t="s">
        <v>220</v>
      </c>
      <c r="B21" s="869" t="s">
        <v>134</v>
      </c>
      <c r="C21" s="870" t="s">
        <v>241</v>
      </c>
      <c r="D21" s="877">
        <v>1065</v>
      </c>
      <c r="E21" s="871">
        <f>+'EXHIBIT B'!C30</f>
        <v>230.4</v>
      </c>
      <c r="F21" s="872">
        <f t="shared" si="2"/>
        <v>245376</v>
      </c>
      <c r="G21" s="391"/>
      <c r="H21" s="391"/>
    </row>
    <row r="22" spans="1:10" ht="20.100000000000001" customHeight="1">
      <c r="A22" s="869" t="s">
        <v>220</v>
      </c>
      <c r="B22" s="869" t="s">
        <v>82</v>
      </c>
      <c r="C22" s="870" t="s">
        <v>242</v>
      </c>
      <c r="D22" s="877">
        <v>422</v>
      </c>
      <c r="E22" s="871">
        <f>+'EXHIBIT B'!C31</f>
        <v>209.7</v>
      </c>
      <c r="F22" s="872">
        <f t="shared" si="2"/>
        <v>88493</v>
      </c>
      <c r="G22" s="391"/>
      <c r="H22" s="391"/>
    </row>
    <row r="23" spans="1:10" ht="20.100000000000001" customHeight="1">
      <c r="A23" s="869" t="s">
        <v>220</v>
      </c>
      <c r="B23" s="869" t="s">
        <v>135</v>
      </c>
      <c r="C23" s="870" t="s">
        <v>243</v>
      </c>
      <c r="D23" s="877">
        <v>343</v>
      </c>
      <c r="E23" s="871">
        <f>+'EXHIBIT B'!C30</f>
        <v>230.4</v>
      </c>
      <c r="F23" s="872">
        <f t="shared" si="2"/>
        <v>79027</v>
      </c>
      <c r="G23" s="391"/>
      <c r="H23" s="391"/>
    </row>
    <row r="24" spans="1:10" ht="20.100000000000001" customHeight="1" thickBot="1">
      <c r="A24" s="745" t="s">
        <v>220</v>
      </c>
      <c r="B24" s="745" t="s">
        <v>136</v>
      </c>
      <c r="C24" s="746">
        <v>40360</v>
      </c>
      <c r="D24" s="1197">
        <v>0</v>
      </c>
      <c r="E24" s="747">
        <f>+'EXHIBIT B'!C30</f>
        <v>230.4</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11101</v>
      </c>
      <c r="E26" s="875"/>
      <c r="F26" s="876">
        <f>SUM(F19:F24)</f>
        <v>2548934</v>
      </c>
      <c r="G26" s="395"/>
      <c r="H26" s="395"/>
    </row>
    <row r="27" spans="1:10" ht="20.100000000000001" customHeight="1" thickBot="1">
      <c r="A27" s="396" t="s">
        <v>244</v>
      </c>
      <c r="B27" s="396"/>
      <c r="C27" s="396"/>
      <c r="D27" s="396"/>
      <c r="E27" s="396"/>
      <c r="F27" s="397"/>
      <c r="G27" s="683"/>
      <c r="H27" s="398">
        <f>H17+F26</f>
        <v>22309845</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30</v>
      </c>
      <c r="E32" s="686">
        <v>0</v>
      </c>
      <c r="F32" s="687">
        <f>D32-E32</f>
        <v>30</v>
      </c>
      <c r="G32" s="687">
        <f>'EXHIBIT B'!B19</f>
        <v>30</v>
      </c>
      <c r="H32" s="688">
        <f>ROUND(+F32*G32,0)</f>
        <v>900</v>
      </c>
    </row>
    <row r="33" spans="1:12" ht="20.100000000000001" customHeight="1">
      <c r="A33" s="869" t="s">
        <v>250</v>
      </c>
      <c r="B33" s="869" t="s">
        <v>253</v>
      </c>
      <c r="C33" s="870" t="s">
        <v>254</v>
      </c>
      <c r="D33" s="877">
        <v>30</v>
      </c>
      <c r="E33" s="877">
        <v>0</v>
      </c>
      <c r="F33" s="871">
        <f>D33-E33</f>
        <v>30</v>
      </c>
      <c r="G33" s="871">
        <f>'EXHIBIT B'!B20</f>
        <v>30</v>
      </c>
      <c r="H33" s="872">
        <f>ROUND(+F33*G33,0)</f>
        <v>900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60</v>
      </c>
      <c r="E36" s="401">
        <f>SUM(E32:E35)</f>
        <v>0</v>
      </c>
      <c r="F36" s="402">
        <f>D36-E36</f>
        <v>60</v>
      </c>
      <c r="G36" s="402"/>
      <c r="H36" s="403">
        <f>SUM(H32:H35)</f>
        <v>1800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10</v>
      </c>
      <c r="E39" s="687">
        <f>'EXHIBIT B'!B34</f>
        <v>30</v>
      </c>
      <c r="F39" s="688">
        <f>D39*E39</f>
        <v>300</v>
      </c>
      <c r="G39" s="149"/>
      <c r="H39" s="149"/>
    </row>
    <row r="40" spans="1:12" ht="20.100000000000001" customHeight="1">
      <c r="A40" s="869" t="s">
        <v>250</v>
      </c>
      <c r="B40" s="869" t="s">
        <v>253</v>
      </c>
      <c r="C40" s="870">
        <v>40390</v>
      </c>
      <c r="D40" s="877">
        <v>10</v>
      </c>
      <c r="E40" s="871">
        <f>'EXHIBIT B'!B35</f>
        <v>30</v>
      </c>
      <c r="F40" s="872">
        <f>D40*E40</f>
        <v>300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20</v>
      </c>
      <c r="E43" s="413"/>
      <c r="F43" s="414">
        <f>SUM(F39:F42)</f>
        <v>600</v>
      </c>
      <c r="G43" s="149"/>
      <c r="H43" s="149"/>
    </row>
    <row r="44" spans="1:12" ht="20.100000000000001" customHeight="1" thickBot="1">
      <c r="A44" s="415" t="s">
        <v>260</v>
      </c>
      <c r="B44" s="416"/>
      <c r="C44" s="416"/>
      <c r="D44" s="416"/>
      <c r="E44" s="416"/>
      <c r="F44" s="416"/>
      <c r="G44" s="417"/>
      <c r="H44" s="689">
        <f>H36+F43</f>
        <v>2400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22312245</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9">
        <v>0</v>
      </c>
      <c r="C63" s="1200"/>
      <c r="D63" s="1201"/>
      <c r="E63" s="1200"/>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0</v>
      </c>
      <c r="C69" s="1210"/>
      <c r="D69" s="1211"/>
      <c r="E69" s="1210"/>
      <c r="F69" s="1211"/>
    </row>
    <row r="70" spans="1:9" ht="24.95" customHeight="1" thickBot="1">
      <c r="A70" s="374" t="s">
        <v>270</v>
      </c>
      <c r="B70" s="375">
        <f>+B69+B60</f>
        <v>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4"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Tallahassee Community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0000"/>
  </sheetPr>
  <dimension ref="A1:L282"/>
  <sheetViews>
    <sheetView showGridLines="0" tabSelected="1" topLeftCell="A61" zoomScale="70" zoomScaleNormal="70" zoomScaleSheetLayoutView="70" zoomScalePageLayoutView="70" workbookViewId="0">
      <selection activeCell="G77" sqref="G77"/>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Tallahassee Community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755</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192410</v>
      </c>
      <c r="H12" s="219"/>
    </row>
    <row r="13" spans="1:8" ht="20.100000000000001" customHeight="1">
      <c r="A13" s="625" t="s">
        <v>205</v>
      </c>
      <c r="B13" s="226"/>
      <c r="C13" s="219" t="s">
        <v>133</v>
      </c>
      <c r="D13" s="226"/>
      <c r="E13" s="226"/>
      <c r="F13" s="232" t="s">
        <v>233</v>
      </c>
      <c r="G13" s="231">
        <f>+'EXHIBIT C'!H11+'EXHIBIT C(2)'!E14</f>
        <v>16048354</v>
      </c>
      <c r="H13" s="219"/>
    </row>
    <row r="14" spans="1:8" ht="20.100000000000001" customHeight="1">
      <c r="A14" s="625" t="s">
        <v>205</v>
      </c>
      <c r="B14" s="226"/>
      <c r="C14" s="226" t="s">
        <v>134</v>
      </c>
      <c r="D14" s="226"/>
      <c r="E14" s="226"/>
      <c r="F14" s="232" t="s">
        <v>234</v>
      </c>
      <c r="G14" s="649">
        <f>+'EXHIBIT C'!H12+'EXHIBIT C(2)'!E15</f>
        <v>2820561</v>
      </c>
      <c r="H14" s="219"/>
    </row>
    <row r="15" spans="1:8" ht="20.100000000000001" customHeight="1">
      <c r="A15" s="625" t="s">
        <v>205</v>
      </c>
      <c r="B15" s="226"/>
      <c r="C15" s="233" t="s">
        <v>287</v>
      </c>
      <c r="D15" s="226"/>
      <c r="E15" s="226"/>
      <c r="F15" s="232" t="s">
        <v>235</v>
      </c>
      <c r="G15" s="649">
        <f>+'EXHIBIT C'!H13+'EXHIBIT C(2)'!E16</f>
        <v>459548</v>
      </c>
      <c r="H15" s="219"/>
    </row>
    <row r="16" spans="1:8" ht="20.100000000000001" customHeight="1">
      <c r="A16" s="625" t="s">
        <v>205</v>
      </c>
      <c r="B16" s="226"/>
      <c r="C16" s="233" t="s">
        <v>288</v>
      </c>
      <c r="D16" s="226"/>
      <c r="E16" s="226"/>
      <c r="F16" s="232" t="s">
        <v>236</v>
      </c>
      <c r="G16" s="650">
        <f>+'EXHIBIT C'!H14+'EXHIBIT C(2)'!E17</f>
        <v>240038</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19760911</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2136038</v>
      </c>
      <c r="H22" s="219"/>
    </row>
    <row r="23" spans="1:8" ht="20.100000000000001" customHeight="1">
      <c r="A23" s="626" t="s">
        <v>220</v>
      </c>
      <c r="B23" s="226"/>
      <c r="C23" s="226" t="s">
        <v>134</v>
      </c>
      <c r="D23" s="226"/>
      <c r="E23" s="226"/>
      <c r="F23" s="232" t="s">
        <v>241</v>
      </c>
      <c r="G23" s="242">
        <f>+'EXHIBIT C'!F21+'EXHIBIT C(2)'!E24</f>
        <v>245376</v>
      </c>
      <c r="H23" s="219"/>
    </row>
    <row r="24" spans="1:8" ht="20.100000000000001" customHeight="1">
      <c r="A24" s="626" t="s">
        <v>220</v>
      </c>
      <c r="B24" s="226"/>
      <c r="C24" s="233" t="s">
        <v>287</v>
      </c>
      <c r="D24" s="226"/>
      <c r="E24" s="226"/>
      <c r="F24" s="232" t="s">
        <v>242</v>
      </c>
      <c r="G24" s="242">
        <f>+'EXHIBIT C'!F22+'EXHIBIT C(2)'!E25</f>
        <v>88493</v>
      </c>
      <c r="H24" s="219"/>
    </row>
    <row r="25" spans="1:8" ht="20.100000000000001" customHeight="1">
      <c r="A25" s="626" t="s">
        <v>220</v>
      </c>
      <c r="B25" s="226"/>
      <c r="C25" s="233" t="s">
        <v>288</v>
      </c>
      <c r="D25" s="226"/>
      <c r="E25" s="226"/>
      <c r="F25" s="232" t="s">
        <v>243</v>
      </c>
      <c r="G25" s="242">
        <f>+'EXHIBIT C'!F23+'EXHIBIT C(2)'!E26</f>
        <v>79027</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2548934</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900</v>
      </c>
      <c r="H30" s="219"/>
    </row>
    <row r="31" spans="1:8" ht="20.100000000000001" customHeight="1">
      <c r="A31" s="625" t="s">
        <v>291</v>
      </c>
      <c r="B31" s="226"/>
      <c r="C31" s="219" t="s">
        <v>253</v>
      </c>
      <c r="D31" s="226"/>
      <c r="E31" s="226"/>
      <c r="F31" s="232" t="s">
        <v>254</v>
      </c>
      <c r="G31" s="240">
        <f>'EXHIBIT C'!H33</f>
        <v>900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1800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300</v>
      </c>
      <c r="H37" s="219"/>
    </row>
    <row r="38" spans="1:8" ht="20.100000000000001" customHeight="1">
      <c r="A38" s="625" t="s">
        <v>294</v>
      </c>
      <c r="B38" s="226"/>
      <c r="C38" s="1060" t="s">
        <v>253</v>
      </c>
      <c r="D38" s="1060"/>
      <c r="E38" s="1060"/>
      <c r="F38" s="232" t="s">
        <v>259</v>
      </c>
      <c r="G38" s="242">
        <f>'EXHIBIT C'!F40</f>
        <v>300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600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22312245</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50000</v>
      </c>
      <c r="H49" s="219"/>
    </row>
    <row r="50" spans="1:8" ht="20.100000000000001" customHeight="1">
      <c r="A50" s="625" t="s">
        <v>306</v>
      </c>
      <c r="B50" s="226"/>
      <c r="C50" s="226"/>
      <c r="D50" s="226"/>
      <c r="E50" s="226"/>
      <c r="F50" s="245" t="s">
        <v>307</v>
      </c>
      <c r="G50" s="569">
        <v>550000</v>
      </c>
      <c r="H50" s="219"/>
    </row>
    <row r="51" spans="1:8" ht="20.100000000000001" customHeight="1">
      <c r="A51" s="625" t="s">
        <v>308</v>
      </c>
      <c r="B51" s="226"/>
      <c r="C51" s="226"/>
      <c r="D51" s="226"/>
      <c r="E51" s="226"/>
      <c r="F51" s="230">
        <v>40450</v>
      </c>
      <c r="G51" s="569">
        <v>500000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757326</v>
      </c>
      <c r="H58" s="219"/>
    </row>
    <row r="59" spans="1:8" ht="20.100000000000001" customHeight="1">
      <c r="A59" s="626" t="s">
        <v>323</v>
      </c>
      <c r="B59" s="229"/>
      <c r="C59" s="229"/>
      <c r="D59" s="229"/>
      <c r="E59" s="229"/>
      <c r="F59" s="245" t="s">
        <v>324</v>
      </c>
      <c r="G59" s="569">
        <v>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24169571</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29586356.845800001</v>
      </c>
      <c r="H75" s="219"/>
    </row>
    <row r="76" spans="1:8" ht="20.100000000000001" customHeight="1">
      <c r="A76" s="625" t="s">
        <v>797</v>
      </c>
      <c r="B76" s="226"/>
      <c r="C76" s="226"/>
      <c r="D76" s="226"/>
      <c r="E76" s="226"/>
      <c r="F76" s="235">
        <v>42130</v>
      </c>
      <c r="G76" s="652">
        <v>825607</v>
      </c>
      <c r="H76" s="219"/>
    </row>
    <row r="77" spans="1:8" ht="20.100000000000001" customHeight="1">
      <c r="A77" s="628" t="s">
        <v>341</v>
      </c>
      <c r="B77" s="629"/>
      <c r="C77" s="629"/>
      <c r="D77" s="629"/>
      <c r="E77" s="629"/>
      <c r="F77" s="248" t="s">
        <v>342</v>
      </c>
      <c r="G77" s="653">
        <v>1070810</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190418</v>
      </c>
      <c r="H80" s="219"/>
    </row>
    <row r="81" spans="1:10" ht="20.100000000000001" customHeight="1">
      <c r="A81" s="625" t="s">
        <v>349</v>
      </c>
      <c r="B81" s="226"/>
      <c r="C81" s="226"/>
      <c r="D81" s="226"/>
      <c r="E81" s="226"/>
      <c r="F81" s="232" t="s">
        <v>350</v>
      </c>
      <c r="G81" s="651">
        <f>'CHECK SHEET'!D104</f>
        <v>6733218</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309582</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38715991.845799997</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500000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500000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5000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5000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0</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495000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495000</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735</v>
      </c>
      <c r="B138" s="226"/>
      <c r="C138" s="226"/>
      <c r="D138" s="226"/>
      <c r="E138" s="226"/>
      <c r="F138" s="1255"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63885562.845799997</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1937398</v>
      </c>
      <c r="H148" s="219"/>
    </row>
    <row r="149" spans="1:8" ht="20.100000000000001" customHeight="1">
      <c r="A149" s="625" t="s">
        <v>417</v>
      </c>
      <c r="B149" s="219"/>
      <c r="C149" s="219"/>
      <c r="D149" s="219"/>
      <c r="E149" s="219"/>
      <c r="F149" s="232" t="s">
        <v>418</v>
      </c>
      <c r="G149" s="574">
        <v>1065089</v>
      </c>
      <c r="H149" s="219"/>
    </row>
    <row r="150" spans="1:8" ht="20.100000000000001" customHeight="1">
      <c r="A150" s="625" t="s">
        <v>419</v>
      </c>
      <c r="B150" s="219"/>
      <c r="C150" s="219"/>
      <c r="D150" s="219"/>
      <c r="E150" s="219"/>
      <c r="F150" s="232" t="s">
        <v>420</v>
      </c>
      <c r="G150" s="574">
        <v>525010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9395963</v>
      </c>
      <c r="H153" s="219"/>
    </row>
    <row r="154" spans="1:8" ht="20.100000000000001" customHeight="1">
      <c r="A154" s="625" t="s">
        <v>427</v>
      </c>
      <c r="B154" s="226"/>
      <c r="C154" s="226"/>
      <c r="D154" s="226"/>
      <c r="E154" s="226"/>
      <c r="F154" s="232" t="s">
        <v>428</v>
      </c>
      <c r="G154" s="574">
        <v>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9663460</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f>515562+2821081</f>
        <v>3336643</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4021936</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3603720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449584</v>
      </c>
      <c r="H178" s="219"/>
    </row>
    <row r="179" spans="1:8" ht="20.100000000000001" customHeight="1">
      <c r="A179" s="625" t="s">
        <v>473</v>
      </c>
      <c r="B179" s="226"/>
      <c r="C179" s="226"/>
      <c r="D179" s="226"/>
      <c r="E179" s="226"/>
      <c r="F179" s="232" t="s">
        <v>474</v>
      </c>
      <c r="G179" s="574">
        <v>2017423</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2738599</v>
      </c>
      <c r="H186" s="219"/>
    </row>
    <row r="187" spans="1:8" ht="20.100000000000001" customHeight="1">
      <c r="A187" s="625" t="s">
        <v>489</v>
      </c>
      <c r="B187" s="226"/>
      <c r="C187" s="226"/>
      <c r="D187" s="226"/>
      <c r="E187" s="226"/>
      <c r="F187" s="232" t="s">
        <v>490</v>
      </c>
      <c r="G187" s="574">
        <v>3651466</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4979272</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3000000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50385563</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f>396400+1500+1000</f>
        <v>398900</v>
      </c>
      <c r="H200" s="219"/>
    </row>
    <row r="201" spans="1:8" ht="20.100000000000001" customHeight="1">
      <c r="A201" s="625" t="s">
        <v>508</v>
      </c>
      <c r="B201" s="226"/>
      <c r="C201" s="226"/>
      <c r="D201" s="226"/>
      <c r="E201" s="226"/>
      <c r="F201" s="232" t="s">
        <v>509</v>
      </c>
      <c r="G201" s="574">
        <v>57625</v>
      </c>
      <c r="H201" s="219"/>
    </row>
    <row r="202" spans="1:8" ht="20.100000000000001" customHeight="1">
      <c r="A202" s="625" t="s">
        <v>510</v>
      </c>
      <c r="B202" s="226"/>
      <c r="C202" s="226"/>
      <c r="D202" s="226"/>
      <c r="E202" s="226"/>
      <c r="F202" s="232" t="s">
        <v>511</v>
      </c>
      <c r="G202" s="574">
        <f>218700+200000</f>
        <v>418700</v>
      </c>
      <c r="H202" s="219"/>
    </row>
    <row r="203" spans="1:8" ht="20.100000000000001" customHeight="1">
      <c r="A203" s="625" t="s">
        <v>512</v>
      </c>
      <c r="B203" s="226"/>
      <c r="C203" s="226"/>
      <c r="D203" s="226"/>
      <c r="E203" s="226"/>
      <c r="F203" s="232" t="s">
        <v>513</v>
      </c>
      <c r="G203" s="574">
        <f>144600+250+250</f>
        <v>145100</v>
      </c>
      <c r="H203" s="219"/>
    </row>
    <row r="204" spans="1:8" ht="20.100000000000001" customHeight="1">
      <c r="A204" s="625" t="s">
        <v>514</v>
      </c>
      <c r="B204" s="226"/>
      <c r="C204" s="226"/>
      <c r="D204" s="226"/>
      <c r="E204" s="226"/>
      <c r="F204" s="232" t="s">
        <v>515</v>
      </c>
      <c r="G204" s="574">
        <f>625170</f>
        <v>625170</v>
      </c>
      <c r="H204" s="219"/>
    </row>
    <row r="205" spans="1:8" ht="20.100000000000001" customHeight="1">
      <c r="A205" s="625" t="s">
        <v>516</v>
      </c>
      <c r="B205" s="226"/>
      <c r="C205" s="226"/>
      <c r="D205" s="226"/>
      <c r="E205" s="226"/>
      <c r="F205" s="232" t="s">
        <v>517</v>
      </c>
      <c r="G205" s="574">
        <f>320535+18049+335+335</f>
        <v>339254</v>
      </c>
      <c r="H205" s="219"/>
    </row>
    <row r="206" spans="1:8" ht="20.100000000000001" customHeight="1">
      <c r="A206" s="625" t="s">
        <v>733</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1166761</v>
      </c>
      <c r="H207" s="219"/>
    </row>
    <row r="208" spans="1:8" ht="20.100000000000001" customHeight="1">
      <c r="A208" s="625" t="s">
        <v>520</v>
      </c>
      <c r="B208" s="226"/>
      <c r="C208" s="226"/>
      <c r="D208" s="226"/>
      <c r="E208" s="226"/>
      <c r="F208" s="232" t="s">
        <v>521</v>
      </c>
      <c r="G208" s="574">
        <f>1614488-1614488</f>
        <v>0</v>
      </c>
      <c r="H208" s="219"/>
    </row>
    <row r="209" spans="1:8" ht="20.100000000000001" customHeight="1">
      <c r="A209" s="625" t="s">
        <v>522</v>
      </c>
      <c r="B209" s="226"/>
      <c r="C209" s="226"/>
      <c r="D209" s="226"/>
      <c r="E209" s="226"/>
      <c r="F209" s="232" t="s">
        <v>523</v>
      </c>
      <c r="G209" s="574">
        <f>45000+50000</f>
        <v>95000</v>
      </c>
      <c r="H209" s="219"/>
    </row>
    <row r="210" spans="1:8" ht="20.100000000000001" customHeight="1">
      <c r="A210" s="625" t="s">
        <v>524</v>
      </c>
      <c r="B210" s="226"/>
      <c r="C210" s="226"/>
      <c r="D210" s="226"/>
      <c r="E210" s="226"/>
      <c r="F210" s="232" t="s">
        <v>525</v>
      </c>
      <c r="G210" s="574">
        <v>125000</v>
      </c>
      <c r="H210" s="219"/>
    </row>
    <row r="211" spans="1:8" ht="20.100000000000001" customHeight="1">
      <c r="A211" s="625" t="s">
        <v>526</v>
      </c>
      <c r="B211" s="226"/>
      <c r="C211" s="226"/>
      <c r="D211" s="226"/>
      <c r="E211" s="226"/>
      <c r="F211" s="232" t="s">
        <v>527</v>
      </c>
      <c r="G211" s="574">
        <f>285000+1614488</f>
        <v>1899488</v>
      </c>
      <c r="H211" s="219"/>
    </row>
    <row r="212" spans="1:8" ht="20.100000000000001" customHeight="1">
      <c r="A212" s="625" t="s">
        <v>528</v>
      </c>
      <c r="B212" s="226"/>
      <c r="C212" s="226"/>
      <c r="D212" s="226"/>
      <c r="E212" s="226"/>
      <c r="F212" s="232" t="s">
        <v>529</v>
      </c>
      <c r="G212" s="574">
        <v>25000</v>
      </c>
      <c r="H212" s="219"/>
    </row>
    <row r="213" spans="1:8" ht="20.100000000000001" customHeight="1">
      <c r="A213" s="625" t="s">
        <v>530</v>
      </c>
      <c r="B213" s="226"/>
      <c r="C213" s="226"/>
      <c r="D213" s="226"/>
      <c r="E213" s="226"/>
      <c r="F213" s="232" t="s">
        <v>531</v>
      </c>
      <c r="G213" s="574">
        <f>66000+500</f>
        <v>66500</v>
      </c>
      <c r="H213" s="219"/>
    </row>
    <row r="214" spans="1:8" ht="20.100000000000001" customHeight="1">
      <c r="A214" s="625" t="s">
        <v>532</v>
      </c>
      <c r="B214" s="219"/>
      <c r="C214" s="219"/>
      <c r="D214" s="219"/>
      <c r="E214" s="219"/>
      <c r="F214" s="232" t="s">
        <v>533</v>
      </c>
      <c r="G214" s="574">
        <v>500</v>
      </c>
      <c r="H214" s="219"/>
    </row>
    <row r="215" spans="1:8" ht="20.100000000000001" customHeight="1">
      <c r="A215" s="625" t="s">
        <v>534</v>
      </c>
      <c r="B215" s="219"/>
      <c r="C215" s="219"/>
      <c r="D215" s="219"/>
      <c r="E215" s="219"/>
      <c r="F215" s="235">
        <v>64007</v>
      </c>
      <c r="G215" s="574">
        <v>100000</v>
      </c>
      <c r="H215" s="219"/>
    </row>
    <row r="216" spans="1:8" ht="20.100000000000001" customHeight="1">
      <c r="A216" s="625" t="s">
        <v>535</v>
      </c>
      <c r="B216" s="226"/>
      <c r="C216" s="226"/>
      <c r="D216" s="226"/>
      <c r="E216" s="226"/>
      <c r="F216" s="232" t="s">
        <v>536</v>
      </c>
      <c r="G216" s="574">
        <f>2153960+1250+1000</f>
        <v>2156210</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f>55250+500+700000</f>
        <v>755750</v>
      </c>
      <c r="H219" s="219"/>
    </row>
    <row r="220" spans="1:8" ht="20.100000000000001" customHeight="1">
      <c r="A220" s="625" t="s">
        <v>542</v>
      </c>
      <c r="B220" s="226"/>
      <c r="C220" s="226"/>
      <c r="D220" s="226"/>
      <c r="E220" s="226"/>
      <c r="F220" s="232" t="s">
        <v>543</v>
      </c>
      <c r="G220" s="574">
        <f>1141670+5000-700000</f>
        <v>446670</v>
      </c>
      <c r="H220" s="219"/>
    </row>
    <row r="221" spans="1:8" ht="20.100000000000001" customHeight="1">
      <c r="A221" s="625" t="s">
        <v>544</v>
      </c>
      <c r="B221" s="219"/>
      <c r="C221" s="219"/>
      <c r="D221" s="219"/>
      <c r="E221" s="219"/>
      <c r="F221" s="253" t="s">
        <v>545</v>
      </c>
      <c r="G221" s="574">
        <v>709700</v>
      </c>
      <c r="H221" s="219"/>
    </row>
    <row r="222" spans="1:8" ht="20.100000000000001" customHeight="1">
      <c r="A222" s="625" t="s">
        <v>546</v>
      </c>
      <c r="B222" s="226"/>
      <c r="C222" s="226"/>
      <c r="D222" s="226"/>
      <c r="E222" s="226"/>
      <c r="F222" s="232" t="s">
        <v>547</v>
      </c>
      <c r="G222" s="574">
        <v>227385</v>
      </c>
      <c r="H222" s="219"/>
    </row>
    <row r="223" spans="1:8" ht="20.100000000000001" customHeight="1">
      <c r="A223" s="625" t="s">
        <v>548</v>
      </c>
      <c r="B223" s="226"/>
      <c r="C223" s="226"/>
      <c r="D223" s="226"/>
      <c r="E223" s="226"/>
      <c r="F223" s="232" t="s">
        <v>549</v>
      </c>
      <c r="G223" s="574">
        <f>422980+2500+82890</f>
        <v>508370</v>
      </c>
      <c r="H223" s="219"/>
    </row>
    <row r="224" spans="1:8" ht="20.100000000000001" customHeight="1">
      <c r="A224" s="626" t="s">
        <v>550</v>
      </c>
      <c r="B224" s="229"/>
      <c r="C224" s="229"/>
      <c r="D224" s="229"/>
      <c r="E224" s="229"/>
      <c r="F224" s="245" t="s">
        <v>551</v>
      </c>
      <c r="G224" s="574">
        <v>185000</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50000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f>78750+2266602+200+152365</f>
        <v>2497917</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250000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13250000</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95000</v>
      </c>
      <c r="H245" s="219"/>
    </row>
    <row r="246" spans="1:10" ht="20.100000000000001" customHeight="1">
      <c r="A246" s="625" t="s">
        <v>584</v>
      </c>
      <c r="B246" s="226"/>
      <c r="C246" s="226"/>
      <c r="D246" s="226"/>
      <c r="E246" s="226"/>
      <c r="F246" s="232" t="s">
        <v>585</v>
      </c>
      <c r="G246" s="574">
        <v>155000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764</v>
      </c>
      <c r="B248" s="1311"/>
      <c r="C248" s="1311"/>
      <c r="D248" s="1311"/>
      <c r="E248" s="1311"/>
      <c r="F248" s="1339">
        <v>73001</v>
      </c>
      <c r="G248" s="574">
        <v>0</v>
      </c>
      <c r="H248" s="662"/>
      <c r="I248" s="222"/>
    </row>
    <row r="249" spans="1:10" ht="20.100000000000001" customHeight="1">
      <c r="A249" s="1310" t="s">
        <v>765</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250000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63885563</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5727401</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5727401</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5727401</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BF83145013674EB41ABA822DE2FF8D" ma:contentTypeVersion="14" ma:contentTypeDescription="Create a new document." ma:contentTypeScope="" ma:versionID="c3b1020720b84cdebb38b4bb1da95403">
  <xsd:schema xmlns:xsd="http://www.w3.org/2001/XMLSchema" xmlns:xs="http://www.w3.org/2001/XMLSchema" xmlns:p="http://schemas.microsoft.com/office/2006/metadata/properties" xmlns:ns3="8381a9f4-69bb-46c0-a16f-bca2e090557f" xmlns:ns4="71aa876b-5e48-4053-bde2-5ce2db783b47" targetNamespace="http://schemas.microsoft.com/office/2006/metadata/properties" ma:root="true" ma:fieldsID="9dcf95c8e464f9f07735bdc68dc76bae" ns3:_="" ns4:_="">
    <xsd:import namespace="8381a9f4-69bb-46c0-a16f-bca2e090557f"/>
    <xsd:import namespace="71aa876b-5e48-4053-bde2-5ce2db783b4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1a9f4-69bb-46c0-a16f-bca2e090557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a876b-5e48-4053-bde2-5ce2db783b4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dcmitype/"/>
    <ds:schemaRef ds:uri="71aa876b-5e48-4053-bde2-5ce2db783b47"/>
    <ds:schemaRef ds:uri="http://purl.org/dc/elements/1.1/"/>
    <ds:schemaRef ds:uri="http://schemas.microsoft.com/office/2006/metadata/properties"/>
    <ds:schemaRef ds:uri="8381a9f4-69bb-46c0-a16f-bca2e090557f"/>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E1A6D14E-3E5B-4342-9DC5-0FC6358716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1a9f4-69bb-46c0-a16f-bca2e090557f"/>
    <ds:schemaRef ds:uri="71aa876b-5e48-4053-bde2-5ce2db783b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Amy Bradbury</cp:lastModifiedBy>
  <cp:revision/>
  <cp:lastPrinted>2021-05-06T15:15:13Z</cp:lastPrinted>
  <dcterms:created xsi:type="dcterms:W3CDTF">2005-03-22T15:46:43Z</dcterms:created>
  <dcterms:modified xsi:type="dcterms:W3CDTF">2022-06-27T19:16:16Z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0x0101001FBF83145013674EB41ABA822DE2FF8D</vt:lpwstr>
  </property>
</Properties>
</file>