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autoCompressPictures="0"/>
  <mc:AlternateContent xmlns:mc="http://schemas.openxmlformats.org/markup-compatibility/2006">
    <mc:Choice Requires="x15">
      <x15ac:absPath xmlns:x15ac="http://schemas.microsoft.com/office/spreadsheetml/2010/11/ac" url="D:\2022-23 Budget Prep\State Repors\"/>
    </mc:Choice>
  </mc:AlternateContent>
  <xr:revisionPtr revIDLastSave="0" documentId="13_ncr:1_{44B89746-8882-4C94-9D80-5E298540C633}" xr6:coauthVersionLast="47" xr6:coauthVersionMax="48" xr10:uidLastSave="{00000000-0000-0000-0000-000000000000}"/>
  <bookViews>
    <workbookView xWindow="-120" yWindow="-120" windowWidth="29040" windowHeight="15840" tabRatio="769" firstSheet="3" activeTab="5" xr2:uid="{00000000-000D-0000-FFFF-FFFF00000000}"/>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91028"/>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G194" i="7" l="1"/>
  <c r="G187" i="7"/>
  <c r="G186" i="7"/>
  <c r="G179" i="7"/>
  <c r="G76" i="7" l="1"/>
  <c r="G80" i="7"/>
  <c r="D69" i="15" l="1"/>
  <c r="E14" i="4"/>
  <c r="G276" i="7" l="1"/>
  <c r="E13" i="4" l="1"/>
  <c r="G205" i="7" l="1"/>
  <c r="G134" i="7" l="1"/>
  <c r="G102" i="7"/>
  <c r="G59" i="7" l="1"/>
  <c r="D22" i="6" l="1"/>
  <c r="D23" i="6"/>
  <c r="D21" i="6"/>
  <c r="D20" i="6"/>
  <c r="D19" i="6"/>
  <c r="D15" i="6"/>
  <c r="E14" i="6"/>
  <c r="D14" i="6"/>
  <c r="E13" i="6"/>
  <c r="D13" i="6"/>
  <c r="E12" i="6"/>
  <c r="D12" i="6"/>
  <c r="E11" i="6"/>
  <c r="D11" i="6"/>
  <c r="E10" i="6"/>
  <c r="D10" i="6"/>
  <c r="E11" i="8" l="1"/>
  <c r="E105" i="3" l="1"/>
  <c r="D105" i="3" s="1"/>
  <c r="F105" i="3" s="1"/>
  <c r="E19" i="4"/>
  <c r="C63" i="23" l="1"/>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G32" i="6"/>
  <c r="F33" i="6"/>
  <c r="G33" i="6"/>
  <c r="F34" i="6"/>
  <c r="G34" i="6"/>
  <c r="H34" i="6"/>
  <c r="G32" i="7"/>
  <c r="F35" i="6"/>
  <c r="G35" i="6"/>
  <c r="E19" i="6"/>
  <c r="F19" i="6"/>
  <c r="G21" i="7" s="1"/>
  <c r="E20" i="6"/>
  <c r="F20" i="6"/>
  <c r="G22" i="7" s="1"/>
  <c r="E21" i="6"/>
  <c r="F21" i="6" s="1"/>
  <c r="G23" i="7" s="1"/>
  <c r="E22" i="6"/>
  <c r="F22" i="6" s="1"/>
  <c r="G24" i="7" s="1"/>
  <c r="E23" i="6"/>
  <c r="F23" i="6" s="1"/>
  <c r="G25" i="7" s="1"/>
  <c r="E24" i="6"/>
  <c r="F24" i="6" s="1"/>
  <c r="G26" i="7" s="1"/>
  <c r="B34" i="5"/>
  <c r="E39" i="6" s="1"/>
  <c r="F39" i="6" s="1"/>
  <c r="B35" i="5"/>
  <c r="E40" i="6" s="1"/>
  <c r="F40" i="6" s="1"/>
  <c r="G38" i="7" s="1"/>
  <c r="B37" i="5"/>
  <c r="E41" i="6"/>
  <c r="F41" i="6"/>
  <c r="G39" i="7" s="1"/>
  <c r="B38" i="5"/>
  <c r="E42" i="6"/>
  <c r="F42" i="6"/>
  <c r="G40" i="7" s="1"/>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E63" i="23" s="1"/>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s="1"/>
  <c r="D65" i="22"/>
  <c r="D67" i="22"/>
  <c r="D69" i="22" s="1"/>
  <c r="D59" i="22"/>
  <c r="D60" i="22" s="1"/>
  <c r="B52" i="22"/>
  <c r="E33" i="22"/>
  <c r="E34" i="22" s="1"/>
  <c r="D33" i="22"/>
  <c r="D34" i="22"/>
  <c r="D26" i="22"/>
  <c r="D38" i="22"/>
  <c r="C38" i="22"/>
  <c r="E15" i="22"/>
  <c r="D15" i="22"/>
  <c r="B46" i="22"/>
  <c r="E26" i="22"/>
  <c r="E59" i="22"/>
  <c r="E60" i="22" s="1"/>
  <c r="E38" i="22"/>
  <c r="B29" i="5"/>
  <c r="G14" i="5"/>
  <c r="H14" i="5" s="1"/>
  <c r="G258" i="7"/>
  <c r="E15" i="8"/>
  <c r="E36" i="6"/>
  <c r="D36" i="6"/>
  <c r="F36" i="6" s="1"/>
  <c r="D43" i="6"/>
  <c r="D26" i="6"/>
  <c r="E17" i="6"/>
  <c r="G20" i="5"/>
  <c r="H20" i="5" s="1"/>
  <c r="G19" i="5"/>
  <c r="H19" i="5" s="1"/>
  <c r="G22" i="5"/>
  <c r="H22" i="5" s="1"/>
  <c r="G23" i="5"/>
  <c r="H23" i="5" s="1"/>
  <c r="E20" i="12"/>
  <c r="E30" i="12" s="1"/>
  <c r="E29" i="12"/>
  <c r="G196" i="7"/>
  <c r="D21" i="8"/>
  <c r="E68" i="3"/>
  <c r="C94" i="12"/>
  <c r="B31" i="5"/>
  <c r="H31" i="5"/>
  <c r="I31" i="5" s="1"/>
  <c r="B30" i="5"/>
  <c r="G16" i="5"/>
  <c r="H16" i="5" s="1"/>
  <c r="G15" i="5"/>
  <c r="H15" i="5" s="1"/>
  <c r="D96" i="8"/>
  <c r="C96" i="8"/>
  <c r="B69" i="6"/>
  <c r="C92" i="3" s="1"/>
  <c r="E69" i="3"/>
  <c r="E70" i="3"/>
  <c r="E71" i="3"/>
  <c r="E72" i="3"/>
  <c r="E73" i="3"/>
  <c r="B21" i="8"/>
  <c r="C21" i="8"/>
  <c r="E10" i="8"/>
  <c r="E12" i="8"/>
  <c r="E16" i="8"/>
  <c r="E17" i="8"/>
  <c r="E18" i="8"/>
  <c r="E19" i="8"/>
  <c r="E20" i="8"/>
  <c r="E36" i="4"/>
  <c r="C127" i="3" s="1"/>
  <c r="D33" i="4"/>
  <c r="B60" i="6"/>
  <c r="C96" i="3" s="1"/>
  <c r="E26" i="4"/>
  <c r="E16" i="4"/>
  <c r="E67" i="22"/>
  <c r="E14" i="8"/>
  <c r="G240" i="7"/>
  <c r="X147" i="23"/>
  <c r="D66" i="22"/>
  <c r="D68" i="22"/>
  <c r="H35" i="6"/>
  <c r="G33" i="7" s="1"/>
  <c r="H34" i="5"/>
  <c r="I34" i="5" s="1"/>
  <c r="H38" i="5"/>
  <c r="I38" i="5"/>
  <c r="H30" i="5"/>
  <c r="I30" i="5" s="1"/>
  <c r="C93" i="3"/>
  <c r="H37" i="5"/>
  <c r="I37" i="5" s="1"/>
  <c r="D17" i="6"/>
  <c r="F12" i="6"/>
  <c r="H12" i="6" s="1"/>
  <c r="G14" i="7" s="1"/>
  <c r="F11" i="6"/>
  <c r="H11" i="6" s="1"/>
  <c r="G13" i="7" s="1"/>
  <c r="F14" i="6"/>
  <c r="H14" i="6" s="1"/>
  <c r="G16" i="7" s="1"/>
  <c r="H13" i="6"/>
  <c r="G15" i="7" s="1"/>
  <c r="F15" i="6"/>
  <c r="E49" i="3" s="1"/>
  <c r="F10" i="6"/>
  <c r="E44" i="3"/>
  <c r="E47" i="3"/>
  <c r="E48" i="3"/>
  <c r="E45" i="3"/>
  <c r="H10" i="6"/>
  <c r="G12" i="7" s="1"/>
  <c r="C111" i="3" l="1"/>
  <c r="H33" i="6"/>
  <c r="G31" i="7" s="1"/>
  <c r="H15" i="6"/>
  <c r="G17" i="7" s="1"/>
  <c r="G19" i="7" s="1"/>
  <c r="E46" i="3"/>
  <c r="D128" i="15"/>
  <c r="C144" i="3" s="1"/>
  <c r="H35" i="5"/>
  <c r="I35" i="5" s="1"/>
  <c r="H32" i="6"/>
  <c r="G30" i="7" s="1"/>
  <c r="G37" i="7"/>
  <c r="G42" i="7" s="1"/>
  <c r="F43" i="6"/>
  <c r="E68" i="22"/>
  <c r="E69" i="22"/>
  <c r="E70" i="22"/>
  <c r="E74" i="3"/>
  <c r="C113" i="3"/>
  <c r="E61" i="22"/>
  <c r="G75" i="7"/>
  <c r="G85" i="7" s="1"/>
  <c r="D106" i="3"/>
  <c r="D70" i="22"/>
  <c r="D62" i="22"/>
  <c r="H29" i="5"/>
  <c r="I29" i="5" s="1"/>
  <c r="F17" i="6"/>
  <c r="E50" i="3" s="1"/>
  <c r="B70" i="6"/>
  <c r="E62" i="22"/>
  <c r="D61" i="22"/>
  <c r="C95" i="3"/>
  <c r="E21" i="8"/>
  <c r="F121" i="15"/>
  <c r="G260" i="7"/>
  <c r="E25" i="4" s="1"/>
  <c r="E28" i="4" s="1"/>
  <c r="T119" i="23"/>
  <c r="C112" i="3"/>
  <c r="G28"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E102" i="3"/>
  <c r="E106" i="3" s="1"/>
  <c r="G35" i="7" l="1"/>
  <c r="G44" i="7" s="1"/>
  <c r="G63" i="7" s="1"/>
  <c r="G144" i="7" s="1"/>
  <c r="E18" i="4" s="1"/>
  <c r="E21" i="4" s="1"/>
  <c r="E23" i="4" s="1"/>
  <c r="H36" i="6"/>
  <c r="H17" i="6"/>
  <c r="C137" i="3"/>
  <c r="F128" i="15"/>
  <c r="D139" i="15"/>
  <c r="H27" i="6"/>
  <c r="H44" i="6"/>
  <c r="F123" i="15"/>
  <c r="C114" i="3"/>
  <c r="C139" i="3"/>
  <c r="F129" i="15"/>
  <c r="F139" i="15" s="1"/>
  <c r="C147" i="3"/>
  <c r="D141" i="15"/>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G272" i="7" l="1"/>
  <c r="H46" i="6"/>
  <c r="C34" i="3" s="1"/>
  <c r="D32" i="4"/>
  <c r="C153" i="3"/>
  <c r="F141" i="15"/>
  <c r="E35" i="4" l="1"/>
  <c r="E38" i="4" s="1"/>
  <c r="G271" i="7"/>
  <c r="E40" i="4" s="1"/>
  <c r="G274" i="7" l="1"/>
  <c r="G278" i="7" s="1"/>
  <c r="C120" i="3" s="1"/>
  <c r="C119" i="3"/>
  <c r="E44" i="4"/>
  <c r="C17" i="3" s="1"/>
  <c r="C121" i="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xr:uid="{00000000-0006-0000-0200-000001000000}">
      <text>
        <r>
          <rPr>
            <b/>
            <sz val="9"/>
            <color indexed="81"/>
            <rFont val="Tahoma"/>
            <family val="2"/>
          </rPr>
          <t>Nieto, Eve:</t>
        </r>
        <r>
          <rPr>
            <sz val="9"/>
            <color indexed="81"/>
            <rFont val="Tahoma"/>
            <family val="2"/>
          </rPr>
          <t xml:space="preserve">
GAA APPROPRIATION 129.
EN 5.5.21
</t>
        </r>
      </text>
    </comment>
    <comment ref="B6" authorId="1" shapeId="0" xr:uid="{00000000-0006-0000-0200-000002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A40" authorId="0"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8"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B76" authorId="4" shapeId="0" xr:uid="{00000000-0006-0000-0200-000006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76" authorId="5"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14" authorId="6"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15" authorId="7" shapeId="0" xr:uid="{00000000-0006-0000-0200-000009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8" authorId="8" shapeId="0" xr:uid="{00000000-0006-0000-0200-00000A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8" authorId="9" shapeId="0" xr:uid="{00000000-0006-0000-0200-00000B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8" authorId="10"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8" authorId="11" shapeId="0" xr:uid="{00000000-0006-0000-0200-00000D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8" authorId="12"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8" authorId="13"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8" authorId="14" shapeId="0" xr:uid="{00000000-0006-0000-0200-000010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8" authorId="15"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8" authorId="16"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8" authorId="17" shapeId="0" xr:uid="{00000000-0006-0000-0200-000013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8" authorId="18" shapeId="0" xr:uid="{00000000-0006-0000-0200-000014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8" authorId="19"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8" authorId="20" shapeId="0" xr:uid="{00000000-0006-0000-0200-000016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8" authorId="0" shapeId="0" xr:uid="{00000000-0006-0000-0200-000017000000}">
      <text>
        <r>
          <rPr>
            <b/>
            <sz val="9"/>
            <color indexed="81"/>
            <rFont val="Tahoma"/>
            <family val="2"/>
          </rPr>
          <t>Nieto, Eve:</t>
        </r>
        <r>
          <rPr>
            <sz val="9"/>
            <color indexed="81"/>
            <rFont val="Tahoma"/>
            <family val="2"/>
          </rPr>
          <t xml:space="preserve">
Formulas in place.
 Complete columns AE and AF first. </t>
        </r>
      </text>
    </comment>
    <comment ref="AA118" authorId="21" shapeId="0" xr:uid="{00000000-0006-0000-0200-000018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8" authorId="22" shapeId="0" xr:uid="{00000000-0006-0000-0200-000019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8" authorId="23" shapeId="0" xr:uid="{00000000-0006-0000-0200-00001A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20" authorId="24"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21" authorId="25" shapeId="0" xr:uid="{00000000-0006-0000-0200-00001C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24" authorId="26" shapeId="0" xr:uid="{00000000-0006-0000-0200-00001D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67"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67"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21"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76"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2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<sst xmlns="http://schemas.openxmlformats.org/spreadsheetml/2006/main" count="1339" uniqueCount="815">
  <si>
    <t xml:space="preserve">THE FLORIDA COLLEGE SYSTEM </t>
  </si>
  <si>
    <t>2021-22 COLLEGE OPERATING BUDGET</t>
  </si>
  <si>
    <t xml:space="preserve">SUMMARY OF CHANGES </t>
  </si>
  <si>
    <t>UPDATE CHANGES IF NECESSARY</t>
  </si>
  <si>
    <t>CHANGES</t>
  </si>
  <si>
    <t>EXHIBIT(S)/CHECK SHEET</t>
  </si>
  <si>
    <t>GENERAL LEDGER CODES</t>
  </si>
  <si>
    <t>LINES (ADDED, MOVED, RENAMED, ADJUSTED OR DELETED)</t>
  </si>
  <si>
    <t xml:space="preserve">  </t>
  </si>
  <si>
    <t xml:space="preserve"> </t>
  </si>
  <si>
    <t>THE FLORIDA COLLEGE SYSTEM</t>
  </si>
  <si>
    <t xml:space="preserve">2022-23 INSTRUCTIONS </t>
  </si>
  <si>
    <t>ANNUAL COLLEGE OPERATING BUDGET WORKBOOK FORMS</t>
  </si>
  <si>
    <t>Double Click to download a PDF of the document.</t>
  </si>
  <si>
    <t xml:space="preserve">VLOOKUP CHARTS - DO NOT DELETE - UPDATE EACH YEAR </t>
  </si>
  <si>
    <t>UPDATE COLUMNS HIGHLIGHTED IN YELLOW</t>
  </si>
  <si>
    <t>Date Updated:   05.03.22    BY:  EN</t>
  </si>
  <si>
    <t xml:space="preserve"> FLORIDA COLLEGE SYSTEM PROGRAM FUND (FCSPF) APPROPRIATIONS </t>
  </si>
  <si>
    <t xml:space="preserve">2022-23 BASE BUDGET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</si>
  <si>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</si>
  <si>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</si>
  <si>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</si>
  <si>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</si>
  <si>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</si>
  <si>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</si>
  <si>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</si>
  <si>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</si>
  <si>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</si>
  <si>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</si>
  <si>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</si>
  <si>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</si>
  <si>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</si>
  <si>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</si>
  <si>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</si>
  <si>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</si>
  <si>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</si>
  <si>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</si>
  <si>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</si>
  <si>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</si>
  <si>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</si>
  <si>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</si>
  <si>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</si>
  <si>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</si>
  <si>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</si>
  <si>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</si>
  <si>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</si>
  <si>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</si>
  <si>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</si>
  <si>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</si>
  <si>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</si>
  <si>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</si>
  <si>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</si>
  <si>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</si>
  <si>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</si>
  <si>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2The 2022-23 General Revenue appropriations does not include the $30,000,000 appropriated for Performance Based Incentive Funding.  </t>
  </si>
  <si>
    <t>2022-23 SPECIAL PROJECTS</t>
  </si>
  <si>
    <t>Updated: 5.3.22 EN</t>
  </si>
  <si>
    <t xml:space="preserve">Program/Project </t>
  </si>
  <si>
    <t xml:space="preserve">Recurring </t>
  </si>
  <si>
    <t>Nonrecurring</t>
  </si>
  <si>
    <t>Total</t>
  </si>
  <si>
    <t>Civil and Industrial Engineering Program</t>
  </si>
  <si>
    <t>Agribusiness Technology (HB 3015)</t>
  </si>
  <si>
    <t>Advanced Technology Center</t>
  </si>
  <si>
    <t>Advanced Manufacturing/FAME Program Equipment (HB 4215)</t>
  </si>
  <si>
    <t>Pharmacy Technician Vocational Program (HB 4217)</t>
  </si>
  <si>
    <t>Aerospace Center of Excellence</t>
  </si>
  <si>
    <t>Regional Transportation Training Center</t>
  </si>
  <si>
    <t>Workforce Training for Mechatronics Careers</t>
  </si>
  <si>
    <t>Registered Nurses Growth Plan</t>
  </si>
  <si>
    <t>Instructional Equipment for New Program-Welding</t>
  </si>
  <si>
    <t>Aviation Center of Excellence</t>
  </si>
  <si>
    <t>Fire Academy Burn Center and Classrooms</t>
  </si>
  <si>
    <t xml:space="preserve">STEM Stackable </t>
  </si>
  <si>
    <t>Pensacoa State College</t>
  </si>
  <si>
    <t>Nursing Expansion</t>
  </si>
  <si>
    <t>Polk State Colege</t>
  </si>
  <si>
    <t>Expansion of Critical Health Sciences</t>
  </si>
  <si>
    <t>Seminole State College</t>
  </si>
  <si>
    <t>Construction Trades Program Equipment</t>
  </si>
  <si>
    <t>Public Safety Operational Enhancements</t>
  </si>
  <si>
    <t>Clinical Immersion Center for Health Sciences Education</t>
  </si>
  <si>
    <t xml:space="preserve">Tallahassee Community College </t>
  </si>
  <si>
    <t>Leon Works Expo and Junio Apprenticeship Program</t>
  </si>
  <si>
    <t>July In November: The Story of the 1920 Election Day Riots</t>
  </si>
  <si>
    <t>The Special Projects Recurring and Nonrecurring amounts are included in the General Revenue appropriations, Column B above.</t>
  </si>
  <si>
    <t>2022-23</t>
  </si>
  <si>
    <t>ADULTS WITH DISABILITIES APPROPRIATION  (PROVIDED FOR INFORMATION PURPOSES ONLY APPROPRIATION 31)</t>
  </si>
  <si>
    <t>UPDATE COLUMN B</t>
  </si>
  <si>
    <t>2022-23 FINANCIAL AID FEES ADDITIONAL 2% CALCULATION</t>
  </si>
  <si>
    <t>updated 4.28.22 EN</t>
  </si>
  <si>
    <t xml:space="preserve"> TOTAL 2022-23 PROJECTED TUITION AND OUT-OF-STATE FEE REVENUE</t>
  </si>
  <si>
    <t>5% PROJECTED TUITION AND OUT-OF-STATE FEES</t>
  </si>
  <si>
    <t>PROJECTED FINANCIAL AID FEE COLLECTIONS BELOW $500,000?</t>
  </si>
  <si>
    <t>ADDITIONAL 2% PROJECTED FINANCIAL FEE COLLECTIONS</t>
  </si>
  <si>
    <t>TOTAL PROJECTED FINANCIAL AID FEES</t>
  </si>
  <si>
    <t>*********************************************************************************************************************************************************************************</t>
  </si>
  <si>
    <t>UPDATE THE CELLS HIGHLIGHTED IN YELLOW USING THE SOURCE DATA AT:  J:\Finance\Fees\2021-22\Fee Calculator 2021-22 (Using 2021-22 PROJECTIONS) DRS FALL FEES 03.30.22.xlsx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</si>
  <si>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</si>
  <si>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</si>
  <si>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</si>
  <si>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DIVISION'S ESTIMATES BASED ON THE 2021-22 FTE-2A REPORT</t>
  </si>
  <si>
    <t>Date Updated:   04.28.22;    BY:  EN</t>
  </si>
  <si>
    <t>LOWER LEVEL</t>
  </si>
  <si>
    <t>FEE PAYING FTE TOTALS</t>
  </si>
  <si>
    <t>UPPER LEVEL</t>
  </si>
  <si>
    <t>CREDIT</t>
  </si>
  <si>
    <t>NON-CREDIT</t>
  </si>
  <si>
    <t>FEE PAYING</t>
  </si>
  <si>
    <t>THIS IS THE DIVISION'S ESTIMATES BASED ON THE 2021-22 ESTIMATED FTE-2A  REPORT</t>
  </si>
  <si>
    <t>BACCALAUREATE</t>
  </si>
  <si>
    <t>A &amp; P</t>
  </si>
  <si>
    <t>PSV</t>
  </si>
  <si>
    <t>DEV ED</t>
  </si>
  <si>
    <t>EPI</t>
  </si>
  <si>
    <t>CAREER CERTIFICATE AND APPLIED TECHNOLOGY DIPLOMA</t>
  </si>
  <si>
    <t>VOC. PREP FTE/ADULT EDUCATION FTE ARE EXCLUDED</t>
  </si>
  <si>
    <t>VOC PREP</t>
  </si>
  <si>
    <t>ADULT EDUCATION</t>
  </si>
  <si>
    <t>VLOOKUP CHARTS - DO NOT DELETE</t>
  </si>
  <si>
    <t>DO NOT DELETE (THIS CALCULATION CHECKS THE ACCURACY OF THE DATA EACH EACH YEAR)</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</si>
  <si>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</si>
  <si>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</si>
  <si>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</si>
  <si>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</si>
  <si>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</si>
  <si>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</si>
  <si>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</si>
  <si>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</si>
  <si>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Total 2021-22 Estimated FTE-2A Report</t>
  </si>
  <si>
    <t>This amount should agree with the FTE-2A Report Total Fee Paying (Cell U121)</t>
  </si>
  <si>
    <t>This amount should agree with 2021-22 FTE-2A Report (Cell L82)</t>
  </si>
  <si>
    <t xml:space="preserve">Save the FTE-2A Report at: </t>
  </si>
  <si>
    <t>J:\Finance\Operating Budgets - current year\2022-23 OPERATING BUDGET\Forms and Instructions\Working Documents</t>
  </si>
  <si>
    <t>DEV ED - Developmental Education (formerly College Prep).</t>
  </si>
  <si>
    <t>EPI - Educator Preparation Institute.</t>
  </si>
  <si>
    <t>CCATD - Career Certificate and Applied Technology Diploma (formerly Postsecondary Adult Vocational - PSAV)</t>
  </si>
  <si>
    <t xml:space="preserve"> FALL 2022-23 COLLEGE OPERATING BUDGET CHECK SHEET</t>
  </si>
  <si>
    <t>THE PURPOSE OF THIS CHECK SHEET WILL ALLOW THE COLLEGE TO VERIFY THE OPERAING BUDGET DATA BEFORE SUBMITTING THE WORKBOOK TO THE BUDGET OFFICE</t>
  </si>
  <si>
    <t>1.</t>
  </si>
  <si>
    <t>COLLEGE NAME:</t>
  </si>
  <si>
    <t>2.</t>
  </si>
  <si>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</si>
  <si>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</si>
  <si>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</si>
  <si>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</si>
  <si>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</si>
  <si>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</si>
  <si>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</si>
  <si>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</si>
  <si>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</si>
  <si>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</si>
  <si>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</si>
  <si>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</si>
  <si>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</si>
  <si>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</si>
  <si>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</si>
  <si>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</si>
  <si>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</si>
  <si>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</si>
  <si>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</si>
  <si>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</si>
  <si>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</si>
  <si>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</si>
  <si>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</si>
  <si>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</si>
  <si>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</si>
  <si>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</si>
  <si>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</si>
  <si>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</si>
  <si>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</si>
  <si>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</si>
  <si>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</si>
  <si>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</si>
  <si>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</si>
  <si>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</si>
  <si>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</si>
  <si>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</si>
  <si>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</si>
  <si>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 xml:space="preserve">Seminole State College of Florida established the overall FTE targets for fiscal year 2022-23 with guidance from its Strategic Enrollment Management Team (SEMT), consisting of leadership throughout the College. The SEMT reviewed the current economic conditions and job data.  The SEMT also reviewed the historical FTE from three primary perspectives (by ICS category, by campus, and by credit/non-credit) to determine a desirable FTE target range. Additionally, the team considered details by program to refine the targets per campus and by ICS category.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</si>
  <si>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</si>
  <si>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</si>
  <si>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</si>
  <si>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</si>
  <si>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</si>
  <si>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 xml:space="preserve">The Out-of-state credit hours are calculated based on a percentage of the estimated Credit hours and historical, financial, and economic data.  While the most recent trend suggests a small increase in out-of-state students, Seminole State College of Florida chose a more conservative projection of flat revenue from out-of-state fees.  </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</si>
  <si>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</si>
  <si>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</si>
  <si>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</si>
  <si>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</si>
  <si>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</si>
  <si>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</si>
  <si>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</si>
  <si>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</si>
  <si>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</si>
  <si>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</si>
  <si>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</si>
  <si>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</si>
  <si>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</si>
  <si>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</si>
  <si>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</si>
  <si>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</si>
  <si>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PIPELINE (GL Code 42130)</t>
  </si>
  <si>
    <t xml:space="preserve">      TOTAL</t>
  </si>
  <si>
    <t>9.</t>
  </si>
  <si>
    <t>Verify that all EXHIBIT E totals for personnel, current expense and capital outlay equal the same totals in EXHIBIT D.</t>
  </si>
  <si>
    <t>PERSONNEL</t>
  </si>
  <si>
    <t>CURRENT EXPENSE</t>
  </si>
  <si>
    <t>CAPITAL OUTLAY</t>
  </si>
  <si>
    <t>10.</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</si>
  <si>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</si>
  <si>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</si>
  <si>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</si>
  <si>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t>Difference -- The Estimated Unencumbered Fund Balance and the Total Available Fund Balance minus Encumbered Reserves should equal "zero" (0). If not, please verify that the amounts automatically populated in Cells C119 and C120 are reported correctly on Exhibits A and D.</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</si>
  <si>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</si>
  <si>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</si>
  <si>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r>
      <t xml:space="preserve">(Beginning Compensated Absence Reserve) - </t>
    </r>
    <r>
      <rPr>
        <b/>
        <sz val="16"/>
        <rFont val="Calibri"/>
        <family val="2"/>
        <scheme val="minor"/>
      </rPr>
      <t>As of July 1, 2022</t>
    </r>
  </si>
  <si>
    <r>
      <t xml:space="preserve">(Ending Compensated Absence Reserve) - </t>
    </r>
    <r>
      <rPr>
        <b/>
        <sz val="16"/>
        <rFont val="Calibri"/>
        <family val="2"/>
        <scheme val="minor"/>
      </rPr>
      <t>Estimated at June 30, 2023</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</si>
  <si>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</si>
  <si>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</si>
  <si>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</si>
  <si>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</si>
  <si>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</si>
  <si>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</si>
  <si>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</si>
  <si>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</si>
  <si>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</si>
  <si>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</si>
  <si>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14.</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</si>
  <si>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</si>
  <si>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Grand Total Expenditures and Total Sources of Funds</t>
  </si>
  <si>
    <t>EXPLANATION:</t>
  </si>
  <si>
    <t>The College offers 4 new baccalaureate programs in 2022-23.  The projected budget deficit for the baccalaureate programs  is due to the initial start-up cost of new faculty, additional student services, instructional support staff, and operating expenses.</t>
  </si>
  <si>
    <t>EXHIBIT A</t>
  </si>
  <si>
    <t>COLLEGE OPERATING BUDGET</t>
  </si>
  <si>
    <t>ANNUAL BUDGET SUMMARY</t>
  </si>
  <si>
    <t xml:space="preserve"> FISCAL YEAR 2022-23</t>
  </si>
  <si>
    <t>COLLEGE:</t>
  </si>
  <si>
    <t>CURRENT FUNDS - UNRESTRICTED</t>
  </si>
  <si>
    <t>BEGINNING FUND BALANCE - JULY 1, 2022:</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</si>
  <si>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</si>
  <si>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ADD AMOUNT EXPECTED TO BE FINANCED IN FUTURE YEARS (</t>
    </r>
    <r>
      <rPr>
        <i/>
        <sz val="16"/>
        <rFont val="Calibri"/>
        <family val="2"/>
        <scheme val="minor"/>
      </rPr>
      <t>USE PLUS SIGN</t>
    </r>
    <r>
      <rPr>
        <sz val="16"/>
        <rFont val="Calibri"/>
        <family val="2"/>
        <scheme val="minor"/>
      </rPr>
      <t>)</t>
    </r>
  </si>
  <si>
    <r>
      <t xml:space="preserve">TOTAL RESERVE AND UNENCUMBERED FUND BALANCE - </t>
    </r>
    <r>
      <rPr>
        <b/>
        <sz val="16"/>
        <rFont val="Calibri"/>
        <family val="2"/>
        <scheme val="minor"/>
      </rPr>
      <t>JULY 1, 2022</t>
    </r>
  </si>
  <si>
    <t>ADD:              REVENUES</t>
  </si>
  <si>
    <t xml:space="preserve">                       TRANSFERS IN</t>
  </si>
  <si>
    <t>TOTAL RECEIPTS</t>
  </si>
  <si>
    <t>TOTAL ESTIMATED AVAILABLE</t>
  </si>
  <si>
    <t>DEDUCT:      EXPENDITURES</t>
  </si>
  <si>
    <t xml:space="preserve">                       TRANSFERS OUT</t>
  </si>
  <si>
    <t>TOTAL DISBURSEMENTS</t>
  </si>
  <si>
    <t>ESTIMATED FUND BALANCE - JUNE 30, 2023:</t>
  </si>
  <si>
    <t>TOTAL AVAILABLE LESS DISBURSEMENTS</t>
  </si>
  <si>
    <t>ADD ACCRUED LEAVE EXPENSE (GLC 59300)</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</si>
  <si>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</si>
  <si>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</si>
  <si>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</si>
  <si>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</si>
  <si>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 xml:space="preserve">       (Includes GL's: 30200, 30300, 30400, 30500, 30600, 30700, 30900, and 31100)</t>
  </si>
  <si>
    <t xml:space="preserve">PERCENT OF ESTIMATED UNENCUMBERED FUND BALANCE </t>
  </si>
  <si>
    <t>AS OF JUNE 30, 2023, TO ESTIMATED FUNDS AVAILABLE</t>
  </si>
  <si>
    <t>CERTIFY BOARD OF TRUSTEES APPROVAL:</t>
  </si>
  <si>
    <t>COLLEGE PRESIDENT</t>
  </si>
  <si>
    <t>DATE</t>
  </si>
  <si>
    <t>EXHIBIT B</t>
  </si>
  <si>
    <t xml:space="preserve">FALL 2022-23 STUDENT TUITION AND FEE RATES AND BLOCK TUITION </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</si>
  <si>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</si>
  <si>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</si>
  <si>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</si>
  <si>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</si>
  <si>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</si>
  <si>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</si>
  <si>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</si>
  <si>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</si>
  <si>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</si>
  <si>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</si>
  <si>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</si>
  <si>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</si>
  <si>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</si>
  <si>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</si>
  <si>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</si>
  <si>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</si>
  <si>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</si>
  <si>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</si>
  <si>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</si>
  <si>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</si>
  <si>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</si>
  <si>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Note:   The 2022-23 Fee Audit and Discretionary Fee calculations are provided at the end of the Workbook, to assist the college in verifying that the tuition and fee rates are in compliance with sections 1009.22 and 1009.23, Florida Statutes.</t>
  </si>
  <si>
    <t>EXHIBIT C</t>
  </si>
  <si>
    <t>FALL 2022-23 BUDGET WORKSHEET FOR ESTIMATED STUDENT TUITION AND TRANSFERS</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</si>
  <si>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</si>
  <si>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</si>
  <si>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</si>
  <si>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</si>
  <si>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</si>
  <si>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</si>
  <si>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</si>
  <si>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TOTAL FEE PAYING</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</si>
  <si>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</si>
  <si>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</si>
  <si>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</si>
  <si>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</si>
  <si>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</si>
  <si>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</si>
  <si>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</si>
  <si>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</si>
  <si>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</si>
  <si>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</si>
  <si>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</si>
  <si>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</si>
  <si>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</si>
  <si>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</si>
  <si>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</si>
  <si>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</si>
  <si>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</si>
  <si>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</si>
  <si>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</si>
  <si>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</si>
  <si>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</si>
  <si>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</si>
  <si>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</si>
  <si>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</si>
  <si>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</si>
  <si>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</si>
  <si>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</si>
  <si>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</si>
  <si>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</si>
  <si>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</si>
  <si>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</si>
  <si>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</si>
  <si>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</si>
  <si>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</si>
  <si>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</si>
  <si>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</si>
  <si>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</si>
  <si>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</si>
  <si>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Current</t>
  </si>
  <si>
    <t>TOTAL TRANSFERS OUT</t>
  </si>
  <si>
    <t>Marketing and Public Relations</t>
  </si>
  <si>
    <t>Hospitality</t>
  </si>
  <si>
    <t>Instructional Materials for Dual Enrollments</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</si>
  <si>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</si>
  <si>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</si>
  <si>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</si>
  <si>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</si>
  <si>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</si>
  <si>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</si>
  <si>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</si>
  <si>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</si>
  <si>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</si>
  <si>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</si>
  <si>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</si>
  <si>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</si>
  <si>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</si>
  <si>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</si>
  <si>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FOR THE FISCAL YEAR 2022-23</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</si>
  <si>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</si>
  <si>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</si>
  <si>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</si>
  <si>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</si>
  <si>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</si>
  <si>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</si>
  <si>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</si>
  <si>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</si>
  <si>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</si>
  <si>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</si>
  <si>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</si>
  <si>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</si>
  <si>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</si>
  <si>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</si>
  <si>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</si>
  <si>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</si>
  <si>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</si>
  <si>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</si>
  <si>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</si>
  <si>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</si>
  <si>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</si>
  <si>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</si>
  <si>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</si>
  <si>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</si>
  <si>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</si>
  <si>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</si>
  <si>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</si>
  <si>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</si>
  <si>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</si>
  <si>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</si>
  <si>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</si>
  <si>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</si>
  <si>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</si>
  <si>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</si>
  <si>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</si>
  <si>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</si>
  <si>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</si>
  <si>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</si>
  <si>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</si>
  <si>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</si>
  <si>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</si>
  <si>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</si>
  <si>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</si>
  <si>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</si>
  <si>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</si>
  <si>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</si>
  <si>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</si>
  <si>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</si>
  <si>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</si>
  <si>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</si>
  <si>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</si>
  <si>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</si>
  <si>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</si>
  <si>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</si>
  <si>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</si>
  <si>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</si>
  <si>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</si>
  <si>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</si>
  <si>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SPECIAL APPROPRIATION - OTHER (TO INCLUDE PIPELINE)</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</si>
  <si>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</si>
  <si>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</si>
  <si>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</si>
  <si>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</si>
  <si>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</si>
  <si>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</si>
  <si>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</si>
  <si>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</si>
  <si>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</si>
  <si>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</si>
  <si>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</si>
  <si>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</si>
  <si>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</si>
  <si>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</si>
  <si>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</si>
  <si>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</si>
  <si>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</si>
  <si>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</si>
  <si>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</si>
  <si>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</si>
  <si>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GRANTS AND CONTRACTS FEDERAL GOVERNMENT - STIMULUS (HEERF) - INSTITUTIONAL</t>
  </si>
  <si>
    <t>GRANTS AND CONTRACTS FEDERAL GOVERNMENT - STIMULUS (HEERF) - STUDENT</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</si>
  <si>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</si>
  <si>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</si>
  <si>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</si>
  <si>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</si>
  <si>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</si>
  <si>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</si>
  <si>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</si>
  <si>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</si>
  <si>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</si>
  <si>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</si>
  <si>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</si>
  <si>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</si>
  <si>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</si>
  <si>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</si>
  <si>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</si>
  <si>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</si>
  <si>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</si>
  <si>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</si>
  <si>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</si>
  <si>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</si>
  <si>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</si>
  <si>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</si>
  <si>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</si>
  <si>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</si>
  <si>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</si>
  <si>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</si>
  <si>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</si>
  <si>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</si>
  <si>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</si>
  <si>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</si>
  <si>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</si>
  <si>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</si>
  <si>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</si>
  <si>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</si>
  <si>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</si>
  <si>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</si>
  <si>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</si>
  <si>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</si>
  <si>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</si>
  <si>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</si>
  <si>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</si>
  <si>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</si>
  <si>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</si>
  <si>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</si>
  <si>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</si>
  <si>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</si>
  <si>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</si>
  <si>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UNINSURED LOSS RECOVERY</t>
  </si>
  <si>
    <t>49521</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</si>
  <si>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</si>
  <si>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</si>
  <si>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</si>
  <si>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</si>
  <si>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</si>
  <si>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</si>
  <si>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</si>
  <si>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</si>
  <si>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</si>
  <si>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</si>
  <si>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</si>
  <si>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</si>
  <si>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</si>
  <si>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</si>
  <si>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</si>
  <si>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</si>
  <si>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</si>
  <si>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</si>
  <si>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</si>
  <si>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</si>
  <si>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</si>
  <si>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</si>
  <si>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</si>
  <si>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</si>
  <si>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</si>
  <si>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</si>
  <si>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</si>
  <si>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</si>
  <si>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</si>
  <si>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</si>
  <si>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</si>
  <si>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</si>
  <si>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</si>
  <si>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</si>
  <si>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</si>
  <si>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</si>
  <si>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</si>
  <si>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</si>
  <si>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</si>
  <si>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</si>
  <si>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</si>
  <si>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</si>
  <si>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</si>
  <si>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</si>
  <si>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</si>
  <si>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</si>
  <si>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</si>
  <si>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</si>
  <si>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</si>
  <si>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</si>
  <si>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</si>
  <si>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</si>
  <si>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</si>
  <si>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</si>
  <si>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</si>
  <si>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</si>
  <si>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</si>
  <si>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</si>
  <si>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</si>
  <si>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</si>
  <si>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</si>
  <si>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</si>
  <si>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</si>
  <si>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</si>
  <si>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</si>
  <si>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</si>
  <si>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</si>
  <si>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</si>
  <si>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</si>
  <si>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</si>
  <si>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</si>
  <si>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</si>
  <si>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</si>
  <si>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</si>
  <si>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</si>
  <si>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</si>
  <si>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</si>
  <si>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</si>
  <si>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</si>
  <si>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</si>
  <si>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</si>
  <si>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</si>
  <si>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</si>
  <si>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</si>
  <si>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</si>
  <si>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</si>
  <si>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</si>
  <si>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</si>
  <si>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</si>
  <si>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</si>
  <si>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</si>
  <si>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</si>
  <si>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</si>
  <si>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</si>
  <si>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</si>
  <si>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</si>
  <si>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</si>
  <si>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</si>
  <si>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</si>
  <si>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</si>
  <si>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</si>
  <si>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</si>
  <si>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</si>
  <si>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</si>
  <si>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</si>
  <si>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</si>
  <si>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</si>
  <si>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</si>
  <si>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</si>
  <si>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</si>
  <si>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LEASE PAYMENTS (LONG-TERM/ASSET&lt;$5,000)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</si>
  <si>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</si>
  <si>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</si>
  <si>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</si>
  <si>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</si>
  <si>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</si>
  <si>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</si>
  <si>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</si>
  <si>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</si>
  <si>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</si>
  <si>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</si>
  <si>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</si>
  <si>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</si>
  <si>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</si>
  <si>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</si>
  <si>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</si>
  <si>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</si>
  <si>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</si>
  <si>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</si>
  <si>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</si>
  <si>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WORKFORCE/WAGES/GRANT PARTICIPANT SUPPORT COSTS</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</si>
  <si>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</si>
  <si>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</si>
  <si>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</si>
  <si>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</si>
  <si>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</si>
  <si>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</si>
  <si>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</si>
  <si>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</si>
  <si>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</si>
  <si>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</si>
  <si>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</si>
  <si>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</si>
  <si>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</si>
  <si>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</si>
  <si>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</si>
  <si>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</si>
  <si>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</si>
  <si>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</si>
  <si>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</si>
  <si>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</si>
  <si>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</si>
  <si>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</si>
  <si>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</si>
  <si>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</si>
  <si>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</si>
  <si>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</si>
  <si>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</si>
  <si>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</si>
  <si>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</si>
  <si>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</si>
  <si>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</si>
  <si>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</si>
  <si>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</si>
  <si>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</si>
  <si>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</si>
  <si>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</si>
  <si>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</si>
  <si>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</si>
  <si>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</si>
  <si>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</si>
  <si>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</si>
  <si>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</si>
  <si>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</si>
  <si>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</si>
  <si>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</si>
  <si>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</si>
  <si>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</si>
  <si>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</si>
  <si>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</si>
  <si>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</si>
  <si>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</si>
  <si>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OTHER LICENCES</t>
  </si>
  <si>
    <t>DATA LICENSES - PERPETUAL</t>
  </si>
  <si>
    <t>ARTWORK/ARTIFACT</t>
  </si>
  <si>
    <t>LEASE PAYMENTS (LONG-TERM/ASSET=&gt;$5,000)</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</si>
  <si>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</si>
  <si>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</si>
  <si>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</si>
  <si>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</si>
  <si>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</si>
  <si>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</si>
  <si>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</si>
  <si>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</si>
  <si>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</si>
  <si>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</si>
  <si>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</si>
  <si>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</si>
  <si>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</si>
  <si>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</si>
  <si>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</si>
  <si>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</si>
  <si>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</si>
  <si>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</si>
  <si>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</si>
  <si>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</si>
  <si>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</si>
  <si>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</si>
  <si>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AMOUNT EXPECTED TO BE FINANCED IN FUTURE YEARS - ESTIMATED AS OF JUNE 30, 2023</t>
  </si>
  <si>
    <t>TOTAL ESTIMATED FUND BALANCE</t>
  </si>
  <si>
    <t>EXHIBIT  E</t>
  </si>
  <si>
    <t>SUMMARY OF BUDGETED EXPENDITURES BY FUNCTION</t>
  </si>
  <si>
    <t>CURRENT FUND-UNRESTRICTED</t>
  </si>
  <si>
    <t>FISCAL YEAR 2022-23</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</si>
  <si>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</si>
  <si>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</si>
  <si>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</si>
  <si>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</si>
  <si>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</si>
  <si>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</si>
  <si>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</si>
  <si>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</si>
  <si>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</si>
  <si>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</si>
  <si>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</si>
  <si>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</si>
  <si>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</si>
  <si>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</si>
  <si>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</si>
  <si>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</si>
  <si>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</si>
  <si>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</si>
  <si>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</si>
  <si>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</si>
  <si>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</si>
  <si>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</si>
  <si>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</si>
  <si>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</si>
  <si>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</si>
  <si>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INSTRUCTIONAL - SABBATICAL</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</si>
  <si>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</si>
  <si>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</si>
  <si>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</si>
  <si>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</si>
  <si>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</si>
  <si>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</si>
  <si>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</si>
  <si>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</si>
  <si>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</si>
  <si>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</si>
  <si>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</si>
  <si>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</si>
  <si>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</si>
  <si>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</si>
  <si>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r>
      <t xml:space="preserve">   4.   OTHER GRANTS OR REVENUES </t>
    </r>
    <r>
      <rPr>
        <b/>
        <sz val="18"/>
        <color theme="1"/>
        <rFont val="Calibri"/>
        <family val="2"/>
        <scheme val="minor"/>
      </rPr>
      <t>(PLEASE PROVIDE A BRIEF EXPLANATION IN THE SPACE BELOW FOR ITEM #4)**</t>
    </r>
  </si>
  <si>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</si>
  <si>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</si>
  <si>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</si>
  <si>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</si>
  <si>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</si>
  <si>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</si>
  <si>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</si>
  <si>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</si>
  <si>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</si>
  <si>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**PROVIDE A BRIEF EXPLANATION FOR ITEM NUMBER 4. ABOVE - OTHER GRANTS OR REVENUES:</t>
  </si>
  <si>
    <t>FALL 2022-23 TUITION INCREASED BY 0%</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</si>
  <si>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</si>
  <si>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</si>
  <si>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</si>
  <si>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</si>
  <si>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</si>
  <si>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</si>
  <si>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</si>
  <si>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</si>
  <si>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</si>
  <si>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</si>
  <si>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</si>
  <si>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</si>
  <si>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</si>
  <si>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</si>
  <si>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</si>
  <si>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</si>
  <si>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</si>
  <si>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</si>
  <si>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</si>
  <si>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</si>
  <si>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</si>
  <si>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</si>
  <si>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</si>
  <si>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</si>
  <si>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</si>
  <si>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</si>
  <si>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</si>
  <si>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</si>
  <si>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</si>
  <si>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</si>
  <si>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</si>
  <si>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</si>
  <si>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</si>
  <si>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</si>
  <si>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</si>
  <si>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2022-23 MAXIMUM DISCRETIONARY FEE PERCENTAGES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</si>
  <si>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</si>
  <si>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</si>
  <si>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</si>
  <si>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</si>
  <si>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</si>
  <si>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</si>
  <si>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</si>
  <si>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</si>
  <si>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</si>
  <si>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</si>
  <si>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</si>
  <si>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</si>
  <si>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</si>
  <si>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</si>
  <si>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</si>
  <si>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</si>
  <si>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</si>
  <si>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</si>
  <si>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</si>
  <si>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</si>
  <si>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</si>
  <si>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</si>
  <si>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</si>
  <si>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</si>
  <si>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</si>
  <si>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</si>
  <si>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 xml:space="preserve">The fiscal year 2022-23 targets anticipate a 2.3% increase in FTEs. The College projects higher enrollment in the Baccalaureate programs due to the introduction of 4 new degrees in this area.  The enrollments in Advanced and Professional and Educator Preparation Institutes programs are also expected to be higher while there will be fewer enrollments in the Career Certificate and Applied Technology Diploma programs.  Enrollment in the Development Education program continues to decrease since it is no longer required for incoming Florida high school graduates. The College has continued to explore and implement various initiatives to recruit and retain students and improve completion rates. </t>
  </si>
  <si>
    <t>The College offers 4 new baccalaureate programs in 2022-23.  The projected budget deficit for the baccalaureate programs is due to the initial start-up cost of new faculty, additional student services, instructional support staff, and operating expenses.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</si>
</sst>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2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theme="1"/>
      </right>
      <top style="thin">
        <color auto="1"/>
      </top>
      <bottom style="thin">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style="thin">
        <color indexed="8"/>
      </top>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medium">
        <color theme="1"/>
      </left>
      <right style="medium">
        <color auto="1"/>
      </right>
      <top/>
      <bottom style="thin">
        <color auto="1"/>
      </bottom>
      <diagonal/>
    </border>
    <border>
      <left style="medium">
        <color auto="1"/>
      </left>
      <right style="medium">
        <color theme="1"/>
      </right>
      <top/>
      <bottom style="thin">
        <color auto="1"/>
      </bottom>
      <diagonal/>
    </border>
    <border>
      <left style="medium">
        <color auto="1"/>
      </left>
      <right/>
      <top/>
      <bottom style="thin">
        <color auto="1"/>
      </bottom>
      <diagonal/>
    </border>
    <border>
      <left style="medium">
        <color indexed="8"/>
      </left>
      <right/>
      <top/>
      <bottom style="thin">
        <color indexed="8"/>
      </bottom>
      <diagonal/>
    </border>
    <border>
      <left style="medium">
        <color theme="1"/>
      </left>
      <right style="medium">
        <color theme="1"/>
      </right>
      <top/>
      <bottom style="thin">
        <color indexed="8"/>
      </bottom>
      <diagonal/>
    </border>
    <border>
      <left style="medium">
        <color indexed="8"/>
      </left>
      <right style="medium">
        <color indexed="8"/>
      </right>
      <top/>
      <bottom style="thin">
        <color auto="1"/>
      </bottom>
      <diagonal/>
    </border>
    <border>
      <left style="thin">
        <color theme="1"/>
      </left>
      <right/>
      <top/>
      <bottom style="thin">
        <color auto="1"/>
      </bottom>
      <diagonal/>
    </border>
    <border>
      <left style="thin">
        <color indexed="8"/>
      </left>
      <right style="thin">
        <color indexed="64"/>
      </right>
      <top/>
      <bottom style="thin">
        <color indexed="8"/>
      </bottom>
      <diagonal/>
    </border>
    <border>
      <left style="thin">
        <color theme="1"/>
      </left>
      <right/>
      <top/>
      <bottom style="thin">
        <color indexed="8"/>
      </bottom>
      <diagonal/>
    </border>
    <border>
      <left/>
      <right style="thin">
        <color indexed="8"/>
      </right>
      <top/>
      <bottom style="thin">
        <color indexed="8"/>
      </bottom>
      <diagonal/>
    </border>
    <border>
      <left style="thin">
        <color indexed="8"/>
      </left>
      <right style="thin">
        <color indexed="8"/>
      </right>
      <top/>
      <bottom style="thin">
        <color indexed="64"/>
      </bottom>
      <diagonal/>
    </border>
    <border>
      <left/>
      <right/>
      <top/>
      <bottom style="thin">
        <color indexed="8"/>
      </bottom>
      <diagonal/>
    </border>
    <border>
      <left/>
      <right style="thin">
        <color auto="1"/>
      </right>
      <top/>
      <bottom style="thin">
        <color indexed="8"/>
      </bottom>
      <diagonal/>
    </border>
    <border>
      <left style="medium">
        <color auto="1"/>
      </left>
      <right style="medium">
        <color auto="1"/>
      </right>
      <top/>
      <bottom style="thin">
        <color auto="1"/>
      </bottom>
      <diagonal/>
    </border>
    <border>
      <left style="medium">
        <color theme="1"/>
      </left>
      <right/>
      <top/>
      <bottom style="thin">
        <color auto="1"/>
      </bottom>
      <diagonal/>
    </border>
    <border>
      <left style="medium">
        <color auto="1"/>
      </left>
      <right style="thin">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0" fillId="0" borderId="0" applyNumberFormat="0" applyFill="0" applyBorder="0" applyAlignment="0" applyProtection="0"/>
    <xf numFmtId="0" fontId="171" fillId="0" borderId="0" applyNumberFormat="0" applyFill="0" applyBorder="0" applyAlignment="0" applyProtection="0"/>
  </cellStyleXfs>
  <cellXfs count="1172">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7" xfId="0" applyFont="1" applyBorder="1"/>
    <xf numFmtId="0" fontId="72" fillId="0" borderId="0" xfId="0" applyFont="1" applyAlignment="1">
      <alignment horizontal="center"/>
    </xf>
    <xf numFmtId="0" fontId="74" fillId="0" borderId="0" xfId="0" applyFont="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Border="1" applyAlignment="1">
      <alignment horizontal="center"/>
    </xf>
    <xf numFmtId="0" fontId="74" fillId="0" borderId="106" xfId="0" applyFont="1" applyBorder="1" applyAlignment="1">
      <alignment horizontal="center"/>
    </xf>
    <xf numFmtId="0" fontId="74" fillId="0" borderId="85" xfId="0" applyFont="1" applyBorder="1" applyAlignment="1">
      <alignment horizontal="center" wrapText="1"/>
    </xf>
    <xf numFmtId="0" fontId="74" fillId="0" borderId="86"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5"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6"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5" xfId="0" applyFont="1" applyBorder="1" applyAlignment="1">
      <alignment horizontal="center"/>
    </xf>
    <xf numFmtId="0" fontId="71" fillId="0" borderId="85" xfId="0" applyFont="1" applyBorder="1"/>
    <xf numFmtId="0" fontId="71" fillId="0" borderId="87"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6" xfId="0" applyFont="1" applyBorder="1"/>
    <xf numFmtId="3" fontId="72" fillId="36" borderId="156" xfId="0" applyNumberFormat="1" applyFont="1" applyFill="1" applyBorder="1"/>
    <xf numFmtId="3" fontId="72" fillId="36" borderId="157"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55"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20" xfId="0" applyFont="1" applyBorder="1"/>
    <xf numFmtId="0" fontId="74" fillId="0" borderId="121" xfId="0" applyFont="1" applyBorder="1" applyAlignment="1">
      <alignment horizontal="center"/>
    </xf>
    <xf numFmtId="0" fontId="72" fillId="0" borderId="122" xfId="0" applyFont="1" applyBorder="1"/>
    <xf numFmtId="0" fontId="72" fillId="0" borderId="123" xfId="0" applyFont="1" applyBorder="1"/>
    <xf numFmtId="49" fontId="75" fillId="0" borderId="124" xfId="0" applyNumberFormat="1" applyFont="1" applyBorder="1" applyAlignment="1">
      <alignment horizontal="center"/>
    </xf>
    <xf numFmtId="0" fontId="75" fillId="0" borderId="10" xfId="0" applyFont="1" applyBorder="1" applyAlignment="1">
      <alignment horizontal="center"/>
    </xf>
    <xf numFmtId="0" fontId="75" fillId="0" borderId="119" xfId="0" applyFont="1" applyBorder="1" applyAlignment="1">
      <alignment horizontal="center"/>
    </xf>
    <xf numFmtId="0" fontId="75" fillId="0" borderId="44" xfId="0" applyFont="1" applyBorder="1" applyAlignment="1">
      <alignment horizontal="center"/>
    </xf>
    <xf numFmtId="0" fontId="74" fillId="0" borderId="124" xfId="0" applyFont="1" applyBorder="1" applyAlignment="1">
      <alignment horizontal="center"/>
    </xf>
    <xf numFmtId="0" fontId="75" fillId="0" borderId="125" xfId="0" applyFont="1" applyBorder="1" applyAlignment="1">
      <alignment horizontal="center"/>
    </xf>
    <xf numFmtId="37" fontId="72" fillId="0" borderId="126"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xf numFmtId="3" fontId="78" fillId="0" borderId="119" xfId="181" applyNumberFormat="1" applyFont="1" applyBorder="1" applyProtection="1"/>
    <xf numFmtId="0" fontId="74" fillId="0" borderId="128" xfId="0" applyFont="1" applyBorder="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49" fontId="75" fillId="0" borderId="130"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31"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7" xfId="0" applyFont="1" applyBorder="1" applyAlignment="1">
      <alignment horizontal="center"/>
    </xf>
    <xf numFmtId="0" fontId="75" fillId="0" borderId="36" xfId="0" applyFont="1" applyBorder="1" applyAlignment="1">
      <alignment horizontal="center" wrapText="1"/>
    </xf>
    <xf numFmtId="37" fontId="78" fillId="0" borderId="108" xfId="0" applyNumberFormat="1" applyFont="1" applyBorder="1"/>
    <xf numFmtId="37" fontId="78" fillId="24" borderId="55" xfId="0" applyNumberFormat="1" applyFont="1" applyFill="1" applyBorder="1" applyAlignment="1">
      <alignment horizontal="right"/>
    </xf>
    <xf numFmtId="37" fontId="120" fillId="0" borderId="108" xfId="0" applyNumberFormat="1" applyFont="1" applyBorder="1" applyAlignment="1">
      <alignment horizontal="right"/>
    </xf>
    <xf numFmtId="0" fontId="75" fillId="0" borderId="109"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5" xfId="0" applyNumberFormat="1" applyFont="1" applyBorder="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xf numFmtId="4" fontId="71" fillId="0" borderId="65" xfId="0" applyNumberFormat="1" applyFont="1" applyBorder="1" applyAlignment="1">
      <alignment horizontal="center"/>
    </xf>
    <xf numFmtId="4" fontId="71" fillId="0" borderId="0" xfId="0" applyNumberFormat="1" applyFont="1" applyAlignment="1">
      <alignment horizontal="center"/>
    </xf>
    <xf numFmtId="0" fontId="71" fillId="0" borderId="65"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0" fontId="129" fillId="0" borderId="10" xfId="0" applyFont="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37" fontId="100" fillId="25" borderId="10" xfId="0" quotePrefix="1" applyNumberFormat="1" applyFont="1" applyFill="1" applyBorder="1" applyAlignment="1">
      <alignment horizontal="right"/>
    </xf>
    <xf numFmtId="37" fontId="100" fillId="25" borderId="10" xfId="0" applyNumberFormat="1" applyFont="1" applyFill="1" applyBorder="1" applyAlignment="1">
      <alignment horizontal="right"/>
    </xf>
    <xf numFmtId="0" fontId="100" fillId="25" borderId="10" xfId="0" applyFont="1" applyFill="1" applyBorder="1" applyAlignment="1">
      <alignment horizontal="right"/>
    </xf>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53" xfId="0" applyNumberFormat="1" applyFont="1" applyFill="1" applyBorder="1" applyAlignment="1">
      <alignment horizontal="fill"/>
    </xf>
    <xf numFmtId="37" fontId="105" fillId="26" borderId="71"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9" xfId="0" applyNumberFormat="1" applyFont="1" applyFill="1" applyBorder="1"/>
    <xf numFmtId="37" fontId="143" fillId="30" borderId="49" xfId="0" applyNumberFormat="1" applyFont="1" applyFill="1" applyBorder="1"/>
    <xf numFmtId="168" fontId="104" fillId="30" borderId="49"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lignment horizontal="fill"/>
    </xf>
    <xf numFmtId="37" fontId="104" fillId="74" borderId="86"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xf numFmtId="0" fontId="72" fillId="74" borderId="33" xfId="530" applyFont="1" applyFill="1" applyBorder="1"/>
    <xf numFmtId="4" fontId="72" fillId="74" borderId="104" xfId="530" applyNumberFormat="1" applyFont="1" applyFill="1" applyBorder="1"/>
    <xf numFmtId="3" fontId="72" fillId="74" borderId="104" xfId="530" applyNumberFormat="1" applyFont="1" applyFill="1" applyBorder="1"/>
    <xf numFmtId="0" fontId="72" fillId="0" borderId="104" xfId="0" applyFont="1" applyBorder="1"/>
    <xf numFmtId="0" fontId="74" fillId="0" borderId="104" xfId="0" applyFont="1" applyBorder="1"/>
    <xf numFmtId="3" fontId="74" fillId="0" borderId="104" xfId="0" applyNumberFormat="1" applyFont="1" applyBorder="1"/>
    <xf numFmtId="4" fontId="74" fillId="0" borderId="104" xfId="0" applyNumberFormat="1" applyFont="1" applyBorder="1"/>
    <xf numFmtId="168" fontId="74" fillId="0" borderId="104"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6"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Border="1"/>
    <xf numFmtId="4" fontId="74" fillId="30" borderId="19" xfId="0" applyNumberFormat="1" applyFont="1" applyFill="1" applyBorder="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5" xfId="0" applyFont="1" applyFill="1" applyBorder="1"/>
    <xf numFmtId="0" fontId="100" fillId="30" borderId="19" xfId="0" applyFont="1" applyFill="1" applyBorder="1"/>
    <xf numFmtId="0" fontId="100" fillId="30" borderId="86" xfId="0" applyFont="1" applyFill="1" applyBorder="1"/>
    <xf numFmtId="0" fontId="105" fillId="0" borderId="0" xfId="0" applyFont="1"/>
    <xf numFmtId="166" fontId="105" fillId="0" borderId="0" xfId="0" applyNumberFormat="1" applyFont="1"/>
    <xf numFmtId="166" fontId="105" fillId="0" borderId="105" xfId="0" applyNumberFormat="1" applyFont="1" applyBorder="1"/>
    <xf numFmtId="3" fontId="72" fillId="78" borderId="43" xfId="0" applyNumberFormat="1" applyFont="1" applyFill="1" applyBorder="1"/>
    <xf numFmtId="0" fontId="72" fillId="0" borderId="161" xfId="0" applyFont="1" applyBorder="1"/>
    <xf numFmtId="0" fontId="105" fillId="0" borderId="23" xfId="0" applyFont="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8" xfId="0" applyFont="1" applyBorder="1" applyAlignment="1">
      <alignment vertical="center"/>
    </xf>
    <xf numFmtId="0" fontId="151" fillId="0" borderId="167" xfId="0" applyFont="1" applyBorder="1" applyAlignment="1">
      <alignment vertical="center"/>
    </xf>
    <xf numFmtId="0" fontId="105" fillId="0" borderId="38" xfId="0" applyFont="1" applyBorder="1"/>
    <xf numFmtId="10" fontId="75" fillId="36" borderId="71"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Border="1" applyAlignment="1">
      <alignment vertical="center"/>
    </xf>
    <xf numFmtId="0" fontId="72" fillId="0" borderId="170" xfId="0" applyFont="1" applyBorder="1"/>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72"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6" xfId="0" applyFont="1" applyFill="1" applyBorder="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65"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7" xfId="0" applyFont="1" applyFill="1" applyBorder="1"/>
    <xf numFmtId="0" fontId="126" fillId="74" borderId="85" xfId="0" applyFont="1" applyFill="1" applyBorder="1"/>
    <xf numFmtId="0" fontId="100" fillId="0" borderId="153" xfId="0" applyFont="1" applyBorder="1" applyAlignment="1">
      <alignment horizontal="center"/>
    </xf>
    <xf numFmtId="0" fontId="108" fillId="29" borderId="85" xfId="0" applyFont="1" applyFill="1" applyBorder="1"/>
    <xf numFmtId="0" fontId="108" fillId="29" borderId="87" xfId="0" applyFont="1" applyFill="1" applyBorder="1"/>
    <xf numFmtId="0" fontId="108" fillId="29" borderId="86" xfId="0" applyFont="1" applyFill="1" applyBorder="1"/>
    <xf numFmtId="0" fontId="108" fillId="0" borderId="85" xfId="0" applyFont="1" applyBorder="1"/>
    <xf numFmtId="168" fontId="108" fillId="0" borderId="86"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72" xfId="0" applyNumberFormat="1" applyFont="1" applyBorder="1"/>
    <xf numFmtId="37" fontId="108" fillId="0" borderId="172" xfId="0" applyNumberFormat="1" applyFont="1" applyBorder="1"/>
    <xf numFmtId="37" fontId="129" fillId="0" borderId="172" xfId="0" applyNumberFormat="1" applyFont="1" applyBorder="1"/>
    <xf numFmtId="37" fontId="129" fillId="0" borderId="0" xfId="0" applyNumberFormat="1" applyFont="1"/>
    <xf numFmtId="37" fontId="100" fillId="24" borderId="172"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9" xfId="0" applyNumberFormat="1" applyFont="1" applyFill="1" applyBorder="1" applyAlignment="1">
      <alignment horizontal="right"/>
    </xf>
    <xf numFmtId="0" fontId="100" fillId="0" borderId="172" xfId="0" applyFont="1" applyBorder="1"/>
    <xf numFmtId="37" fontId="134" fillId="0" borderId="0" xfId="0" applyNumberFormat="1" applyFont="1"/>
    <xf numFmtId="37" fontId="108" fillId="0" borderId="172" xfId="0" applyNumberFormat="1" applyFont="1" applyBorder="1" applyAlignment="1">
      <alignment horizontal="fill"/>
    </xf>
    <xf numFmtId="37" fontId="100" fillId="25" borderId="172" xfId="0" applyNumberFormat="1" applyFont="1" applyFill="1" applyBorder="1"/>
    <xf numFmtId="0" fontId="108" fillId="0" borderId="172" xfId="0" applyFont="1" applyBorder="1"/>
    <xf numFmtId="37" fontId="108" fillId="0" borderId="173" xfId="0" applyNumberFormat="1" applyFont="1" applyBorder="1"/>
    <xf numFmtId="37" fontId="100" fillId="0" borderId="65" xfId="0" applyNumberFormat="1" applyFont="1" applyBorder="1"/>
    <xf numFmtId="37" fontId="100" fillId="0" borderId="65" xfId="0" applyNumberFormat="1" applyFont="1" applyBorder="1" applyAlignment="1">
      <alignment horizontal="right"/>
    </xf>
    <xf numFmtId="5" fontId="108" fillId="75" borderId="174" xfId="0" applyNumberFormat="1" applyFont="1" applyFill="1" applyBorder="1"/>
    <xf numFmtId="37" fontId="108" fillId="0" borderId="176" xfId="0" applyNumberFormat="1" applyFont="1" applyBorder="1"/>
    <xf numFmtId="37" fontId="108" fillId="0" borderId="175" xfId="0" applyNumberFormat="1" applyFont="1" applyBorder="1"/>
    <xf numFmtId="37" fontId="108" fillId="0" borderId="175" xfId="0" applyNumberFormat="1" applyFont="1" applyBorder="1" applyAlignment="1">
      <alignment horizontal="center" wrapText="1"/>
    </xf>
    <xf numFmtId="37" fontId="108" fillId="0" borderId="171"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lignment horizontal="right"/>
    </xf>
    <xf numFmtId="5" fontId="130" fillId="75" borderId="174" xfId="0" applyNumberFormat="1" applyFont="1" applyFill="1" applyBorder="1"/>
    <xf numFmtId="37" fontId="108" fillId="0" borderId="179" xfId="0" applyNumberFormat="1" applyFont="1" applyBorder="1"/>
    <xf numFmtId="37" fontId="100" fillId="0" borderId="180" xfId="0" applyNumberFormat="1" applyFont="1" applyBorder="1"/>
    <xf numFmtId="37" fontId="100" fillId="0" borderId="181" xfId="0" applyNumberFormat="1" applyFont="1" applyBorder="1" applyAlignment="1">
      <alignment horizontal="right"/>
    </xf>
    <xf numFmtId="5" fontId="108" fillId="75" borderId="181" xfId="0" applyNumberFormat="1" applyFont="1" applyFill="1" applyBorder="1"/>
    <xf numFmtId="5" fontId="130" fillId="75" borderId="182" xfId="0" applyNumberFormat="1" applyFont="1" applyFill="1" applyBorder="1" applyAlignment="1">
      <alignment horizontal="right"/>
    </xf>
    <xf numFmtId="0" fontId="135" fillId="0" borderId="0" xfId="0" applyFont="1"/>
    <xf numFmtId="0" fontId="100" fillId="0" borderId="65" xfId="0" applyFont="1" applyBorder="1"/>
    <xf numFmtId="37" fontId="108" fillId="30" borderId="176" xfId="0" applyNumberFormat="1" applyFont="1" applyFill="1" applyBorder="1"/>
    <xf numFmtId="37" fontId="100" fillId="30" borderId="175" xfId="0" applyNumberFormat="1" applyFont="1" applyFill="1" applyBorder="1"/>
    <xf numFmtId="37" fontId="100" fillId="30" borderId="177" xfId="0" applyNumberFormat="1" applyFont="1" applyFill="1" applyBorder="1"/>
    <xf numFmtId="37" fontId="100" fillId="30" borderId="171" xfId="0" applyNumberFormat="1" applyFont="1" applyFill="1" applyBorder="1"/>
    <xf numFmtId="0" fontId="167" fillId="0" borderId="0" xfId="0" applyFont="1" applyAlignment="1">
      <alignment vertical="top" wrapText="1"/>
    </xf>
    <xf numFmtId="0" fontId="74" fillId="0" borderId="49" xfId="0" applyFont="1" applyBorder="1" applyAlignment="1">
      <alignment horizontal="center"/>
    </xf>
    <xf numFmtId="0" fontId="74" fillId="30" borderId="49" xfId="0" applyFont="1" applyFill="1" applyBorder="1"/>
    <xf numFmtId="0" fontId="74" fillId="72" borderId="49" xfId="0" applyFont="1" applyFill="1" applyBorder="1"/>
    <xf numFmtId="4" fontId="149" fillId="0" borderId="49" xfId="0" applyNumberFormat="1" applyFont="1" applyBorder="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xf numFmtId="0" fontId="72" fillId="30" borderId="86" xfId="530" applyFont="1" applyFill="1" applyBorder="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lignment horizontal="right"/>
    </xf>
    <xf numFmtId="37" fontId="105" fillId="26" borderId="49" xfId="0" applyNumberFormat="1" applyFont="1" applyFill="1" applyBorder="1" applyAlignment="1">
      <alignment horizontal="fill"/>
    </xf>
    <xf numFmtId="165" fontId="105" fillId="26" borderId="49" xfId="181" applyNumberFormat="1" applyFont="1" applyFill="1" applyBorder="1" applyAlignment="1" applyProtection="1">
      <alignment horizontal="fill"/>
    </xf>
    <xf numFmtId="0" fontId="74" fillId="0" borderId="185" xfId="0" applyFont="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xf numFmtId="37" fontId="100" fillId="0" borderId="188" xfId="0" applyNumberFormat="1" applyFont="1" applyBorder="1" applyAlignment="1">
      <alignment horizontal="right"/>
    </xf>
    <xf numFmtId="37" fontId="100" fillId="0" borderId="189" xfId="0" applyNumberFormat="1" applyFont="1" applyBorder="1"/>
    <xf numFmtId="0" fontId="100" fillId="0" borderId="187" xfId="0" applyFont="1" applyBorder="1"/>
    <xf numFmtId="0" fontId="100" fillId="0" borderId="188" xfId="0" applyFont="1" applyBorder="1" applyAlignment="1">
      <alignment horizontal="right"/>
    </xf>
    <xf numFmtId="37" fontId="108" fillId="0" borderId="190" xfId="0" applyNumberFormat="1" applyFont="1" applyBorder="1" applyAlignment="1">
      <alignment horizontal="fill"/>
    </xf>
    <xf numFmtId="37" fontId="108" fillId="24" borderId="190" xfId="0" applyNumberFormat="1" applyFont="1" applyFill="1" applyBorder="1" applyAlignment="1">
      <alignment horizontal="fill"/>
    </xf>
    <xf numFmtId="37" fontId="108" fillId="24" borderId="191" xfId="0" applyNumberFormat="1" applyFont="1" applyFill="1" applyBorder="1" applyAlignment="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xf numFmtId="10" fontId="74" fillId="0" borderId="187" xfId="3292" applyNumberFormat="1" applyFont="1" applyBorder="1" applyProtection="1"/>
    <xf numFmtId="0" fontId="74" fillId="0" borderId="187" xfId="0" applyFont="1" applyBorder="1"/>
    <xf numFmtId="165" fontId="72" fillId="0" borderId="187" xfId="192" applyNumberFormat="1" applyFont="1" applyBorder="1" applyProtection="1"/>
    <xf numFmtId="37" fontId="100" fillId="0" borderId="190" xfId="0" applyNumberFormat="1" applyFont="1" applyBorder="1" applyAlignment="1">
      <alignment horizontal="right"/>
    </xf>
    <xf numFmtId="0" fontId="77" fillId="0" borderId="0" xfId="0" applyFont="1"/>
    <xf numFmtId="0" fontId="168" fillId="0" borderId="0" xfId="0" applyFont="1"/>
    <xf numFmtId="0" fontId="72" fillId="32" borderId="23" xfId="495" applyFont="1" applyFill="1" applyBorder="1" applyAlignment="1">
      <alignment horizontal="center" wrapText="1"/>
    </xf>
    <xf numFmtId="3" fontId="72" fillId="32" borderId="23" xfId="181" applyNumberFormat="1" applyFont="1" applyFill="1" applyBorder="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69" fillId="31" borderId="0" xfId="0" applyFont="1" applyFill="1" applyAlignment="1">
      <alignment horizontal="center"/>
    </xf>
    <xf numFmtId="4" fontId="19" fillId="31" borderId="0" xfId="0" applyNumberFormat="1" applyFont="1" applyFill="1"/>
    <xf numFmtId="166" fontId="72" fillId="70" borderId="192" xfId="0" applyNumberFormat="1" applyFont="1" applyFill="1" applyBorder="1"/>
    <xf numFmtId="166" fontId="72" fillId="32" borderId="192" xfId="0" applyNumberFormat="1" applyFont="1" applyFill="1" applyBorder="1"/>
    <xf numFmtId="0" fontId="100" fillId="0" borderId="193" xfId="0" applyFont="1" applyBorder="1"/>
    <xf numFmtId="37" fontId="100" fillId="0" borderId="196" xfId="0" applyNumberFormat="1" applyFont="1" applyBorder="1"/>
    <xf numFmtId="37" fontId="100" fillId="30" borderId="193" xfId="0" applyNumberFormat="1" applyFont="1" applyFill="1" applyBorder="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9" xfId="181" applyNumberFormat="1" applyFont="1" applyBorder="1" applyProtection="1"/>
    <xf numFmtId="0" fontId="105" fillId="0" borderId="0" xfId="49346" applyFont="1" applyAlignment="1">
      <alignment wrapText="1"/>
    </xf>
    <xf numFmtId="166" fontId="72" fillId="32" borderId="200" xfId="0" applyNumberFormat="1" applyFont="1" applyFill="1" applyBorder="1"/>
    <xf numFmtId="171" fontId="72" fillId="32" borderId="200" xfId="182" applyNumberFormat="1" applyFont="1" applyFill="1" applyBorder="1"/>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37" fontId="100" fillId="0" borderId="198" xfId="0" applyNumberFormat="1" applyFont="1" applyBorder="1" applyAlignment="1">
      <alignment horizontal="right"/>
    </xf>
    <xf numFmtId="37" fontId="129" fillId="24" borderId="198" xfId="0" applyNumberFormat="1" applyFont="1" applyFill="1" applyBorder="1"/>
    <xf numFmtId="0" fontId="72" fillId="0" borderId="205" xfId="0" applyFont="1" applyBorder="1"/>
    <xf numFmtId="0" fontId="72" fillId="78" borderId="205" xfId="0" applyFont="1" applyFill="1" applyBorder="1"/>
    <xf numFmtId="171" fontId="72" fillId="32" borderId="203" xfId="182" applyNumberFormat="1" applyFont="1" applyFill="1" applyBorder="1"/>
    <xf numFmtId="171" fontId="72" fillId="32" borderId="206" xfId="182" applyNumberFormat="1" applyFont="1" applyFill="1" applyBorder="1"/>
    <xf numFmtId="171" fontId="72" fillId="32" borderId="207" xfId="182" applyNumberFormat="1" applyFont="1" applyFill="1" applyBorder="1"/>
    <xf numFmtId="10" fontId="78" fillId="0" borderId="208" xfId="3292" quotePrefix="1" applyNumberFormat="1" applyFont="1" applyFill="1" applyBorder="1" applyAlignment="1" applyProtection="1">
      <alignment horizontal="right"/>
    </xf>
    <xf numFmtId="167" fontId="78" fillId="0" borderId="209" xfId="3292" applyNumberFormat="1" applyFont="1" applyBorder="1" applyAlignment="1" applyProtection="1">
      <alignment horizontal="right"/>
    </xf>
    <xf numFmtId="0" fontId="72" fillId="0" borderId="210" xfId="0" applyFont="1" applyBorder="1"/>
    <xf numFmtId="3" fontId="78" fillId="0" borderId="211" xfId="181" applyNumberFormat="1" applyFont="1" applyFill="1" applyBorder="1" applyAlignment="1" applyProtection="1"/>
    <xf numFmtId="0" fontId="72" fillId="0" borderId="212" xfId="0" applyFont="1" applyBorder="1"/>
    <xf numFmtId="3" fontId="78" fillId="0" borderId="213" xfId="181" applyNumberFormat="1" applyFont="1" applyFill="1" applyBorder="1" applyAlignment="1" applyProtection="1"/>
    <xf numFmtId="3" fontId="78" fillId="0" borderId="214" xfId="181" applyNumberFormat="1" applyFont="1" applyBorder="1" applyProtection="1"/>
    <xf numFmtId="10" fontId="78" fillId="0" borderId="215" xfId="3292" quotePrefix="1" applyNumberFormat="1" applyFont="1" applyFill="1" applyBorder="1" applyAlignment="1" applyProtection="1">
      <alignment horizontal="right"/>
    </xf>
    <xf numFmtId="167" fontId="78" fillId="0" borderId="216" xfId="3292" applyNumberFormat="1" applyFont="1" applyBorder="1" applyAlignment="1" applyProtection="1">
      <alignment horizontal="right"/>
    </xf>
    <xf numFmtId="10" fontId="78" fillId="0" borderId="214" xfId="3292" quotePrefix="1" applyNumberFormat="1" applyFont="1" applyFill="1" applyBorder="1" applyAlignment="1" applyProtection="1">
      <alignment horizontal="right"/>
    </xf>
    <xf numFmtId="167" fontId="78" fillId="0" borderId="217" xfId="3292" applyNumberFormat="1" applyFont="1" applyBorder="1" applyAlignment="1" applyProtection="1">
      <alignment horizontal="right"/>
    </xf>
    <xf numFmtId="3" fontId="78" fillId="0" borderId="218" xfId="181" applyNumberFormat="1" applyFont="1" applyBorder="1" applyAlignment="1" applyProtection="1">
      <alignment horizontal="right"/>
    </xf>
    <xf numFmtId="37" fontId="72" fillId="0" borderId="219" xfId="0" applyNumberFormat="1" applyFont="1" applyBorder="1"/>
    <xf numFmtId="3" fontId="156" fillId="32" borderId="220" xfId="0" applyNumberFormat="1" applyFont="1" applyFill="1" applyBorder="1" applyAlignment="1" applyProtection="1">
      <alignment horizontal="right"/>
      <protection locked="0"/>
    </xf>
    <xf numFmtId="0" fontId="72" fillId="0" borderId="220" xfId="0" applyFont="1" applyBorder="1"/>
    <xf numFmtId="0" fontId="72" fillId="0" borderId="220" xfId="0" applyFont="1" applyBorder="1" applyAlignment="1">
      <alignment horizontal="center"/>
    </xf>
    <xf numFmtId="4" fontId="72" fillId="0" borderId="220" xfId="0" applyNumberFormat="1" applyFont="1" applyBorder="1"/>
    <xf numFmtId="3" fontId="72" fillId="0" borderId="220" xfId="0" applyNumberFormat="1" applyFont="1" applyBorder="1"/>
    <xf numFmtId="0" fontId="72" fillId="0" borderId="221" xfId="0" applyFont="1" applyBorder="1"/>
    <xf numFmtId="0" fontId="72" fillId="0" borderId="221" xfId="0" applyFont="1" applyBorder="1" applyAlignment="1">
      <alignment horizontal="center"/>
    </xf>
    <xf numFmtId="3" fontId="156" fillId="32" borderId="221" xfId="0" applyNumberFormat="1" applyFont="1" applyFill="1" applyBorder="1" applyAlignment="1" applyProtection="1">
      <alignment horizontal="right"/>
      <protection locked="0"/>
    </xf>
    <xf numFmtId="4" fontId="72" fillId="0" borderId="221" xfId="0" applyNumberFormat="1" applyFont="1" applyBorder="1"/>
    <xf numFmtId="3" fontId="72" fillId="0" borderId="221" xfId="0" applyNumberFormat="1" applyFont="1" applyBorder="1"/>
    <xf numFmtId="168" fontId="130" fillId="75" borderId="222" xfId="0" applyNumberFormat="1" applyFont="1" applyFill="1" applyBorder="1" applyAlignment="1">
      <alignment horizontal="right"/>
    </xf>
    <xf numFmtId="5" fontId="130" fillId="75" borderId="222" xfId="0" applyNumberFormat="1" applyFont="1" applyFill="1" applyBorder="1" applyAlignment="1">
      <alignment horizontal="right"/>
    </xf>
    <xf numFmtId="37" fontId="100" fillId="24" borderId="223" xfId="0" applyNumberFormat="1" applyFont="1" applyFill="1" applyBorder="1" applyAlignment="1">
      <alignment horizontal="right"/>
    </xf>
    <xf numFmtId="37" fontId="100" fillId="30" borderId="203" xfId="0" applyNumberFormat="1" applyFont="1" applyFill="1" applyBorder="1" applyAlignment="1">
      <alignment horizontal="right"/>
    </xf>
    <xf numFmtId="37" fontId="100" fillId="24" borderId="203" xfId="0" applyNumberFormat="1" applyFont="1" applyFill="1" applyBorder="1" applyAlignment="1">
      <alignment horizontal="right"/>
    </xf>
    <xf numFmtId="37" fontId="100" fillId="24" borderId="224" xfId="0" applyNumberFormat="1" applyFont="1" applyFill="1" applyBorder="1" applyAlignment="1">
      <alignment horizontal="right"/>
    </xf>
    <xf numFmtId="37" fontId="129" fillId="75" borderId="203" xfId="0" applyNumberFormat="1" applyFont="1" applyFill="1" applyBorder="1" applyAlignment="1">
      <alignment horizontal="right"/>
    </xf>
    <xf numFmtId="37" fontId="129" fillId="24" borderId="224" xfId="0" applyNumberFormat="1" applyFont="1" applyFill="1" applyBorder="1" applyAlignment="1">
      <alignment horizontal="right"/>
    </xf>
    <xf numFmtId="37" fontId="129" fillId="75" borderId="228" xfId="0" applyNumberFormat="1" applyFont="1" applyFill="1" applyBorder="1" applyAlignment="1">
      <alignment horizontal="right"/>
    </xf>
    <xf numFmtId="37" fontId="129" fillId="24" borderId="224" xfId="0" applyNumberFormat="1" applyFont="1" applyFill="1" applyBorder="1"/>
    <xf numFmtId="37" fontId="108" fillId="30" borderId="229" xfId="0" applyNumberFormat="1" applyFont="1" applyFill="1" applyBorder="1"/>
    <xf numFmtId="37" fontId="129" fillId="75" borderId="228" xfId="0" applyNumberFormat="1" applyFont="1" applyFill="1" applyBorder="1"/>
    <xf numFmtId="37" fontId="100" fillId="75" borderId="228" xfId="0" applyNumberFormat="1" applyFont="1" applyFill="1" applyBorder="1"/>
    <xf numFmtId="37" fontId="100" fillId="0" borderId="224" xfId="0" applyNumberFormat="1" applyFont="1" applyBorder="1"/>
    <xf numFmtId="37" fontId="100" fillId="75" borderId="233" xfId="0" applyNumberFormat="1" applyFont="1" applyFill="1" applyBorder="1"/>
    <xf numFmtId="37" fontId="100" fillId="24" borderId="224" xfId="0" applyNumberFormat="1" applyFont="1" applyFill="1" applyBorder="1"/>
    <xf numFmtId="0" fontId="106" fillId="0" borderId="234" xfId="0" applyFont="1" applyBorder="1"/>
    <xf numFmtId="0" fontId="106" fillId="0" borderId="235" xfId="0" applyFont="1" applyBorder="1"/>
    <xf numFmtId="0" fontId="106" fillId="0" borderId="235" xfId="0" applyFont="1" applyBorder="1" applyAlignment="1">
      <alignment horizontal="center"/>
    </xf>
    <xf numFmtId="0" fontId="106" fillId="0" borderId="236" xfId="0" applyFont="1" applyBorder="1"/>
    <xf numFmtId="0" fontId="106" fillId="0" borderId="237" xfId="0" applyFont="1" applyBorder="1"/>
    <xf numFmtId="0" fontId="106" fillId="0" borderId="237" xfId="0" applyFont="1" applyBorder="1" applyAlignment="1">
      <alignment horizontal="center"/>
    </xf>
    <xf numFmtId="3" fontId="158" fillId="32" borderId="238" xfId="0" applyNumberFormat="1" applyFont="1" applyFill="1" applyBorder="1" applyProtection="1">
      <protection locked="0"/>
    </xf>
    <xf numFmtId="3" fontId="106" fillId="0" borderId="238" xfId="0" applyNumberFormat="1" applyFont="1" applyBorder="1"/>
    <xf numFmtId="0" fontId="106" fillId="0" borderId="238" xfId="0" applyFont="1" applyBorder="1" applyAlignment="1">
      <alignment horizontal="center"/>
    </xf>
    <xf numFmtId="0" fontId="106" fillId="0" borderId="239" xfId="0" applyFont="1" applyBorder="1"/>
    <xf numFmtId="0" fontId="106" fillId="76" borderId="238" xfId="0" applyFont="1" applyFill="1" applyBorder="1"/>
    <xf numFmtId="0" fontId="145" fillId="0" borderId="228" xfId="663" applyFont="1" applyBorder="1" applyAlignment="1">
      <alignment horizontal="center" wrapText="1"/>
    </xf>
    <xf numFmtId="0" fontId="145" fillId="0" borderId="240" xfId="663" applyFont="1" applyBorder="1" applyAlignment="1">
      <alignment horizontal="center" wrapText="1"/>
    </xf>
    <xf numFmtId="9" fontId="126" fillId="0" borderId="228" xfId="663" applyNumberFormat="1" applyFont="1" applyBorder="1" applyAlignment="1">
      <alignment horizontal="center" wrapText="1"/>
    </xf>
    <xf numFmtId="9" fontId="145" fillId="0" borderId="240" xfId="663" applyNumberFormat="1" applyFont="1" applyBorder="1" applyAlignment="1">
      <alignment horizontal="center" wrapText="1"/>
    </xf>
    <xf numFmtId="0" fontId="124" fillId="0" borderId="242" xfId="663" applyFont="1" applyBorder="1"/>
    <xf numFmtId="44" fontId="109" fillId="0" borderId="241" xfId="378" applyFont="1" applyFill="1" applyBorder="1" applyProtection="1"/>
    <xf numFmtId="44" fontId="109" fillId="0" borderId="243" xfId="378" applyFont="1" applyFill="1" applyBorder="1" applyProtection="1"/>
    <xf numFmtId="0" fontId="109" fillId="0" borderId="242" xfId="663" applyFont="1" applyBorder="1"/>
    <xf numFmtId="44" fontId="109" fillId="0" borderId="228" xfId="378" applyFont="1" applyFill="1" applyBorder="1" applyProtection="1"/>
    <xf numFmtId="44" fontId="109" fillId="0" borderId="240" xfId="378" applyFont="1" applyFill="1" applyBorder="1" applyProtection="1"/>
    <xf numFmtId="0" fontId="109" fillId="0" borderId="242" xfId="663" applyFont="1" applyBorder="1" applyAlignment="1">
      <alignment horizontal="left"/>
    </xf>
    <xf numFmtId="0" fontId="109" fillId="0" borderId="244" xfId="663" applyFont="1" applyBorder="1"/>
    <xf numFmtId="0" fontId="124" fillId="0" borderId="228" xfId="663" applyFont="1" applyBorder="1"/>
    <xf numFmtId="0" fontId="124" fillId="0" borderId="240" xfId="663" applyFont="1" applyBorder="1"/>
    <xf numFmtId="0" fontId="145" fillId="0" borderId="241" xfId="663" applyFont="1" applyBorder="1" applyAlignment="1">
      <alignment horizontal="center" wrapText="1"/>
    </xf>
    <xf numFmtId="0" fontId="145" fillId="0" borderId="243" xfId="663" applyFont="1" applyBorder="1" applyAlignment="1">
      <alignment horizontal="center" wrapText="1"/>
    </xf>
    <xf numFmtId="0" fontId="124" fillId="0" borderId="244" xfId="663" applyFont="1" applyBorder="1"/>
    <xf numFmtId="0" fontId="109" fillId="0" borderId="244" xfId="663" applyFont="1" applyBorder="1" applyAlignment="1">
      <alignment horizontal="left"/>
    </xf>
    <xf numFmtId="0" fontId="109" fillId="0" borderId="245" xfId="663" applyFont="1" applyBorder="1"/>
    <xf numFmtId="44" fontId="109" fillId="0" borderId="246" xfId="378" applyFont="1" applyFill="1" applyBorder="1" applyProtection="1"/>
    <xf numFmtId="44" fontId="109" fillId="0" borderId="247" xfId="378" applyFont="1" applyFill="1" applyBorder="1" applyProtection="1"/>
    <xf numFmtId="0" fontId="145" fillId="0" borderId="248" xfId="663" applyFont="1" applyBorder="1" applyAlignment="1">
      <alignment horizontal="center" wrapText="1"/>
    </xf>
    <xf numFmtId="9" fontId="145" fillId="0" borderId="248" xfId="663" applyNumberFormat="1" applyFont="1" applyBorder="1" applyAlignment="1">
      <alignment horizontal="center" wrapText="1"/>
    </xf>
    <xf numFmtId="0" fontId="124" fillId="0" borderId="249" xfId="663" applyFont="1" applyBorder="1"/>
    <xf numFmtId="44" fontId="109" fillId="0" borderId="248" xfId="378" applyFont="1" applyFill="1" applyBorder="1" applyProtection="1"/>
    <xf numFmtId="0" fontId="109" fillId="0" borderId="249" xfId="663" applyFont="1" applyBorder="1"/>
    <xf numFmtId="0" fontId="109" fillId="0" borderId="249" xfId="663" applyFont="1" applyBorder="1" applyAlignment="1">
      <alignment horizontal="left"/>
    </xf>
    <xf numFmtId="0" fontId="124" fillId="0" borderId="248" xfId="663" applyFont="1" applyBorder="1"/>
    <xf numFmtId="44" fontId="109" fillId="0" borderId="228" xfId="378" applyFont="1" applyFill="1" applyBorder="1" applyAlignment="1" applyProtection="1">
      <alignment horizontal="right"/>
    </xf>
    <xf numFmtId="44" fontId="109" fillId="0" borderId="248" xfId="378" applyFont="1" applyFill="1" applyBorder="1" applyAlignment="1" applyProtection="1">
      <alignment horizontal="right"/>
    </xf>
    <xf numFmtId="0" fontId="109" fillId="0" borderId="250" xfId="663" applyFont="1" applyBorder="1"/>
    <xf numFmtId="44" fontId="109" fillId="0" borderId="251" xfId="378" applyFont="1" applyFill="1" applyBorder="1" applyAlignment="1" applyProtection="1">
      <alignment horizontal="right"/>
    </xf>
    <xf numFmtId="44" fontId="109" fillId="0" borderId="252" xfId="378" applyFont="1" applyFill="1" applyBorder="1" applyAlignment="1" applyProtection="1">
      <alignment horizontal="right"/>
    </xf>
    <xf numFmtId="44" fontId="109" fillId="0" borderId="228" xfId="378" quotePrefix="1" applyFont="1" applyFill="1" applyBorder="1" applyProtection="1"/>
    <xf numFmtId="44" fontId="109" fillId="0" borderId="251" xfId="378" applyFont="1" applyFill="1" applyBorder="1" applyProtection="1"/>
    <xf numFmtId="44" fontId="109" fillId="0" borderId="251" xfId="378" quotePrefix="1" applyFont="1" applyFill="1" applyBorder="1" applyProtection="1"/>
    <xf numFmtId="44" fontId="109" fillId="0" borderId="252" xfId="378" applyFont="1" applyFill="1" applyBorder="1" applyProtection="1"/>
    <xf numFmtId="44" fontId="109" fillId="0" borderId="248" xfId="378" quotePrefix="1" applyFont="1" applyFill="1" applyBorder="1" applyProtection="1"/>
    <xf numFmtId="0" fontId="78" fillId="27" borderId="253" xfId="663" applyFont="1" applyFill="1" applyBorder="1" applyAlignment="1">
      <alignment wrapText="1"/>
    </xf>
    <xf numFmtId="9" fontId="72" fillId="27" borderId="254" xfId="663" applyNumberFormat="1" applyFont="1" applyFill="1" applyBorder="1" applyAlignment="1">
      <alignment horizontal="center"/>
    </xf>
    <xf numFmtId="0" fontId="72" fillId="27" borderId="255" xfId="663" applyFont="1" applyFill="1" applyBorder="1"/>
    <xf numFmtId="0" fontId="78" fillId="28" borderId="253" xfId="663" applyFont="1" applyFill="1" applyBorder="1" applyAlignment="1">
      <alignment wrapText="1"/>
    </xf>
    <xf numFmtId="9" fontId="72" fillId="28" borderId="254" xfId="663" applyNumberFormat="1" applyFont="1" applyFill="1" applyBorder="1" applyAlignment="1">
      <alignment horizontal="center"/>
    </xf>
    <xf numFmtId="0" fontId="72" fillId="28" borderId="255" xfId="663" applyFont="1" applyFill="1" applyBorder="1"/>
    <xf numFmtId="0" fontId="78" fillId="27" borderId="253" xfId="663" applyFont="1" applyFill="1" applyBorder="1"/>
    <xf numFmtId="0" fontId="72" fillId="27" borderId="255" xfId="663" applyFont="1" applyFill="1" applyBorder="1" applyAlignment="1">
      <alignment wrapText="1"/>
    </xf>
    <xf numFmtId="0" fontId="72" fillId="28" borderId="255" xfId="663" applyFont="1" applyFill="1" applyBorder="1" applyAlignment="1">
      <alignment horizontal="left"/>
    </xf>
    <xf numFmtId="0" fontId="78" fillId="28" borderId="258" xfId="663" applyFont="1" applyFill="1" applyBorder="1" applyAlignment="1">
      <alignment wrapText="1"/>
    </xf>
    <xf numFmtId="9" fontId="72" fillId="28" borderId="259" xfId="663" applyNumberFormat="1" applyFont="1" applyFill="1" applyBorder="1" applyAlignment="1">
      <alignment horizontal="center"/>
    </xf>
    <xf numFmtId="0" fontId="72" fillId="28" borderId="260"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7"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193" xfId="0" applyNumberFormat="1" applyFont="1" applyFill="1" applyBorder="1" applyAlignment="1">
      <alignment horizontal="left"/>
    </xf>
    <xf numFmtId="37" fontId="108" fillId="30" borderId="203" xfId="0" applyNumberFormat="1" applyFont="1" applyFill="1" applyBorder="1" applyAlignment="1">
      <alignment horizontal="left"/>
    </xf>
    <xf numFmtId="37" fontId="108" fillId="30" borderId="225" xfId="0" applyNumberFormat="1" applyFont="1" applyFill="1" applyBorder="1" applyAlignment="1">
      <alignment horizontal="left"/>
    </xf>
    <xf numFmtId="37" fontId="108" fillId="30" borderId="226" xfId="0" applyNumberFormat="1" applyFont="1" applyFill="1" applyBorder="1" applyAlignment="1">
      <alignment horizontal="left"/>
    </xf>
    <xf numFmtId="37" fontId="108" fillId="30" borderId="227" xfId="0" applyNumberFormat="1" applyFont="1" applyFill="1" applyBorder="1" applyAlignment="1">
      <alignment horizontal="left"/>
    </xf>
    <xf numFmtId="37" fontId="108" fillId="30" borderId="176" xfId="0" applyNumberFormat="1" applyFont="1" applyFill="1" applyBorder="1" applyAlignment="1">
      <alignment horizontal="left"/>
    </xf>
    <xf numFmtId="37" fontId="108" fillId="30" borderId="175" xfId="0" applyNumberFormat="1" applyFont="1" applyFill="1" applyBorder="1" applyAlignment="1">
      <alignment horizontal="left"/>
    </xf>
    <xf numFmtId="37" fontId="108" fillId="30" borderId="177" xfId="0" applyNumberFormat="1" applyFont="1" applyFill="1" applyBorder="1" applyAlignment="1">
      <alignment horizontal="left"/>
    </xf>
    <xf numFmtId="37" fontId="108" fillId="30" borderId="230" xfId="0" applyNumberFormat="1" applyFont="1" applyFill="1" applyBorder="1" applyAlignment="1">
      <alignment horizontal="left"/>
    </xf>
    <xf numFmtId="37" fontId="108" fillId="30" borderId="231" xfId="0" applyNumberFormat="1" applyFont="1" applyFill="1" applyBorder="1" applyAlignment="1">
      <alignment horizontal="left"/>
    </xf>
    <xf numFmtId="37" fontId="108" fillId="30" borderId="232" xfId="0" applyNumberFormat="1" applyFont="1" applyFill="1" applyBorder="1" applyAlignment="1">
      <alignment horizontal="left"/>
    </xf>
    <xf numFmtId="0" fontId="137" fillId="32" borderId="17" xfId="0" applyFont="1" applyFill="1" applyBorder="1" applyAlignment="1">
      <alignment horizontal="left"/>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lignment horizontal="left"/>
    </xf>
    <xf numFmtId="37" fontId="104" fillId="30" borderId="87" xfId="0" applyNumberFormat="1" applyFont="1" applyFill="1" applyBorder="1" applyAlignment="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lignment horizontal="left"/>
    </xf>
    <xf numFmtId="37" fontId="141" fillId="30" borderId="85" xfId="0" applyNumberFormat="1" applyFont="1" applyFill="1" applyBorder="1" applyAlignment="1">
      <alignment horizontal="left"/>
    </xf>
    <xf numFmtId="37" fontId="141" fillId="30" borderId="86" xfId="0" applyNumberFormat="1" applyFont="1" applyFill="1" applyBorder="1" applyAlignment="1">
      <alignment horizontal="left"/>
    </xf>
    <xf numFmtId="0" fontId="148" fillId="32" borderId="85" xfId="0" applyFont="1" applyFill="1" applyBorder="1" applyAlignment="1">
      <alignment horizontal="left" vertical="top"/>
    </xf>
    <xf numFmtId="0" fontId="148" fillId="32" borderId="86" xfId="0" applyFont="1" applyFill="1" applyBorder="1" applyAlignment="1">
      <alignment horizontal="left" vertical="top"/>
    </xf>
    <xf numFmtId="0" fontId="140" fillId="0" borderId="0" xfId="0" applyFont="1" applyAlignment="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184" xfId="0" applyFont="1" applyBorder="1" applyAlignment="1">
      <alignment horizontal="center"/>
    </xf>
    <xf numFmtId="0" fontId="126" fillId="0" borderId="241" xfId="0" applyFont="1" applyBorder="1" applyAlignment="1">
      <alignment horizontal="center"/>
    </xf>
    <xf numFmtId="0" fontId="126" fillId="0" borderId="153" xfId="0" applyFont="1" applyBorder="1" applyAlignment="1">
      <alignment wrapText="1"/>
    </xf>
    <xf numFmtId="0" fontId="126" fillId="0" borderId="15" xfId="0" applyFont="1" applyBorder="1" applyAlignment="1">
      <alignment wrapText="1"/>
    </xf>
    <xf numFmtId="0" fontId="126" fillId="0" borderId="194" xfId="0" applyFont="1" applyBorder="1" applyAlignment="1">
      <alignment wrapText="1"/>
    </xf>
    <xf numFmtId="0" fontId="124" fillId="0" borderId="0" xfId="663" applyFont="1" applyAlignment="1">
      <alignment horizontal="left" wrapText="1"/>
    </xf>
    <xf numFmtId="0" fontId="125" fillId="0" borderId="195" xfId="0" applyFont="1" applyBorder="1" applyAlignment="1">
      <alignment wrapText="1"/>
    </xf>
    <xf numFmtId="0" fontId="125" fillId="0" borderId="60"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5" xfId="0" applyFont="1" applyBorder="1" applyAlignment="1">
      <alignment horizontal="left" vertical="top" wrapText="1"/>
    </xf>
    <xf numFmtId="0" fontId="71" fillId="0" borderId="87" xfId="0" applyFont="1" applyBorder="1" applyAlignment="1">
      <alignment horizontal="left" vertical="top" wrapText="1"/>
    </xf>
    <xf numFmtId="0" fontId="71" fillId="0" borderId="86" xfId="0" applyFont="1" applyBorder="1" applyAlignment="1">
      <alignment horizontal="left" vertical="top" wrapText="1"/>
    </xf>
    <xf numFmtId="0" fontId="71" fillId="0" borderId="0" xfId="530" applyFont="1" applyAlignment="1" applyProtection="1">
      <alignment horizontal="center"/>
      <protection locked="0"/>
    </xf>
    <xf numFmtId="165" fontId="72" fillId="32" borderId="249" xfId="181" applyNumberFormat="1" applyFont="1" applyFill="1" applyBorder="1" applyAlignment="1">
      <alignment horizontal="right"/>
    </xf>
    <xf numFmtId="0" fontId="72" fillId="79" borderId="43" xfId="0" applyFont="1" applyFill="1" applyBorder="1"/>
    <xf numFmtId="0" fontId="72" fillId="79" borderId="204"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4"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5"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261" xfId="0" applyNumberFormat="1" applyFont="1" applyFill="1" applyBorder="1" applyProtection="1">
      <protection locked="0"/>
    </xf>
    <xf numFmtId="4" fontId="161" fillId="32" borderId="262" xfId="0" applyNumberFormat="1" applyFont="1" applyFill="1" applyBorder="1" applyProtection="1">
      <protection locked="0"/>
    </xf>
    <xf numFmtId="0" fontId="174" fillId="72" borderId="23" xfId="0" applyFont="1" applyFill="1" applyBorder="1"/>
    <xf numFmtId="4" fontId="161" fillId="32" borderId="194"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34" xfId="0" applyFont="1" applyFill="1" applyBorder="1" applyAlignment="1" applyProtection="1">
      <alignment horizontal="center"/>
      <protection locked="0"/>
    </xf>
    <xf numFmtId="0" fontId="162" fillId="32" borderId="235" xfId="0" applyFont="1" applyFill="1" applyBorder="1" applyAlignment="1" applyProtection="1">
      <alignment horizontal="center"/>
      <protection locked="0"/>
    </xf>
    <xf numFmtId="0" fontId="162" fillId="32" borderId="236" xfId="0" applyFont="1" applyFill="1" applyBorder="1" applyAlignment="1" applyProtection="1">
      <alignment horizontal="center"/>
      <protection locked="0"/>
    </xf>
    <xf numFmtId="0" fontId="162" fillId="32" borderId="237" xfId="0" applyFont="1" applyFill="1" applyBorder="1" applyAlignment="1" applyProtection="1">
      <alignment horizontal="center"/>
      <protection locked="0"/>
    </xf>
    <xf numFmtId="0" fontId="162" fillId="32" borderId="194"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xf numFmtId="0" fontId="72" fillId="29" borderId="86" xfId="0" applyFont="1" applyFill="1" applyBorder="1"/>
    <xf numFmtId="0" fontId="72" fillId="34" borderId="85" xfId="0" applyFont="1" applyFill="1" applyBorder="1"/>
    <xf numFmtId="0" fontId="72" fillId="34" borderId="86" xfId="0" applyFont="1" applyFill="1" applyBorder="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xf numFmtId="0" fontId="108" fillId="74" borderId="86" xfId="0" applyFont="1" applyFill="1" applyBorder="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lignment horizontal="centerContinuous"/>
    </xf>
    <xf numFmtId="37" fontId="104" fillId="30" borderId="86" xfId="0" applyNumberFormat="1" applyFont="1" applyFill="1" applyBorder="1" applyAlignment="1">
      <alignment horizontal="centerContinuous"/>
    </xf>
    <xf numFmtId="0" fontId="163" fillId="0" borderId="234" xfId="0" applyFont="1" applyBorder="1"/>
    <xf numFmtId="0" fontId="126" fillId="0" borderId="201" xfId="0" applyFont="1" applyBorder="1" applyAlignment="1">
      <alignment horizontal="centerContinuous" wrapText="1"/>
    </xf>
    <xf numFmtId="0" fontId="126" fillId="0" borderId="187" xfId="0" applyFont="1" applyBorder="1" applyAlignment="1">
      <alignment horizontal="centerContinuous" wrapText="1"/>
    </xf>
    <xf numFmtId="0" fontId="126" fillId="0" borderId="202"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199" xfId="0" applyFont="1" applyBorder="1" applyAlignment="1">
      <alignment horizontal="centerContinuous" wrapText="1"/>
    </xf>
    <xf numFmtId="0" fontId="140" fillId="0" borderId="62" xfId="663" applyFont="1" applyBorder="1" applyAlignment="1">
      <alignment horizontal="centerContinuous"/>
    </xf>
    <xf numFmtId="0" fontId="140" fillId="0" borderId="63"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56" xfId="663" applyFont="1" applyBorder="1" applyAlignment="1">
      <alignment horizontal="centerContinuous"/>
    </xf>
    <xf numFmtId="0" fontId="75" fillId="0" borderId="231" xfId="663" applyFont="1" applyBorder="1" applyAlignment="1">
      <alignment horizontal="centerContinuous"/>
    </xf>
    <xf numFmtId="0" fontId="75" fillId="0" borderId="257" xfId="663" applyFont="1" applyBorder="1" applyAlignment="1">
      <alignment horizontal="centerContinuous"/>
    </xf>
    <xf numFmtId="0" fontId="75" fillId="0" borderId="40" xfId="663" applyFont="1" applyBorder="1" applyAlignment="1">
      <alignment horizontal="centerContinuous"/>
    </xf>
    <xf numFmtId="9" fontId="72" fillId="0" borderId="231" xfId="663" applyNumberFormat="1" applyFont="1" applyBorder="1" applyAlignment="1">
      <alignment horizontal="centerContinuous"/>
    </xf>
    <xf numFmtId="0" fontId="72" fillId="0" borderId="257" xfId="663" applyFont="1" applyBorder="1" applyAlignment="1">
      <alignment horizontal="centerContinuous"/>
    </xf>
    <xf numFmtId="0" fontId="75" fillId="0" borderId="118" xfId="663" applyFont="1" applyBorder="1" applyAlignment="1">
      <alignment horizontal="centerContinuous"/>
    </xf>
    <xf numFmtId="0" fontId="125" fillId="0" borderId="0" xfId="0" applyFont="1" applyAlignment="1">
      <alignment horizontal="centerContinuous"/>
    </xf>
    <xf numFmtId="0" fontId="106" fillId="0" borderId="261" xfId="0" applyFont="1" applyBorder="1" applyAlignment="1">
      <alignment horizontal="center"/>
    </xf>
    <xf numFmtId="3" fontId="158" fillId="32" borderId="261" xfId="0" applyNumberFormat="1" applyFont="1" applyFill="1" applyBorder="1" applyProtection="1">
      <protection locked="0"/>
    </xf>
    <xf numFmtId="3" fontId="106" fillId="0" borderId="261" xfId="0" applyNumberFormat="1" applyFont="1" applyBorder="1"/>
    <xf numFmtId="37" fontId="106" fillId="0" borderId="172" xfId="0" applyNumberFormat="1" applyFont="1" applyBorder="1"/>
    <xf numFmtId="0" fontId="72" fillId="32" borderId="261" xfId="495" applyFont="1" applyFill="1" applyBorder="1" applyAlignment="1">
      <alignment horizontal="center" wrapText="1"/>
    </xf>
    <xf numFmtId="3" fontId="72" fillId="32" borderId="261" xfId="181" applyNumberFormat="1" applyFont="1" applyFill="1" applyBorder="1"/>
    <xf numFmtId="0" fontId="129" fillId="79" borderId="0" xfId="526" applyFont="1" applyFill="1" applyAlignment="1">
      <alignment horizontal="left" wrapText="1"/>
    </xf>
    <xf numFmtId="2" fontId="100" fillId="0" borderId="10" xfId="0" applyNumberFormat="1" applyFont="1" applyBorder="1" applyAlignment="1">
      <alignment horizontal="right"/>
    </xf>
    <xf numFmtId="0" fontId="79" fillId="31" borderId="0" xfId="0" applyFont="1" applyFill="1" applyAlignment="1">
      <alignment horizontal="left"/>
    </xf>
    <xf numFmtId="49" fontId="71" fillId="0" borderId="85" xfId="0" applyNumberFormat="1" applyFont="1" applyBorder="1" applyAlignment="1">
      <alignment horizontal="left"/>
    </xf>
    <xf numFmtId="49" fontId="71" fillId="0" borderId="87" xfId="0" applyNumberFormat="1" applyFont="1" applyBorder="1" applyAlignment="1">
      <alignment horizontal="left"/>
    </xf>
    <xf numFmtId="49" fontId="71" fillId="0" borderId="86" xfId="0" applyNumberFormat="1" applyFont="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50" xfId="0" applyFont="1" applyBorder="1" applyAlignment="1">
      <alignment horizontal="center"/>
    </xf>
    <xf numFmtId="0" fontId="74" fillId="0" borderId="51" xfId="0" applyFont="1" applyBorder="1" applyAlignment="1">
      <alignment horizontal="center"/>
    </xf>
    <xf numFmtId="0" fontId="74" fillId="0" borderId="52" xfId="0" applyFont="1" applyBorder="1" applyAlignment="1">
      <alignment horizontal="center"/>
    </xf>
    <xf numFmtId="0" fontId="74" fillId="0" borderId="88" xfId="0" applyFont="1" applyBorder="1" applyAlignment="1">
      <alignment horizontal="center" wrapText="1"/>
    </xf>
    <xf numFmtId="0" fontId="74" fillId="0" borderId="87" xfId="0" applyFont="1" applyBorder="1" applyAlignment="1">
      <alignment horizontal="center" wrapText="1"/>
    </xf>
    <xf numFmtId="0" fontId="74" fillId="0" borderId="53" xfId="0" applyFont="1" applyBorder="1" applyAlignment="1">
      <alignment horizontal="center"/>
    </xf>
    <xf numFmtId="0" fontId="73" fillId="0" borderId="85" xfId="0" applyFont="1" applyBorder="1" applyAlignment="1">
      <alignment horizontal="center" wrapText="1"/>
    </xf>
    <xf numFmtId="0" fontId="73" fillId="0" borderId="86" xfId="0" applyFont="1" applyBorder="1" applyAlignment="1">
      <alignment horizontal="center" wrapText="1"/>
    </xf>
    <xf numFmtId="0" fontId="71" fillId="0" borderId="85" xfId="0" applyFont="1" applyBorder="1" applyAlignment="1">
      <alignment horizontal="left"/>
    </xf>
    <xf numFmtId="0" fontId="71" fillId="0" borderId="87" xfId="0" applyFont="1" applyBorder="1" applyAlignment="1">
      <alignment horizontal="left"/>
    </xf>
    <xf numFmtId="0" fontId="71" fillId="0" borderId="86"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7" xfId="0" applyFont="1" applyBorder="1" applyAlignment="1">
      <alignment horizontal="center"/>
    </xf>
    <xf numFmtId="0" fontId="74" fillId="0" borderId="49" xfId="0" applyFont="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41" xfId="0" applyNumberFormat="1" applyFont="1" applyFill="1" applyBorder="1"/>
    <xf numFmtId="169" fontId="72" fillId="32" borderId="228" xfId="0" applyNumberFormat="1" applyFont="1" applyFill="1" applyBorder="1"/>
    <xf numFmtId="169" fontId="72" fillId="32" borderId="251" xfId="0" applyNumberFormat="1" applyFont="1" applyFill="1" applyBorder="1"/>
    <xf numFmtId="172" fontId="100" fillId="0" borderId="10" xfId="0" applyNumberFormat="1" applyFont="1" applyBorder="1" applyAlignment="1">
      <alignment horizontal="right"/>
    </xf>
    <xf numFmtId="0" fontId="72" fillId="0" borderId="261" xfId="0" applyFont="1" applyBorder="1"/>
    <xf numFmtId="37" fontId="178" fillId="32" borderId="261" xfId="0" applyNumberFormat="1" applyFont="1" applyFill="1" applyBorder="1" applyAlignment="1">
      <alignment horizontal="right"/>
    </xf>
    <xf numFmtId="37" fontId="179" fillId="0" borderId="263" xfId="0" applyNumberFormat="1" applyFont="1" applyBorder="1"/>
    <xf numFmtId="37" fontId="179" fillId="0" borderId="264" xfId="0" applyNumberFormat="1" applyFont="1" applyBorder="1"/>
    <xf numFmtId="37" fontId="179" fillId="0" borderId="265" xfId="0" applyNumberFormat="1" applyFont="1" applyBorder="1"/>
    <xf numFmtId="37" fontId="179" fillId="0" borderId="266" xfId="0" applyNumberFormat="1" applyFont="1" applyBorder="1"/>
    <xf numFmtId="172" fontId="179" fillId="0" borderId="261" xfId="0" applyNumberFormat="1" applyFont="1" applyBorder="1" applyAlignment="1">
      <alignment horizontal="center"/>
    </xf>
    <xf numFmtId="37" fontId="180" fillId="0" borderId="172" xfId="0" applyNumberFormat="1" applyFont="1" applyBorder="1"/>
    <xf numFmtId="37" fontId="180" fillId="0" borderId="0" xfId="0" applyNumberFormat="1" applyFont="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Border="1" applyAlignment="1">
      <alignment horizontal="centerContinuous" wrapText="1"/>
    </xf>
    <xf numFmtId="0" fontId="74" fillId="0" borderId="87" xfId="0" applyFont="1" applyBorder="1" applyAlignment="1">
      <alignment horizontal="centerContinuous" wrapText="1"/>
    </xf>
    <xf numFmtId="0" fontId="74" fillId="0" borderId="86" xfId="0" applyFont="1" applyBorder="1" applyAlignment="1">
      <alignment horizontal="centerContinuous" wrapText="1"/>
    </xf>
    <xf numFmtId="0" fontId="104" fillId="0" borderId="49" xfId="0" applyFont="1" applyBorder="1" applyAlignment="1">
      <alignment horizontal="center" wrapText="1"/>
    </xf>
    <xf numFmtId="0" fontId="104" fillId="0" borderId="29" xfId="0" applyFont="1" applyBorder="1" applyAlignment="1">
      <alignment horizontal="center" wrapText="1"/>
    </xf>
    <xf numFmtId="0" fontId="74" fillId="0" borderId="88" xfId="0" applyFont="1" applyBorder="1" applyAlignment="1">
      <alignment horizontal="center"/>
    </xf>
    <xf numFmtId="0" fontId="79" fillId="31" borderId="0" xfId="0" applyFont="1" applyFill="1" applyAlignment="1">
      <alignment horizontal="centerContinuous" wrapText="1"/>
    </xf>
    <xf numFmtId="0" fontId="104" fillId="0" borderId="85" xfId="0" applyFont="1" applyBorder="1" applyAlignment="1">
      <alignment horizontal="centerContinuous"/>
    </xf>
    <xf numFmtId="0" fontId="104" fillId="0" borderId="87" xfId="0" applyFont="1" applyBorder="1" applyAlignment="1">
      <alignment horizontal="centerContinuous"/>
    </xf>
    <xf numFmtId="0" fontId="104" fillId="0" borderId="86"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79" borderId="0" xfId="0" applyFont="1" applyFill="1"/>
    <xf numFmtId="0" fontId="72" fillId="79" borderId="199" xfId="0" applyFont="1" applyFill="1" applyBorder="1"/>
    <xf numFmtId="3" fontId="72" fillId="36" borderId="238" xfId="0" applyNumberFormat="1" applyFont="1" applyFill="1" applyBorder="1" applyAlignment="1">
      <alignment horizontal="right"/>
    </xf>
    <xf numFmtId="0" fontId="72" fillId="79" borderId="267" xfId="0" applyFont="1" applyFill="1" applyBorder="1"/>
    <xf numFmtId="0" fontId="103" fillId="0" borderId="85" xfId="0" applyFont="1" applyBorder="1" applyAlignment="1">
      <alignment horizontal="centerContinuous"/>
    </xf>
    <xf numFmtId="0" fontId="103" fillId="0" borderId="87" xfId="0" applyFont="1" applyBorder="1" applyAlignment="1">
      <alignment horizontal="centerContinuous"/>
    </xf>
    <xf numFmtId="0" fontId="103" fillId="0" borderId="86" xfId="0" applyFont="1" applyBorder="1" applyAlignment="1">
      <alignment horizontal="centerContinuous"/>
    </xf>
    <xf numFmtId="166" fontId="72" fillId="71" borderId="52" xfId="0" applyNumberFormat="1" applyFont="1" applyFill="1" applyBorder="1"/>
    <xf numFmtId="3" fontId="72" fillId="0" borderId="36" xfId="0" applyNumberFormat="1" applyFont="1" applyBorder="1"/>
    <xf numFmtId="172" fontId="180" fillId="0" borderId="10" xfId="0" applyNumberFormat="1" applyFont="1" applyBorder="1"/>
    <xf numFmtId="0" fontId="106" fillId="0" borderId="234" xfId="0" applyFont="1" applyBorder="1" applyAlignment="1">
      <alignment horizontal="centerContinuous" wrapText="1"/>
    </xf>
    <xf numFmtId="0" fontId="106" fillId="0" borderId="235" xfId="0" applyFont="1" applyBorder="1" applyAlignment="1">
      <alignment horizontal="centerContinuous"/>
    </xf>
    <xf numFmtId="49" fontId="72" fillId="32" borderId="39" xfId="0" applyNumberFormat="1" applyFont="1" applyFill="1" applyBorder="1" applyAlignment="1" applyProtection="1">
      <alignment horizontal="centerContinuous" vertical="top" wrapText="1"/>
      <protection locked="0"/>
    </xf>
    <xf numFmtId="49" fontId="72" fillId="32" borderId="47" xfId="0" applyNumberFormat="1" applyFont="1" applyFill="1" applyBorder="1" applyAlignment="1" applyProtection="1">
      <alignment horizontal="centerContinuous" vertical="top" wrapText="1"/>
      <protection locked="0"/>
    </xf>
    <xf numFmtId="49" fontId="72" fillId="32" borderId="48" xfId="0" applyNumberFormat="1" applyFont="1" applyFill="1" applyBorder="1" applyAlignment="1" applyProtection="1">
      <alignment horizontal="centerContinuous" vertical="top" wrapText="1"/>
      <protection locked="0"/>
    </xf>
    <xf numFmtId="49" fontId="72" fillId="32" borderId="40" xfId="0" applyNumberFormat="1" applyFont="1" applyFill="1" applyBorder="1" applyAlignment="1" applyProtection="1">
      <alignment horizontal="centerContinuous" vertical="top" wrapText="1"/>
      <protection locked="0"/>
    </xf>
    <xf numFmtId="49" fontId="72" fillId="32" borderId="0" xfId="0" applyNumberFormat="1" applyFont="1" applyFill="1" applyAlignment="1" applyProtection="1">
      <alignment horizontal="centerContinuous" vertical="top" wrapText="1"/>
      <protection locked="0"/>
    </xf>
    <xf numFmtId="49" fontId="72" fillId="32" borderId="44" xfId="0" applyNumberFormat="1" applyFont="1" applyFill="1" applyBorder="1" applyAlignment="1" applyProtection="1">
      <alignment horizontal="centerContinuous" vertical="top" wrapText="1"/>
      <protection locked="0"/>
    </xf>
    <xf numFmtId="49" fontId="78" fillId="0" borderId="38" xfId="0" applyNumberFormat="1" applyFont="1" applyBorder="1"/>
    <xf numFmtId="4" fontId="78" fillId="0" borderId="64" xfId="3292" quotePrefix="1" applyNumberFormat="1" applyFont="1" applyFill="1" applyBorder="1" applyAlignment="1" applyProtection="1">
      <alignment horizontal="right"/>
    </xf>
    <xf numFmtId="0" fontId="72" fillId="32" borderId="133" xfId="0" applyFont="1" applyFill="1" applyBorder="1" applyAlignment="1" applyProtection="1">
      <alignment horizontal="centerContinuous" vertical="top" wrapText="1"/>
      <protection locked="0"/>
    </xf>
    <xf numFmtId="0" fontId="72" fillId="32" borderId="67" xfId="0" applyFont="1" applyFill="1" applyBorder="1" applyAlignment="1" applyProtection="1">
      <alignment horizontal="centerContinuous" vertical="top" wrapText="1"/>
      <protection locked="0"/>
    </xf>
    <xf numFmtId="0" fontId="72" fillId="32" borderId="134" xfId="0" applyFont="1" applyFill="1" applyBorder="1" applyAlignment="1" applyProtection="1">
      <alignment horizontal="centerContinuous" vertical="top" wrapText="1"/>
      <protection locked="0"/>
    </xf>
    <xf numFmtId="49" fontId="106" fillId="32" borderId="39" xfId="0" applyNumberFormat="1" applyFont="1" applyFill="1" applyBorder="1" applyAlignment="1" applyProtection="1">
      <alignment horizontal="centerContinuous" vertical="top" wrapText="1"/>
      <protection locked="0"/>
    </xf>
    <xf numFmtId="49" fontId="106" fillId="32" borderId="47" xfId="0" applyNumberFormat="1" applyFont="1" applyFill="1" applyBorder="1" applyAlignment="1" applyProtection="1">
      <alignment horizontal="centerContinuous" vertical="top" wrapText="1"/>
      <protection locked="0"/>
    </xf>
    <xf numFmtId="49" fontId="106" fillId="32" borderId="48" xfId="0" applyNumberFormat="1" applyFont="1" applyFill="1" applyBorder="1" applyAlignment="1" applyProtection="1">
      <alignment horizontal="centerContinuous" vertical="top" wrapText="1"/>
      <protection locked="0"/>
    </xf>
    <xf numFmtId="49" fontId="106" fillId="32" borderId="153" xfId="0" applyNumberFormat="1" applyFont="1" applyFill="1" applyBorder="1" applyAlignment="1" applyProtection="1">
      <alignment horizontal="centerContinuous" vertical="top" wrapText="1"/>
      <protection locked="0"/>
    </xf>
    <xf numFmtId="49" fontId="106" fillId="32" borderId="105" xfId="0" applyNumberFormat="1" applyFont="1" applyFill="1" applyBorder="1" applyAlignment="1" applyProtection="1">
      <alignment horizontal="centerContinuous" vertical="top" wrapText="1"/>
      <protection locked="0"/>
    </xf>
    <xf numFmtId="49" fontId="106" fillId="32" borderId="71" xfId="0" applyNumberFormat="1" applyFont="1" applyFill="1" applyBorder="1" applyAlignment="1" applyProtection="1">
      <alignment horizontal="centerContinuous" vertical="top" wrapText="1"/>
      <protection locked="0"/>
    </xf>
    <xf numFmtId="49" fontId="106" fillId="32" borderId="21" xfId="0" applyNumberFormat="1" applyFont="1" applyFill="1" applyBorder="1" applyAlignment="1" applyProtection="1">
      <alignment horizontal="centerContinuous" vertical="top" wrapText="1"/>
      <protection locked="0"/>
    </xf>
    <xf numFmtId="49" fontId="106" fillId="32" borderId="17" xfId="0" applyNumberFormat="1" applyFont="1" applyFill="1" applyBorder="1" applyAlignment="1" applyProtection="1">
      <alignment horizontal="centerContinuous" vertical="top" wrapText="1"/>
      <protection locked="0"/>
    </xf>
    <xf numFmtId="49" fontId="106" fillId="32" borderId="22" xfId="0" applyNumberFormat="1" applyFont="1" applyFill="1" applyBorder="1" applyAlignment="1" applyProtection="1">
      <alignment horizontal="centerContinuous" vertical="top" wrapText="1"/>
      <protection locked="0"/>
    </xf>
    <xf numFmtId="5" fontId="151" fillId="32" borderId="241" xfId="49334" applyNumberFormat="1" applyFont="1" applyFill="1" applyBorder="1" applyAlignment="1">
      <alignment horizontal="right"/>
    </xf>
    <xf numFmtId="165" fontId="151" fillId="32" borderId="228" xfId="49334" applyNumberFormat="1" applyFont="1" applyFill="1" applyBorder="1" applyAlignment="1">
      <alignment horizontal="right"/>
    </xf>
    <xf numFmtId="3" fontId="72" fillId="36" borderId="261" xfId="0" applyNumberFormat="1" applyFont="1" applyFill="1" applyBorder="1" applyAlignment="1">
      <alignment horizontal="right"/>
    </xf>
    <xf numFmtId="0" fontId="72" fillId="79" borderId="268" xfId="0" applyFont="1" applyFill="1" applyBorder="1"/>
    <xf numFmtId="0" fontId="72" fillId="0" borderId="269" xfId="0" applyFont="1" applyBorder="1"/>
    <xf numFmtId="0" fontId="74" fillId="0" borderId="262" xfId="0" applyFont="1" applyBorder="1" applyAlignment="1">
      <alignment horizontal="center"/>
    </xf>
    <xf numFmtId="3" fontId="74" fillId="0" borderId="238" xfId="0" applyNumberFormat="1" applyFont="1" applyBorder="1" applyAlignment="1">
      <alignment horizontal="center"/>
    </xf>
    <xf numFmtId="166" fontId="72" fillId="70" borderId="248" xfId="0" applyNumberFormat="1" applyFont="1" applyFill="1" applyBorder="1"/>
    <xf numFmtId="166" fontId="72" fillId="32" borderId="248" xfId="0" applyNumberFormat="1" applyFont="1" applyFill="1" applyBorder="1"/>
    <xf numFmtId="166" fontId="72" fillId="36" borderId="235" xfId="0" applyNumberFormat="1" applyFont="1" applyFill="1" applyBorder="1"/>
    <xf numFmtId="169" fontId="72" fillId="32" borderId="249" xfId="17654" applyNumberFormat="1" applyFont="1" applyFill="1" applyBorder="1"/>
    <xf numFmtId="171" fontId="72" fillId="32" borderId="248" xfId="17654" applyNumberFormat="1" applyFont="1" applyFill="1" applyBorder="1"/>
    <xf numFmtId="166" fontId="72" fillId="36" borderId="261" xfId="0" applyNumberFormat="1" applyFont="1" applyFill="1" applyBorder="1"/>
    <xf numFmtId="171" fontId="72" fillId="32" borderId="248" xfId="182" applyNumberFormat="1" applyFont="1" applyFill="1" applyBorder="1"/>
    <xf numFmtId="169" fontId="78" fillId="32" borderId="261" xfId="17654" applyNumberFormat="1" applyFont="1" applyFill="1" applyBorder="1"/>
    <xf numFmtId="166" fontId="72" fillId="36" borderId="234" xfId="0" applyNumberFormat="1" applyFont="1" applyFill="1" applyBorder="1"/>
    <xf numFmtId="166" fontId="72" fillId="32" borderId="261" xfId="182" applyNumberFormat="1" applyFont="1" applyFill="1" applyBorder="1"/>
    <xf numFmtId="166" fontId="78" fillId="32" borderId="261" xfId="17654" applyNumberFormat="1" applyFont="1" applyFill="1" applyBorder="1"/>
    <xf numFmtId="0" fontId="72" fillId="0" borderId="238" xfId="0" applyFont="1" applyBorder="1"/>
    <xf numFmtId="169" fontId="72" fillId="32" borderId="250" xfId="17654" applyNumberFormat="1" applyFont="1" applyFill="1" applyBorder="1"/>
    <xf numFmtId="171" fontId="72" fillId="32" borderId="252" xfId="17654" applyNumberFormat="1" applyFont="1" applyFill="1" applyBorder="1"/>
    <xf numFmtId="166" fontId="72" fillId="36" borderId="237" xfId="0" applyNumberFormat="1" applyFont="1" applyFill="1" applyBorder="1"/>
    <xf numFmtId="166" fontId="72" fillId="36" borderId="238" xfId="0" applyNumberFormat="1" applyFont="1" applyFill="1" applyBorder="1"/>
    <xf numFmtId="171" fontId="72" fillId="32" borderId="252" xfId="182" applyNumberFormat="1" applyFont="1" applyFill="1" applyBorder="1"/>
    <xf numFmtId="166" fontId="72" fillId="36" borderId="270" xfId="0" applyNumberFormat="1" applyFont="1" applyFill="1" applyBorder="1"/>
    <xf numFmtId="166" fontId="72" fillId="32" borderId="238" xfId="182" applyNumberFormat="1" applyFont="1" applyFill="1" applyBorder="1"/>
    <xf numFmtId="166" fontId="78" fillId="32" borderId="262" xfId="17654" applyNumberFormat="1" applyFont="1" applyFill="1" applyBorder="1"/>
    <xf numFmtId="3" fontId="78" fillId="0" borderId="271" xfId="181" quotePrefix="1" applyNumberFormat="1" applyFont="1" applyFill="1" applyBorder="1" applyAlignment="1" applyProtection="1"/>
    <xf numFmtId="3" fontId="78" fillId="0" borderId="254" xfId="181" applyNumberFormat="1" applyFont="1" applyBorder="1" applyProtection="1"/>
    <xf numFmtId="10" fontId="78" fillId="0" borderId="254" xfId="3292" quotePrefix="1" applyNumberFormat="1" applyFont="1" applyFill="1" applyBorder="1" applyAlignment="1" applyProtection="1">
      <alignment horizontal="right"/>
    </xf>
    <xf numFmtId="167" fontId="78" fillId="0" borderId="255" xfId="3292" applyNumberFormat="1" applyFont="1" applyBorder="1" applyAlignment="1" applyProtection="1">
      <alignment horizontal="right"/>
    </xf>
    <xf numFmtId="3" fontId="78" fillId="0" borderId="232" xfId="181" applyNumberFormat="1" applyFont="1" applyBorder="1" applyAlignment="1" applyProtection="1"/>
    <xf numFmtId="3" fontId="78" fillId="0" borderId="232" xfId="181" applyNumberFormat="1" applyFont="1" applyBorder="1" applyProtection="1"/>
    <xf numFmtId="3" fontId="78" fillId="0" borderId="224" xfId="181" applyNumberFormat="1" applyFont="1" applyBorder="1" applyAlignment="1" applyProtection="1"/>
    <xf numFmtId="3" fontId="78" fillId="0" borderId="224" xfId="181" applyNumberFormat="1" applyFont="1" applyBorder="1" applyProtection="1"/>
    <xf numFmtId="0" fontId="76" fillId="0" borderId="231" xfId="0" applyFont="1" applyBorder="1"/>
    <xf numFmtId="37" fontId="78" fillId="0" borderId="272" xfId="0" applyNumberFormat="1" applyFont="1" applyBorder="1" applyAlignment="1">
      <alignment horizontal="left"/>
    </xf>
    <xf numFmtId="37" fontId="120" fillId="0" borderId="272" xfId="0" applyNumberFormat="1" applyFont="1" applyBorder="1" applyAlignment="1">
      <alignment horizontal="right"/>
    </xf>
    <xf numFmtId="37" fontId="78" fillId="0" borderId="272" xfId="0" applyNumberFormat="1" applyFont="1" applyBorder="1"/>
    <xf numFmtId="37" fontId="74" fillId="0" borderId="231" xfId="0" applyNumberFormat="1" applyFont="1" applyBorder="1"/>
    <xf numFmtId="4" fontId="72" fillId="0" borderId="237" xfId="181" applyNumberFormat="1" applyFont="1" applyBorder="1" applyProtection="1"/>
    <xf numFmtId="4" fontId="156" fillId="32" borderId="262" xfId="0" applyNumberFormat="1" applyFont="1" applyFill="1" applyBorder="1" applyProtection="1">
      <protection locked="0"/>
    </xf>
    <xf numFmtId="4" fontId="156" fillId="32" borderId="238" xfId="0" applyNumberFormat="1" applyFont="1" applyFill="1" applyBorder="1" applyProtection="1">
      <protection locked="0"/>
    </xf>
    <xf numFmtId="4" fontId="72" fillId="0" borderId="238" xfId="181" applyNumberFormat="1" applyFont="1" applyBorder="1" applyProtection="1"/>
    <xf numFmtId="4" fontId="78" fillId="0" borderId="261" xfId="0" applyNumberFormat="1" applyFont="1" applyBorder="1"/>
    <xf numFmtId="4" fontId="149" fillId="0" borderId="261" xfId="0" applyNumberFormat="1" applyFont="1" applyBorder="1"/>
    <xf numFmtId="4" fontId="149" fillId="0" borderId="238" xfId="0" applyNumberFormat="1" applyFont="1" applyBorder="1"/>
    <xf numFmtId="4" fontId="72" fillId="0" borderId="237" xfId="181" applyNumberFormat="1" applyFont="1" applyFill="1" applyBorder="1" applyProtection="1"/>
    <xf numFmtId="4" fontId="72" fillId="0" borderId="238" xfId="181" applyNumberFormat="1" applyFont="1" applyFill="1" applyBorder="1" applyProtection="1"/>
    <xf numFmtId="3" fontId="156" fillId="32" borderId="273" xfId="0" applyNumberFormat="1" applyFont="1" applyFill="1" applyBorder="1" applyAlignment="1" applyProtection="1">
      <alignment horizontal="right"/>
      <protection locked="0"/>
    </xf>
    <xf numFmtId="0" fontId="72" fillId="0" borderId="261" xfId="0" applyFont="1" applyBorder="1" applyAlignment="1">
      <alignment horizontal="center"/>
    </xf>
    <xf numFmtId="3" fontId="156" fillId="32" borderId="261" xfId="0" applyNumberFormat="1" applyFont="1" applyFill="1" applyBorder="1" applyAlignment="1" applyProtection="1">
      <alignment horizontal="right"/>
      <protection locked="0"/>
    </xf>
    <xf numFmtId="4" fontId="72" fillId="0" borderId="261" xfId="0" applyNumberFormat="1" applyFont="1" applyBorder="1"/>
    <xf numFmtId="3" fontId="72" fillId="0" borderId="261" xfId="0" applyNumberFormat="1" applyFont="1" applyBorder="1"/>
    <xf numFmtId="0" fontId="72" fillId="0" borderId="262" xfId="0" applyFont="1" applyBorder="1"/>
    <xf numFmtId="0" fontId="72" fillId="0" borderId="262" xfId="0" applyFont="1" applyBorder="1" applyAlignment="1">
      <alignment horizontal="center"/>
    </xf>
    <xf numFmtId="4" fontId="72" fillId="0" borderId="262" xfId="0" applyNumberFormat="1" applyFont="1" applyBorder="1"/>
    <xf numFmtId="3" fontId="72" fillId="0" borderId="262" xfId="0" applyNumberFormat="1" applyFont="1" applyBorder="1"/>
    <xf numFmtId="0" fontId="74" fillId="0" borderId="238" xfId="0" applyFont="1" applyBorder="1"/>
    <xf numFmtId="3" fontId="74" fillId="0" borderId="238" xfId="0" applyNumberFormat="1" applyFont="1" applyBorder="1"/>
    <xf numFmtId="4" fontId="74" fillId="0" borderId="238" xfId="0" applyNumberFormat="1" applyFont="1" applyBorder="1"/>
    <xf numFmtId="168" fontId="74" fillId="0" borderId="238" xfId="0" applyNumberFormat="1" applyFont="1" applyBorder="1"/>
    <xf numFmtId="0" fontId="72" fillId="0" borderId="238" xfId="0" applyFont="1" applyBorder="1" applyAlignment="1">
      <alignment horizontal="center"/>
    </xf>
    <xf numFmtId="3" fontId="156" fillId="32" borderId="238" xfId="0" applyNumberFormat="1" applyFont="1" applyFill="1" applyBorder="1" applyAlignment="1" applyProtection="1">
      <alignment horizontal="right"/>
      <protection locked="0"/>
    </xf>
    <xf numFmtId="4" fontId="72" fillId="0" borderId="238" xfId="0" applyNumberFormat="1" applyFont="1" applyBorder="1"/>
    <xf numFmtId="3" fontId="72" fillId="0" borderId="238" xfId="0" applyNumberFormat="1" applyFont="1" applyBorder="1"/>
    <xf numFmtId="168" fontId="156" fillId="32" borderId="261" xfId="0" applyNumberFormat="1" applyFont="1" applyFill="1" applyBorder="1" applyAlignment="1" applyProtection="1">
      <alignment horizontal="right"/>
      <protection locked="0"/>
    </xf>
    <xf numFmtId="0" fontId="156" fillId="32" borderId="261" xfId="0" applyFont="1" applyFill="1" applyBorder="1" applyProtection="1">
      <protection locked="0"/>
    </xf>
    <xf numFmtId="0" fontId="156" fillId="32" borderId="262" xfId="0" applyFont="1" applyFill="1" applyBorder="1" applyProtection="1">
      <protection locked="0"/>
    </xf>
    <xf numFmtId="3" fontId="156" fillId="32" borderId="262" xfId="0" applyNumberFormat="1" applyFont="1" applyFill="1" applyBorder="1" applyAlignment="1" applyProtection="1">
      <alignment horizontal="right"/>
      <protection locked="0"/>
    </xf>
    <xf numFmtId="0" fontId="100" fillId="0" borderId="261" xfId="0" applyFont="1" applyBorder="1"/>
    <xf numFmtId="0" fontId="100" fillId="0" borderId="261" xfId="0" applyFont="1" applyBorder="1" applyAlignment="1">
      <alignment horizontal="center"/>
    </xf>
    <xf numFmtId="0" fontId="108" fillId="0" borderId="238" xfId="0" applyFont="1" applyBorder="1"/>
    <xf numFmtId="168" fontId="108" fillId="0" borderId="238" xfId="0" applyNumberFormat="1" applyFont="1" applyBorder="1"/>
    <xf numFmtId="0" fontId="100" fillId="0" borderId="234" xfId="0" applyFont="1" applyBorder="1" applyAlignment="1">
      <alignment horizontal="center"/>
    </xf>
    <xf numFmtId="3" fontId="157" fillId="32" borderId="261" xfId="0" applyNumberFormat="1" applyFont="1" applyFill="1" applyBorder="1" applyProtection="1">
      <protection locked="0"/>
    </xf>
    <xf numFmtId="37" fontId="108" fillId="30" borderId="229" xfId="0" applyNumberFormat="1" applyFont="1" applyFill="1" applyBorder="1" applyAlignment="1">
      <alignment horizontal="left"/>
    </xf>
    <xf numFmtId="37" fontId="100" fillId="0" borderId="274" xfId="0" applyNumberFormat="1" applyFont="1" applyBorder="1"/>
    <xf numFmtId="37" fontId="100" fillId="75" borderId="228" xfId="0" applyNumberFormat="1" applyFont="1" applyFill="1" applyBorder="1" applyAlignment="1">
      <alignment horizontal="right"/>
    </xf>
    <xf numFmtId="37" fontId="175" fillId="32" borderId="275" xfId="0" applyNumberFormat="1" applyFont="1" applyFill="1" applyBorder="1" applyProtection="1">
      <protection locked="0"/>
    </xf>
    <xf numFmtId="37" fontId="108" fillId="0" borderId="276" xfId="0" applyNumberFormat="1" applyFont="1" applyBorder="1"/>
    <xf numFmtId="37" fontId="108" fillId="0" borderId="274" xfId="0" applyNumberFormat="1" applyFont="1" applyBorder="1"/>
    <xf numFmtId="5" fontId="157" fillId="33" borderId="277" xfId="0" applyNumberFormat="1" applyFont="1" applyFill="1" applyBorder="1" applyAlignment="1" applyProtection="1">
      <alignment horizontal="right"/>
      <protection locked="0"/>
    </xf>
    <xf numFmtId="37" fontId="129" fillId="75" borderId="241" xfId="0" applyNumberFormat="1" applyFont="1" applyFill="1" applyBorder="1"/>
    <xf numFmtId="37" fontId="157" fillId="33" borderId="278" xfId="0" applyNumberFormat="1" applyFont="1" applyFill="1" applyBorder="1" applyProtection="1">
      <protection locked="0"/>
    </xf>
    <xf numFmtId="5" fontId="108" fillId="75" borderId="278" xfId="0" applyNumberFormat="1" applyFont="1" applyFill="1" applyBorder="1"/>
    <xf numFmtId="0" fontId="100" fillId="0" borderId="276" xfId="0" applyFont="1" applyBorder="1"/>
    <xf numFmtId="0" fontId="100" fillId="0" borderId="279" xfId="0" applyFont="1" applyBorder="1"/>
    <xf numFmtId="0" fontId="100" fillId="0" borderId="280" xfId="0" applyFont="1" applyBorder="1" applyAlignment="1">
      <alignment horizontal="right"/>
    </xf>
    <xf numFmtId="37" fontId="100" fillId="24" borderId="277" xfId="0" applyNumberFormat="1" applyFont="1" applyFill="1" applyBorder="1"/>
    <xf numFmtId="37" fontId="157" fillId="33" borderId="275" xfId="0" applyNumberFormat="1" applyFont="1" applyFill="1" applyBorder="1" applyProtection="1">
      <protection locked="0"/>
    </xf>
    <xf numFmtId="172" fontId="179" fillId="0" borderId="281" xfId="0" applyNumberFormat="1" applyFont="1" applyBorder="1" applyAlignment="1">
      <alignment horizontal="center"/>
    </xf>
    <xf numFmtId="37" fontId="178" fillId="32" borderId="281" xfId="0" applyNumberFormat="1" applyFont="1" applyFill="1" applyBorder="1" applyAlignment="1">
      <alignment horizontal="right"/>
    </xf>
    <xf numFmtId="0" fontId="72" fillId="0" borderId="281" xfId="0" applyFont="1" applyBorder="1"/>
    <xf numFmtId="0" fontId="106" fillId="0" borderId="281" xfId="0" applyFont="1" applyBorder="1" applyAlignment="1">
      <alignment horizontal="center"/>
    </xf>
    <xf numFmtId="3" fontId="158" fillId="32" borderId="281" xfId="0" applyNumberFormat="1" applyFont="1" applyFill="1" applyBorder="1" applyProtection="1">
      <protection locked="0"/>
    </xf>
    <xf numFmtId="3" fontId="106" fillId="0" borderId="281" xfId="0" applyNumberFormat="1" applyFont="1" applyBorder="1"/>
    <xf numFmtId="0" fontId="106" fillId="76" borderId="261" xfId="0" applyFont="1" applyFill="1" applyBorder="1"/>
    <xf numFmtId="3" fontId="159" fillId="0" borderId="261" xfId="0" applyNumberFormat="1" applyFont="1" applyBorder="1"/>
    <xf numFmtId="0" fontId="126" fillId="0" borderId="282" xfId="0" applyFont="1" applyBorder="1" applyAlignment="1">
      <alignment wrapText="1"/>
    </xf>
    <xf numFmtId="0" fontId="124" fillId="0" borderId="283" xfId="0" applyFont="1" applyBorder="1" applyAlignment="1">
      <alignment wrapText="1"/>
    </xf>
    <xf numFmtId="0" fontId="125" fillId="0" borderId="283" xfId="0" applyFont="1" applyBorder="1" applyAlignment="1">
      <alignment wrapText="1"/>
    </xf>
    <xf numFmtId="0" fontId="126" fillId="0" borderId="283" xfId="0" applyFont="1" applyBorder="1" applyAlignment="1">
      <alignment wrapText="1"/>
    </xf>
    <xf numFmtId="5" fontId="72" fillId="32" borderId="283" xfId="181" applyNumberFormat="1" applyFont="1" applyFill="1" applyBorder="1" applyAlignment="1">
      <alignment horizontal="right"/>
    </xf>
    <xf numFmtId="0" fontId="72" fillId="32" borderId="281" xfId="495" applyFont="1" applyFill="1" applyBorder="1" applyAlignment="1">
      <alignment horizontal="center" wrapText="1"/>
    </xf>
    <xf numFmtId="168" fontId="72" fillId="32" borderId="281" xfId="0" applyNumberFormat="1" applyFont="1" applyFill="1" applyBorder="1"/>
    <xf numFmtId="166" fontId="72" fillId="36" borderId="283" xfId="0" applyNumberFormat="1" applyFont="1" applyFill="1" applyBorder="1"/>
    <xf numFmtId="166" fontId="72" fillId="36" borderId="281" xfId="0" applyNumberFormat="1" applyFont="1" applyFill="1" applyBorder="1"/>
    <xf numFmtId="0" fontId="76" fillId="0" borderId="279" xfId="0" quotePrefix="1" applyFont="1" applyBorder="1" applyAlignment="1">
      <alignment horizontal="left"/>
    </xf>
    <xf numFmtId="3" fontId="78" fillId="0" borderId="277" xfId="181" applyNumberFormat="1" applyFont="1" applyBorder="1" applyAlignment="1" applyProtection="1"/>
    <xf numFmtId="0" fontId="76" fillId="0" borderId="279" xfId="0" applyFont="1" applyBorder="1"/>
    <xf numFmtId="0" fontId="71" fillId="0" borderId="279" xfId="0" applyFont="1" applyBorder="1"/>
    <xf numFmtId="0" fontId="74" fillId="0" borderId="279" xfId="0" applyFont="1" applyBorder="1"/>
    <xf numFmtId="37" fontId="78" fillId="0" borderId="279" xfId="0" quotePrefix="1" applyNumberFormat="1" applyFont="1" applyBorder="1"/>
    <xf numFmtId="37" fontId="74" fillId="0" borderId="279" xfId="0" applyNumberFormat="1" applyFont="1" applyBorder="1"/>
    <xf numFmtId="4" fontId="161" fillId="32" borderId="281" xfId="0" applyNumberFormat="1" applyFont="1" applyFill="1" applyBorder="1" applyProtection="1">
      <protection locked="0"/>
    </xf>
    <xf numFmtId="4" fontId="72" fillId="0" borderId="281" xfId="181" applyNumberFormat="1" applyFont="1" applyBorder="1" applyProtection="1"/>
    <xf numFmtId="4" fontId="156" fillId="32" borderId="281" xfId="0" applyNumberFormat="1" applyFont="1" applyFill="1" applyBorder="1" applyProtection="1">
      <protection locked="0"/>
    </xf>
    <xf numFmtId="4" fontId="72" fillId="0" borderId="281" xfId="181" applyNumberFormat="1" applyFont="1" applyFill="1" applyBorder="1" applyProtection="1"/>
    <xf numFmtId="0" fontId="72" fillId="0" borderId="281" xfId="0" applyFont="1" applyBorder="1" applyAlignment="1">
      <alignment horizontal="center"/>
    </xf>
    <xf numFmtId="4" fontId="72" fillId="0" borderId="281" xfId="0" applyNumberFormat="1" applyFont="1" applyBorder="1"/>
    <xf numFmtId="168" fontId="72" fillId="0" borderId="281" xfId="0" applyNumberFormat="1" applyFont="1" applyBorder="1"/>
    <xf numFmtId="0" fontId="156" fillId="32" borderId="281" xfId="0" applyFont="1" applyFill="1" applyBorder="1" applyProtection="1">
      <protection locked="0"/>
    </xf>
    <xf numFmtId="168" fontId="156" fillId="32" borderId="281" xfId="0" applyNumberFormat="1" applyFont="1" applyFill="1" applyBorder="1" applyAlignment="1" applyProtection="1">
      <alignment horizontal="right"/>
      <protection locked="0"/>
    </xf>
    <xf numFmtId="5" fontId="130" fillId="30" borderId="280" xfId="0" quotePrefix="1" applyNumberFormat="1" applyFont="1" applyFill="1" applyBorder="1" applyAlignment="1">
      <alignment horizontal="right"/>
    </xf>
    <xf numFmtId="5" fontId="130" fillId="75" borderId="280" xfId="0" applyNumberFormat="1" applyFont="1" applyFill="1" applyBorder="1" applyAlignment="1">
      <alignment horizontal="right"/>
    </xf>
    <xf numFmtId="5" fontId="130" fillId="75" borderId="277" xfId="0" applyNumberFormat="1" applyFont="1" applyFill="1" applyBorder="1" applyAlignment="1">
      <alignment horizontal="right"/>
    </xf>
    <xf numFmtId="37" fontId="100" fillId="0" borderId="279" xfId="0" applyNumberFormat="1" applyFont="1" applyBorder="1"/>
    <xf numFmtId="37" fontId="100" fillId="0" borderId="277" xfId="0" applyNumberFormat="1" applyFont="1" applyBorder="1" applyAlignment="1">
      <alignment horizontal="right"/>
    </xf>
    <xf numFmtId="5" fontId="108" fillId="75" borderId="277" xfId="0" applyNumberFormat="1" applyFont="1" applyFill="1" applyBorder="1"/>
    <xf numFmtId="0" fontId="126" fillId="0" borderId="270" xfId="0" applyFont="1" applyBorder="1" applyAlignment="1">
      <alignment wrapText="1"/>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 uri="{FF2B5EF4-FFF2-40B4-BE49-F238E27FC236}">
                  <a16:creationId xmlns:a16="http://schemas.microsoft.com/office/drawing/2014/main" id="{00000000-0008-0000-0A00-000004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8" personId="{1F471670-B2F1-431A-BF2E-14A22D9B5720}" id="{55DCAC58-9647-4D0E-B033-FF408B92170A}">
    <text xml:space="preserve">Source: General Appropriations Act, Specific Appropriation 35.
</text>
  </threadedComment>
  <threadedComment ref="B76"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6"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4"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5" personId="{1F471670-B2F1-431A-BF2E-14A22D9B5720}" id="{97127F23-FD53-4C98-BD0E-AD4E1F96A69A}">
    <text>Note: Total Fee Paying should agree with the Fee Calculator Total Fee Paying - CellU121.</text>
  </threadedComment>
  <threadedComment ref="B118" personId="{1F471670-B2F1-431A-BF2E-14A22D9B5720}" id="{0E17BC91-BE20-4A25-A7D8-943BE122B06F}">
    <text xml:space="preserve">Upper Level FTE Resident, Cell Q93
</text>
  </threadedComment>
  <threadedComment ref="E118" personId="{1F471670-B2F1-431A-BF2E-14A22D9B5720}" id="{F21ABF8C-3F93-40C3-B556-B1AD2D545056}">
    <text>A &amp; P Resident, Cell B93
Resident A &amp; P Fee Paying FTE does not include non-Florida Resident FTE and Dual Enrolled FTE.</text>
  </threadedComment>
  <threadedComment ref="F118" personId="{CF12A810-03EA-4300-AFB9-893D1BC43909}" id="{E577ECD5-318A-43C6-B5C9-6703669EDBE1}">
    <text>A &amp; P FTE Estimated Non-Florida Resident, Cell P54</text>
  </threadedComment>
  <threadedComment ref="H118" personId="{1F471670-B2F1-431A-BF2E-14A22D9B5720}" id="{5D079386-487B-4A39-BBE3-35243C5504B3}">
    <text xml:space="preserve">PSV FTE Resident, Cell E93
Resident PSV Fee Paying FTE does not include non-Florida Resident FTE and Dual Enrolled FTE. 
</text>
  </threadedComment>
  <threadedComment ref="I118" personId="{CF12A810-03EA-4300-AFB9-893D1BC43909}" id="{8EBECDCE-BD35-4FE7-90A5-285907FB34E4}">
    <text xml:space="preserve">PSV Estimated Non-Florida Resident FTE, Cell Q54
</text>
  </threadedComment>
  <threadedComment ref="K118" personId="{1F471670-B2F1-431A-BF2E-14A22D9B5720}" id="{8EF7C769-F880-4C8A-80BE-59BF0D2E88E5}">
    <text xml:space="preserve">DEV ED FTE Resident, Cell H93
Resident DEV ED Fee Paying FTE does not include non-Florida Resident FTE.
</text>
  </threadedComment>
  <threadedComment ref="L118" personId="{CF12A810-03EA-4300-AFB9-893D1BC43909}" id="{6FDACA1F-54E8-45A8-8703-4774D8EFD9D2}">
    <text>DEV ED Estimated Non-Florida Resident FTE, Cell T54</text>
  </threadedComment>
  <threadedComment ref="N118" personId="{1F471670-B2F1-431A-BF2E-14A22D9B5720}" id="{A6AC8CD1-2B10-4147-9844-D324F71DBF2C}">
    <text>EPI FTE Resident, Cell K93. 
Resident EPI Fee Paying FTE does not include non-Florida Resident FTE.</text>
  </threadedComment>
  <threadedComment ref="O118" personId="{CF12A810-03EA-4300-AFB9-893D1BC43909}" id="{F7AFCA54-3658-4ED4-BF75-5B879FB58103}">
    <text>EPI Estimated Non-Florida Resident FTE, Cell W54</text>
  </threadedComment>
  <threadedComment ref="Q118" personId="{1F471670-B2F1-431A-BF2E-14A22D9B5720}" id="{9A19A128-2C5D-49FC-91FF-496FBD0040ED}">
    <text xml:space="preserve">CCATD FTE Resident, Cell N93. 
Resident CCATD Paying FTE does not include non-Florida Resident FTE and Dual Enrolled FTE. </text>
  </threadedComment>
  <threadedComment ref="R118" personId="{CF12A810-03EA-4300-AFB9-893D1BC43909}" id="{1A1D73E9-E4F1-4240-B864-6D373B51C436}">
    <text>CCATD FTE Estimated Non-Florida Resident FTE, Cell R54.</text>
  </threadedComment>
  <threadedComment ref="W118" personId="{CF12A810-03EA-4300-AFB9-893D1BC43909}" id="{EB6DA77F-6AE0-4ED0-BFC4-9E01A2EC7C48}">
    <text>Voc Prep FTE Estimated Non-Florida Resident, Cell U54</text>
  </threadedComment>
  <threadedComment ref="X118" personId="{CF12A810-03EA-4300-AFB9-893D1BC43909}" id="{9CCC2418-FC98-4D67-BE81-AC59529DA44C}">
    <text xml:space="preserve">Voc. Prep FTE Total, Cell G54
</text>
  </threadedComment>
  <threadedComment ref="AA118" personId="{CF12A810-03EA-4300-AFB9-893D1BC43909}" id="{C398493A-27F9-41CA-B815-9405846000B7}">
    <text>Adult FTE Estimated Non-Florida Resident, Cell V54</text>
  </threadedComment>
  <threadedComment ref="AE118" personId="{1F471670-B2F1-431A-BF2E-14A22D9B5720}" id="{815CD3A1-1A1F-4342-B015-5E0FBE34EDD1}">
    <text xml:space="preserve">Adult Basic FTE, Cell H54
 </text>
  </threadedComment>
  <threadedComment ref="AF118" personId="{1F471670-B2F1-431A-BF2E-14A22D9B5720}" id="{3A891C23-FB36-4B68-ADDC-98949430BBD4}">
    <text>Adult Second. &amp; GED  FTE, Cell I54</text>
  </threadedComment>
  <threadedComment ref="AO120" personId="{1F471670-B2F1-431A-BF2E-14A22D9B5720}" id="{0B3BE2BC-403A-4EEC-8852-A4CAB5B94B01}">
    <text>Fee Calculator File:   This amount is from the Estimated Duel Enrolled FTE Total Column, Cell AF82.</text>
  </threadedComment>
  <threadedComment ref="AO121" personId="{1F471670-B2F1-431A-BF2E-14A22D9B5720}" id="{17930007-AA0C-4C5B-897A-5AE306D64E8A}">
    <text xml:space="preserve">Fee Calculator File: Apprent FTE Total, Cell E82 minus the Estimated Dual Enrolled Apprent FTE, Cell AE82. 
</text>
  </threadedComment>
  <threadedComment ref="AO124"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6"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28" personId="{1F471670-B2F1-431A-BF2E-14A22D9B5720}" id="{C439E12A-A2BD-4B44-9D99-3AC88DA9BEC8}">
    <text xml:space="preserve">This cell will automatically populate. Should agree with Exhibit C, Cell H10. Resident and nonresident students pay resident tuition.
</text>
  </threadedComment>
  <threadedComment ref="D12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7" t="s">
        <v>0</v>
      </c>
      <c r="B1" s="617"/>
      <c r="C1" s="617"/>
      <c r="D1" s="617"/>
      <c r="E1" s="617"/>
    </row>
    <row r="2" spans="1:5" ht="23.25">
      <c r="A2" s="617" t="s">
        <v>1</v>
      </c>
      <c r="B2" s="617"/>
      <c r="C2" s="617"/>
      <c r="D2" s="617"/>
      <c r="E2" s="617"/>
    </row>
    <row r="3" spans="1:5" ht="21" customHeight="1">
      <c r="A3" s="617" t="s">
        <v>2</v>
      </c>
      <c r="B3" s="617"/>
      <c r="C3" s="617"/>
      <c r="D3" s="617"/>
      <c r="E3" s="617"/>
    </row>
    <row r="4" spans="1:5" ht="32.1" customHeight="1">
      <c r="A4" s="9" t="s">
        <v>3</v>
      </c>
      <c r="B4" s="9"/>
      <c r="C4" s="9"/>
      <c r="D4" s="9"/>
      <c r="E4" s="9"/>
    </row>
    <row r="5" spans="1:5" ht="107.25" customHeight="1">
      <c r="A5" s="5" t="s">
        <v>4</v>
      </c>
      <c r="B5" s="6"/>
      <c r="C5" s="7" t="s">
        <v>5</v>
      </c>
      <c r="D5" s="7" t="s">
        <v>6</v>
      </c>
      <c r="E5" s="7" t="s">
        <v>7</v>
      </c>
    </row>
    <row r="6" spans="1:5" s="3" customFormat="1" ht="18" customHeight="1"/>
    <row r="7" spans="1:5" s="3" customFormat="1" ht="20.100000000000001" customHeight="1">
      <c r="A7" s="606"/>
      <c r="B7" s="607"/>
      <c r="C7" s="608"/>
      <c r="D7" s="610"/>
      <c r="E7" s="609"/>
    </row>
    <row r="8" spans="1:5" s="3" customFormat="1" ht="20.100000000000001" customHeight="1">
      <c r="A8" s="606"/>
      <c r="B8" s="607"/>
      <c r="C8" s="608"/>
      <c r="D8" s="610"/>
      <c r="E8" s="609"/>
    </row>
    <row r="9" spans="1:5" s="3" customFormat="1" ht="20.100000000000001" customHeight="1">
      <c r="A9" s="610"/>
      <c r="B9" s="10"/>
      <c r="C9" s="608"/>
      <c r="D9" s="735"/>
      <c r="E9" s="609"/>
    </row>
    <row r="10" spans="1:5" s="3" customFormat="1" ht="20.100000000000001" customHeight="1">
      <c r="A10" s="618" t="s">
        <v>8</v>
      </c>
      <c r="B10" s="12"/>
      <c r="C10" s="13" t="s">
        <v>9</v>
      </c>
      <c r="D10" s="13"/>
      <c r="E10" s="11" t="s">
        <v>9</v>
      </c>
    </row>
    <row r="11" spans="1:5" s="3" customFormat="1" ht="20.100000000000001" customHeight="1">
      <c r="A11" s="618"/>
      <c r="B11" s="12"/>
      <c r="C11" s="12"/>
      <c r="D11" s="13"/>
      <c r="E11" s="12"/>
    </row>
    <row r="12" spans="1:5" ht="20.100000000000001" customHeight="1">
      <c r="A12" s="14"/>
      <c r="B12" s="14"/>
      <c r="C12" s="14"/>
      <c r="D12" s="15"/>
      <c r="E12" s="14"/>
    </row>
    <row r="13" spans="1:5" ht="20.100000000000001" customHeight="1">
      <c r="A13" s="619" t="s">
        <v>9</v>
      </c>
      <c r="B13" s="14"/>
      <c r="C13" s="14"/>
      <c r="D13" s="15"/>
      <c r="E13" s="14"/>
    </row>
    <row r="14" spans="1:5" ht="20.100000000000001" customHeight="1">
      <c r="A14" s="619"/>
      <c r="B14" s="14"/>
      <c r="C14" s="14"/>
      <c r="D14" s="14"/>
      <c r="E14" s="14"/>
    </row>
    <row r="15" spans="1:5" ht="20.100000000000001" customHeight="1">
      <c r="A15" s="619"/>
      <c r="B15" s="14"/>
      <c r="C15" s="14"/>
      <c r="D15" s="14"/>
      <c r="E15" s="14"/>
    </row>
    <row r="16" spans="1:5" ht="20.100000000000001" customHeight="1">
      <c r="A16" s="619"/>
      <c r="B16" s="14"/>
      <c r="C16" s="14"/>
      <c r="D16" s="14"/>
      <c r="E16" s="14"/>
    </row>
    <row r="17" spans="1:6" ht="15" customHeight="1">
      <c r="A17" s="8"/>
      <c r="B17" s="2"/>
      <c r="C17" s="2"/>
      <c r="D17" s="2"/>
      <c r="E17" s="2"/>
    </row>
    <row r="18" spans="1:6" ht="15" customHeight="1">
      <c r="A18" s="507"/>
      <c r="B18" s="185"/>
      <c r="C18" s="185"/>
      <c r="D18" s="185"/>
      <c r="E18" s="185"/>
      <c r="F18" s="188"/>
    </row>
    <row r="19" spans="1:6" ht="19.5" customHeight="1">
      <c r="A19" s="507"/>
      <c r="B19" s="185"/>
      <c r="C19" s="185"/>
      <c r="D19" s="185"/>
      <c r="E19" s="185"/>
      <c r="F19" s="188"/>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election activeCell="B21" sqref="B21"/>
    </sheetView>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91"/>
      <c r="B1" s="291"/>
      <c r="C1" s="291"/>
      <c r="D1" s="291"/>
      <c r="E1" s="341" t="s">
        <v>695</v>
      </c>
      <c r="F1" s="291"/>
    </row>
    <row r="2" spans="1:8" ht="24" customHeight="1">
      <c r="A2" s="291"/>
      <c r="B2" s="291"/>
      <c r="C2" s="291"/>
      <c r="D2" s="291"/>
      <c r="E2" s="342"/>
      <c r="F2" s="291"/>
    </row>
    <row r="3" spans="1:8" ht="24" customHeight="1" thickBot="1">
      <c r="A3" s="858" t="s">
        <v>237</v>
      </c>
      <c r="B3" s="846" t="str">
        <f>'CHECK SHEET'!D7</f>
        <v>Seminole State College of Florida</v>
      </c>
      <c r="C3" s="846"/>
      <c r="D3" s="846"/>
      <c r="E3" s="846"/>
      <c r="F3" s="290"/>
      <c r="G3" s="338"/>
    </row>
    <row r="4" spans="1:8" ht="24" customHeight="1">
      <c r="A4" s="843" t="s">
        <v>696</v>
      </c>
      <c r="B4" s="843"/>
      <c r="C4" s="843"/>
      <c r="D4" s="843"/>
      <c r="E4" s="843"/>
      <c r="F4" s="290"/>
    </row>
    <row r="5" spans="1:8" ht="24" customHeight="1">
      <c r="A5" s="843" t="s">
        <v>697</v>
      </c>
      <c r="B5" s="843"/>
      <c r="C5" s="843"/>
      <c r="D5" s="843"/>
      <c r="E5" s="843"/>
      <c r="F5" s="290"/>
    </row>
    <row r="6" spans="1:8" ht="24" customHeight="1">
      <c r="A6" s="843" t="s">
        <v>698</v>
      </c>
      <c r="B6" s="843"/>
      <c r="C6" s="843"/>
      <c r="D6" s="843"/>
      <c r="E6" s="843"/>
      <c r="F6" s="290"/>
    </row>
    <row r="7" spans="1:8" ht="20.100000000000001" customHeight="1">
      <c r="A7" s="775"/>
      <c r="B7" s="775"/>
      <c r="C7" s="775"/>
      <c r="D7" s="848"/>
      <c r="E7" s="848"/>
    </row>
    <row r="8" spans="1:8" ht="24" customHeight="1" thickBot="1">
      <c r="A8" s="801" t="s">
        <v>699</v>
      </c>
      <c r="B8" s="801"/>
      <c r="C8" s="801"/>
      <c r="H8" s="339"/>
    </row>
    <row r="9" spans="1:8" s="17" customFormat="1" ht="64.349999999999994" customHeight="1" thickBot="1">
      <c r="A9" s="293" t="s">
        <v>700</v>
      </c>
      <c r="B9" s="776" t="s">
        <v>701</v>
      </c>
      <c r="C9" s="312" t="s">
        <v>702</v>
      </c>
      <c r="D9" s="312" t="s">
        <v>703</v>
      </c>
      <c r="E9" s="361" t="s">
        <v>52</v>
      </c>
      <c r="F9" s="31"/>
      <c r="H9" s="359"/>
    </row>
    <row r="10" spans="1:8" s="17" customFormat="1" ht="20.100000000000001" customHeight="1">
      <c r="A10" s="375" t="s">
        <v>704</v>
      </c>
      <c r="B10" s="461">
        <v>36740299</v>
      </c>
      <c r="C10" s="462">
        <v>1313197</v>
      </c>
      <c r="D10" s="462">
        <v>779101</v>
      </c>
      <c r="E10" s="376">
        <f>SUM(B10:D10)</f>
        <v>38832597</v>
      </c>
      <c r="F10" s="359"/>
      <c r="G10" s="359"/>
    </row>
    <row r="11" spans="1:8" s="17" customFormat="1" ht="20.100000000000001" customHeight="1">
      <c r="A11" s="375" t="s">
        <v>705</v>
      </c>
      <c r="B11" s="463">
        <v>0</v>
      </c>
      <c r="C11" s="452">
        <v>0</v>
      </c>
      <c r="D11" s="452">
        <v>0</v>
      </c>
      <c r="E11" s="376">
        <f>SUM(B11:D11)</f>
        <v>0</v>
      </c>
      <c r="F11" s="359"/>
      <c r="G11" s="359"/>
      <c r="H11" s="359"/>
    </row>
    <row r="12" spans="1:8" s="17" customFormat="1" ht="20.100000000000001" customHeight="1" thickBot="1">
      <c r="A12" s="375" t="s">
        <v>706</v>
      </c>
      <c r="B12" s="463">
        <v>0</v>
      </c>
      <c r="C12" s="452">
        <v>0</v>
      </c>
      <c r="D12" s="452">
        <v>0</v>
      </c>
      <c r="E12" s="377">
        <f>SUM(B12:D12)</f>
        <v>0</v>
      </c>
      <c r="F12" s="359"/>
    </row>
    <row r="13" spans="1:8" s="17" customFormat="1" ht="20.100000000000001" customHeight="1" thickBot="1">
      <c r="A13" s="375" t="s">
        <v>707</v>
      </c>
      <c r="B13" s="378"/>
      <c r="C13" s="379"/>
      <c r="D13" s="379"/>
      <c r="E13" s="380"/>
      <c r="F13" s="359"/>
    </row>
    <row r="14" spans="1:8" s="17" customFormat="1" ht="20.100000000000001" customHeight="1">
      <c r="A14" s="375" t="s">
        <v>708</v>
      </c>
      <c r="B14" s="463">
        <v>3937846</v>
      </c>
      <c r="C14" s="464">
        <v>1256091</v>
      </c>
      <c r="D14" s="464">
        <v>352500</v>
      </c>
      <c r="E14" s="377">
        <f t="shared" ref="E14:E20" si="0">SUM(B14:D14)</f>
        <v>5546437</v>
      </c>
      <c r="F14" s="359"/>
    </row>
    <row r="15" spans="1:8" s="17" customFormat="1" ht="20.100000000000001" customHeight="1">
      <c r="A15" s="375" t="s">
        <v>709</v>
      </c>
      <c r="B15" s="463">
        <v>474117</v>
      </c>
      <c r="C15" s="452">
        <v>150301</v>
      </c>
      <c r="D15" s="452">
        <v>0</v>
      </c>
      <c r="E15" s="377">
        <f>SUM(B15:D15)</f>
        <v>624418</v>
      </c>
      <c r="F15" s="359"/>
    </row>
    <row r="16" spans="1:8" s="17" customFormat="1" ht="20.100000000000001" customHeight="1">
      <c r="A16" s="375" t="s">
        <v>710</v>
      </c>
      <c r="B16" s="463">
        <v>10767989</v>
      </c>
      <c r="C16" s="452">
        <v>1381794</v>
      </c>
      <c r="D16" s="452">
        <v>300</v>
      </c>
      <c r="E16" s="377">
        <f t="shared" si="0"/>
        <v>12150083</v>
      </c>
      <c r="F16" s="359"/>
    </row>
    <row r="17" spans="1:6" s="17" customFormat="1" ht="20.100000000000001" customHeight="1">
      <c r="A17" s="375" t="s">
        <v>711</v>
      </c>
      <c r="B17" s="463">
        <v>14075053</v>
      </c>
      <c r="C17" s="452">
        <v>7329018</v>
      </c>
      <c r="D17" s="452">
        <v>646829</v>
      </c>
      <c r="E17" s="377">
        <f t="shared" si="0"/>
        <v>22050900</v>
      </c>
      <c r="F17" s="359"/>
    </row>
    <row r="18" spans="1:6" s="17" customFormat="1" ht="20.100000000000001" customHeight="1">
      <c r="A18" s="375" t="s">
        <v>712</v>
      </c>
      <c r="B18" s="463">
        <v>5077205</v>
      </c>
      <c r="C18" s="452">
        <v>4950724</v>
      </c>
      <c r="D18" s="452">
        <v>161623</v>
      </c>
      <c r="E18" s="377">
        <f t="shared" si="0"/>
        <v>10189552</v>
      </c>
      <c r="F18" s="359"/>
    </row>
    <row r="19" spans="1:6" s="17" customFormat="1" ht="20.100000000000001" customHeight="1">
      <c r="A19" s="375" t="s">
        <v>713</v>
      </c>
      <c r="B19" s="463">
        <v>80000</v>
      </c>
      <c r="C19" s="452">
        <v>0</v>
      </c>
      <c r="D19" s="452">
        <v>0</v>
      </c>
      <c r="E19" s="377">
        <f t="shared" si="0"/>
        <v>80000</v>
      </c>
      <c r="F19" s="359"/>
    </row>
    <row r="20" spans="1:6" s="17" customFormat="1" ht="20.100000000000001" customHeight="1" thickBot="1">
      <c r="A20" s="375" t="s">
        <v>714</v>
      </c>
      <c r="B20" s="463">
        <v>44121</v>
      </c>
      <c r="C20" s="453">
        <v>592000</v>
      </c>
      <c r="D20" s="453">
        <v>0</v>
      </c>
      <c r="E20" s="377">
        <f t="shared" si="0"/>
        <v>636121</v>
      </c>
      <c r="F20" s="359"/>
    </row>
    <row r="21" spans="1:6" s="17" customFormat="1" ht="24" customHeight="1" thickBot="1">
      <c r="A21" s="300" t="s">
        <v>52</v>
      </c>
      <c r="B21" s="360">
        <f>SUM(B10:B20)</f>
        <v>71196630</v>
      </c>
      <c r="C21" s="363">
        <f>SUM(C10:C20)</f>
        <v>16973125</v>
      </c>
      <c r="D21" s="363">
        <f>SUM(D10:D20)</f>
        <v>1940353</v>
      </c>
      <c r="E21" s="362">
        <f>SUM(E10:E20)</f>
        <v>90110108</v>
      </c>
      <c r="F21" s="359"/>
    </row>
    <row r="22" spans="1:6" ht="24" customHeight="1">
      <c r="B22" s="340"/>
      <c r="F22" s="339"/>
    </row>
    <row r="23" spans="1:6" ht="24" customHeight="1">
      <c r="F23" s="339"/>
    </row>
    <row r="24" spans="1:6">
      <c r="F24" s="339"/>
    </row>
    <row r="25" spans="1:6">
      <c r="F25" s="339"/>
    </row>
    <row r="96" spans="3:4">
      <c r="C96" s="69">
        <f>SUM(C91:C95)</f>
        <v>0</v>
      </c>
      <c r="D96" s="6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 right="0" top="0" bottom="0" header="0" footer="0"/>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505" t="s">
        <v>715</v>
      </c>
      <c r="B1" s="504"/>
      <c r="C1" s="504"/>
      <c r="D1" s="504"/>
      <c r="E1" s="504"/>
      <c r="F1" s="504"/>
      <c r="G1" s="504"/>
    </row>
    <row r="2" spans="1:7" ht="26.25">
      <c r="A2" s="495" t="s">
        <v>716</v>
      </c>
      <c r="B2" s="504"/>
    </row>
    <row r="3" spans="1:7" ht="26.1" customHeight="1">
      <c r="A3" s="494" t="s">
        <v>717</v>
      </c>
      <c r="B3" s="50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206"/>
  <sheetViews>
    <sheetView showGridLines="0" topLeftCell="A150" zoomScale="60" zoomScaleNormal="60" zoomScaleSheetLayoutView="50" zoomScalePageLayoutView="60" workbookViewId="0">
      <selection activeCell="A144" sqref="A144"/>
    </sheetView>
  </sheetViews>
  <sheetFormatPr defaultColWidth="12.42578125" defaultRowHeight="15.75"/>
  <cols>
    <col min="1" max="1" width="26.42578125" style="180" customWidth="1"/>
    <col min="2" max="2" width="94.28515625" style="180" customWidth="1"/>
    <col min="3" max="3" width="66.85546875" style="180" customWidth="1"/>
    <col min="4" max="5" width="25.85546875" style="260" customWidth="1"/>
    <col min="6" max="6" width="33.7109375" style="260" customWidth="1"/>
    <col min="7" max="7" width="3.140625" style="180" customWidth="1"/>
    <col min="8" max="16384" width="12.42578125" style="180"/>
  </cols>
  <sheetData>
    <row r="1" spans="1:224" ht="30" customHeight="1" thickBot="1">
      <c r="A1" s="843" t="s">
        <v>237</v>
      </c>
      <c r="B1" s="862" t="str">
        <f>'CHECK SHEET'!D7</f>
        <v>Seminole State College of Florida</v>
      </c>
      <c r="C1" s="862"/>
      <c r="D1" s="862"/>
      <c r="E1" s="862"/>
      <c r="F1" s="862"/>
      <c r="G1" s="230"/>
      <c r="H1" s="231"/>
      <c r="I1" s="231"/>
      <c r="J1" s="231"/>
      <c r="K1" s="231"/>
      <c r="L1" s="231"/>
      <c r="M1" s="231"/>
      <c r="N1" s="231"/>
      <c r="O1" s="231"/>
      <c r="P1" s="231"/>
      <c r="Q1" s="231"/>
      <c r="R1" s="231"/>
      <c r="S1" s="231"/>
      <c r="T1" s="231"/>
      <c r="U1" s="231"/>
      <c r="V1" s="231"/>
      <c r="W1" s="231"/>
      <c r="X1" s="231"/>
      <c r="Y1" s="231"/>
      <c r="Z1" s="231"/>
      <c r="AA1" s="231"/>
      <c r="AB1" s="231"/>
      <c r="AC1" s="231"/>
      <c r="AD1" s="231"/>
      <c r="AE1" s="231"/>
      <c r="AF1" s="231"/>
      <c r="AG1" s="231"/>
      <c r="AH1" s="231"/>
      <c r="AI1" s="231"/>
      <c r="AJ1" s="231"/>
      <c r="AK1" s="231"/>
      <c r="AL1" s="231"/>
      <c r="AM1" s="231"/>
      <c r="AN1" s="231"/>
      <c r="AO1" s="231"/>
      <c r="AP1" s="231"/>
      <c r="AQ1" s="231"/>
      <c r="AR1" s="231"/>
      <c r="AS1" s="231"/>
      <c r="AT1" s="231"/>
      <c r="AU1" s="231"/>
      <c r="AV1" s="231"/>
      <c r="AW1" s="231"/>
      <c r="AX1" s="231"/>
      <c r="AY1" s="231"/>
      <c r="AZ1" s="231"/>
      <c r="BA1" s="231"/>
      <c r="BB1" s="231"/>
      <c r="BC1" s="231"/>
      <c r="BD1" s="231"/>
      <c r="BE1" s="231"/>
      <c r="BF1" s="231"/>
      <c r="BG1" s="231"/>
      <c r="BH1" s="231"/>
      <c r="BI1" s="231"/>
      <c r="BJ1" s="231"/>
      <c r="BK1" s="231"/>
      <c r="BL1" s="231"/>
      <c r="BM1" s="231"/>
      <c r="BN1" s="231"/>
      <c r="BO1" s="231"/>
      <c r="BP1" s="231"/>
      <c r="BQ1" s="231"/>
      <c r="BR1" s="231"/>
      <c r="BS1" s="231"/>
      <c r="BT1" s="231"/>
      <c r="BU1" s="231"/>
      <c r="BV1" s="231"/>
      <c r="BW1" s="231"/>
      <c r="BX1" s="231"/>
      <c r="BY1" s="231"/>
      <c r="BZ1" s="231"/>
      <c r="CA1" s="231"/>
      <c r="CB1" s="231"/>
      <c r="CC1" s="231"/>
      <c r="CD1" s="231"/>
      <c r="CE1" s="231"/>
      <c r="CF1" s="231"/>
      <c r="CG1" s="231"/>
      <c r="CH1" s="231"/>
      <c r="CI1" s="231"/>
      <c r="CJ1" s="231"/>
      <c r="CK1" s="231"/>
      <c r="CL1" s="231"/>
      <c r="CM1" s="231"/>
      <c r="CN1" s="231"/>
      <c r="CO1" s="231"/>
      <c r="CP1" s="231"/>
      <c r="CQ1" s="231"/>
      <c r="CR1" s="231"/>
      <c r="CS1" s="231"/>
      <c r="CT1" s="231"/>
      <c r="CU1" s="231"/>
      <c r="CV1" s="231"/>
      <c r="CW1" s="231"/>
      <c r="CX1" s="231"/>
      <c r="CY1" s="231"/>
      <c r="CZ1" s="231"/>
      <c r="DA1" s="231"/>
      <c r="DB1" s="231"/>
      <c r="DC1" s="231"/>
      <c r="DD1" s="231"/>
      <c r="DE1" s="231"/>
      <c r="DF1" s="231"/>
      <c r="DG1" s="231"/>
      <c r="DH1" s="231"/>
      <c r="DI1" s="231"/>
      <c r="DJ1" s="231"/>
      <c r="DK1" s="231"/>
      <c r="DL1" s="231"/>
      <c r="DM1" s="231"/>
      <c r="DN1" s="231"/>
      <c r="DO1" s="231"/>
      <c r="DP1" s="231"/>
      <c r="DQ1" s="231"/>
      <c r="DR1" s="231"/>
      <c r="DS1" s="231"/>
      <c r="DT1" s="231"/>
      <c r="DU1" s="231"/>
      <c r="DV1" s="231"/>
      <c r="DW1" s="231"/>
      <c r="DX1" s="231"/>
      <c r="DY1" s="231"/>
      <c r="DZ1" s="231"/>
      <c r="EA1" s="231"/>
      <c r="EB1" s="231"/>
      <c r="EC1" s="231"/>
      <c r="ED1" s="231"/>
      <c r="EE1" s="231"/>
      <c r="EF1" s="231"/>
      <c r="EG1" s="231"/>
      <c r="EH1" s="231"/>
      <c r="EI1" s="231"/>
      <c r="EJ1" s="231"/>
      <c r="EK1" s="231"/>
      <c r="EL1" s="231"/>
      <c r="EM1" s="231"/>
      <c r="EN1" s="231"/>
      <c r="EO1" s="231"/>
      <c r="EP1" s="231"/>
      <c r="EQ1" s="231"/>
      <c r="ER1" s="231"/>
      <c r="ES1" s="231"/>
      <c r="ET1" s="231"/>
      <c r="EU1" s="231"/>
      <c r="EV1" s="231"/>
      <c r="EW1" s="231"/>
      <c r="EX1" s="231"/>
      <c r="EY1" s="231"/>
      <c r="EZ1" s="231"/>
      <c r="FA1" s="231"/>
      <c r="FB1" s="231"/>
      <c r="FC1" s="231"/>
      <c r="FD1" s="231"/>
      <c r="FE1" s="231"/>
      <c r="FF1" s="231"/>
      <c r="FG1" s="231"/>
      <c r="FH1" s="231"/>
      <c r="FI1" s="231"/>
      <c r="FJ1" s="231"/>
      <c r="FK1" s="231"/>
      <c r="FL1" s="231"/>
      <c r="FM1" s="231"/>
      <c r="FN1" s="231"/>
      <c r="FO1" s="231"/>
      <c r="FP1" s="231"/>
      <c r="FQ1" s="231"/>
      <c r="FR1" s="231"/>
      <c r="FS1" s="231"/>
      <c r="FT1" s="231"/>
      <c r="FU1" s="231"/>
      <c r="FV1" s="231"/>
      <c r="FW1" s="231"/>
      <c r="FX1" s="231"/>
      <c r="FY1" s="231"/>
      <c r="FZ1" s="231"/>
      <c r="GA1" s="231"/>
      <c r="GB1" s="231"/>
      <c r="GC1" s="231"/>
      <c r="GD1" s="231"/>
      <c r="GE1" s="231"/>
      <c r="GF1" s="231"/>
      <c r="GG1" s="231"/>
      <c r="GH1" s="231"/>
      <c r="GI1" s="231"/>
      <c r="GJ1" s="231"/>
      <c r="GK1" s="231"/>
      <c r="GL1" s="231"/>
      <c r="GM1" s="231"/>
      <c r="GN1" s="231"/>
      <c r="GO1" s="231"/>
      <c r="GP1" s="231"/>
      <c r="GQ1" s="231"/>
      <c r="GR1" s="231"/>
      <c r="GS1" s="231"/>
      <c r="GT1" s="231"/>
      <c r="GU1" s="231"/>
      <c r="GV1" s="231"/>
      <c r="GW1" s="231"/>
      <c r="GX1" s="231"/>
      <c r="GY1" s="231"/>
      <c r="GZ1" s="231"/>
      <c r="HA1" s="231"/>
      <c r="HB1" s="231"/>
      <c r="HC1" s="231"/>
      <c r="HD1" s="231"/>
      <c r="HE1" s="231"/>
      <c r="HF1" s="231"/>
      <c r="HG1" s="231"/>
      <c r="HH1" s="231"/>
      <c r="HI1" s="231"/>
      <c r="HJ1" s="231"/>
      <c r="HK1" s="231"/>
      <c r="HL1" s="231"/>
      <c r="HM1" s="231"/>
      <c r="HN1" s="231"/>
      <c r="HO1" s="231"/>
      <c r="HP1" s="231"/>
    </row>
    <row r="2" spans="1:224" ht="30" customHeight="1">
      <c r="A2" s="863" t="s">
        <v>718</v>
      </c>
      <c r="B2" s="863"/>
      <c r="C2" s="863"/>
      <c r="D2" s="863"/>
      <c r="E2" s="863"/>
      <c r="F2" s="863"/>
      <c r="G2" s="232"/>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31"/>
      <c r="BE2" s="231"/>
      <c r="BF2" s="231"/>
      <c r="BG2" s="231"/>
      <c r="BH2" s="231"/>
      <c r="BI2" s="231"/>
      <c r="BJ2" s="231"/>
      <c r="BK2" s="231"/>
      <c r="BL2" s="231"/>
      <c r="BM2" s="231"/>
      <c r="BN2" s="231"/>
      <c r="BO2" s="231"/>
      <c r="BP2" s="231"/>
      <c r="BQ2" s="231"/>
      <c r="BR2" s="231"/>
      <c r="BS2" s="231"/>
      <c r="BT2" s="231"/>
      <c r="BU2" s="231"/>
      <c r="BV2" s="231"/>
      <c r="BW2" s="231"/>
      <c r="BX2" s="231"/>
      <c r="BY2" s="231"/>
      <c r="BZ2" s="231"/>
      <c r="CA2" s="231"/>
      <c r="CB2" s="231"/>
      <c r="CC2" s="231"/>
      <c r="CD2" s="231"/>
      <c r="CE2" s="231"/>
      <c r="CF2" s="231"/>
      <c r="CG2" s="231"/>
      <c r="CH2" s="231"/>
      <c r="CI2" s="231"/>
      <c r="CJ2" s="231"/>
      <c r="CK2" s="231"/>
      <c r="CL2" s="231"/>
      <c r="CM2" s="231"/>
      <c r="CN2" s="231"/>
      <c r="CO2" s="231"/>
      <c r="CP2" s="231"/>
      <c r="CQ2" s="231"/>
      <c r="CR2" s="231"/>
      <c r="CS2" s="231"/>
      <c r="CT2" s="231"/>
      <c r="CU2" s="231"/>
      <c r="CV2" s="231"/>
      <c r="CW2" s="231"/>
      <c r="CX2" s="231"/>
      <c r="CY2" s="231"/>
      <c r="CZ2" s="231"/>
      <c r="DA2" s="231"/>
      <c r="DB2" s="231"/>
      <c r="DC2" s="231"/>
      <c r="DD2" s="231"/>
      <c r="DE2" s="231"/>
      <c r="DF2" s="231"/>
      <c r="DG2" s="231"/>
      <c r="DH2" s="231"/>
      <c r="DI2" s="231"/>
      <c r="DJ2" s="231"/>
      <c r="DK2" s="231"/>
      <c r="DL2" s="231"/>
      <c r="DM2" s="231"/>
      <c r="DN2" s="231"/>
      <c r="DO2" s="231"/>
      <c r="DP2" s="231"/>
      <c r="DQ2" s="231"/>
      <c r="DR2" s="231"/>
      <c r="DS2" s="231"/>
      <c r="DT2" s="231"/>
      <c r="DU2" s="231"/>
      <c r="DV2" s="231"/>
      <c r="DW2" s="231"/>
      <c r="DX2" s="231"/>
      <c r="DY2" s="231"/>
      <c r="DZ2" s="231"/>
      <c r="EA2" s="231"/>
      <c r="EB2" s="231"/>
      <c r="EC2" s="231"/>
      <c r="ED2" s="231"/>
      <c r="EE2" s="231"/>
      <c r="EF2" s="231"/>
      <c r="EG2" s="231"/>
      <c r="EH2" s="231"/>
      <c r="EI2" s="231"/>
      <c r="EJ2" s="231"/>
      <c r="EK2" s="231"/>
      <c r="EL2" s="231"/>
      <c r="EM2" s="231"/>
      <c r="EN2" s="231"/>
      <c r="EO2" s="231"/>
      <c r="EP2" s="231"/>
      <c r="EQ2" s="231"/>
      <c r="ER2" s="231"/>
      <c r="ES2" s="231"/>
      <c r="ET2" s="231"/>
      <c r="EU2" s="231"/>
      <c r="EV2" s="231"/>
      <c r="EW2" s="231"/>
      <c r="EX2" s="231"/>
      <c r="EY2" s="231"/>
      <c r="EZ2" s="231"/>
      <c r="FA2" s="231"/>
      <c r="FB2" s="231"/>
      <c r="FC2" s="231"/>
      <c r="FD2" s="231"/>
      <c r="FE2" s="231"/>
      <c r="FF2" s="231"/>
      <c r="FG2" s="231"/>
      <c r="FH2" s="231"/>
      <c r="FI2" s="231"/>
      <c r="FJ2" s="231"/>
      <c r="FK2" s="231"/>
      <c r="FL2" s="231"/>
      <c r="FM2" s="231"/>
      <c r="FN2" s="231"/>
      <c r="FO2" s="231"/>
      <c r="FP2" s="231"/>
      <c r="FQ2" s="231"/>
      <c r="FR2" s="231"/>
      <c r="FS2" s="231"/>
      <c r="FT2" s="231"/>
      <c r="FU2" s="231"/>
      <c r="FV2" s="231"/>
      <c r="FW2" s="231"/>
      <c r="FX2" s="231"/>
      <c r="FY2" s="231"/>
      <c r="FZ2" s="231"/>
      <c r="GA2" s="231"/>
      <c r="GB2" s="231"/>
      <c r="GC2" s="231"/>
      <c r="GD2" s="231"/>
      <c r="GE2" s="231"/>
      <c r="GF2" s="231"/>
      <c r="GG2" s="231"/>
      <c r="GH2" s="231"/>
      <c r="GI2" s="231"/>
      <c r="GJ2" s="231"/>
      <c r="GK2" s="231"/>
      <c r="GL2" s="231"/>
      <c r="GM2" s="231"/>
      <c r="GN2" s="231"/>
      <c r="GO2" s="231"/>
      <c r="GP2" s="231"/>
      <c r="GQ2" s="231"/>
      <c r="GR2" s="231"/>
      <c r="GS2" s="231"/>
      <c r="GT2" s="231"/>
      <c r="GU2" s="231"/>
      <c r="GV2" s="231"/>
      <c r="GW2" s="231"/>
      <c r="GX2" s="231"/>
      <c r="GY2" s="231"/>
      <c r="GZ2" s="231"/>
      <c r="HA2" s="231"/>
      <c r="HB2" s="231"/>
      <c r="HC2" s="231"/>
      <c r="HD2" s="231"/>
      <c r="HE2" s="231"/>
      <c r="HF2" s="231"/>
      <c r="HG2" s="231"/>
      <c r="HH2" s="231"/>
      <c r="HI2" s="231"/>
      <c r="HJ2" s="231"/>
      <c r="HK2" s="231"/>
      <c r="HL2" s="231"/>
      <c r="HM2" s="231"/>
      <c r="HN2" s="231"/>
      <c r="HO2" s="231"/>
      <c r="HP2" s="231"/>
    </row>
    <row r="3" spans="1:224" s="233" customFormat="1" ht="30" customHeight="1">
      <c r="A3" s="843" t="s">
        <v>719</v>
      </c>
      <c r="B3" s="843"/>
      <c r="C3" s="843"/>
      <c r="D3" s="843"/>
      <c r="E3" s="843"/>
      <c r="F3" s="843"/>
    </row>
    <row r="4" spans="1:224" ht="30" customHeight="1">
      <c r="A4" s="863" t="s">
        <v>698</v>
      </c>
      <c r="B4" s="863"/>
      <c r="C4" s="863"/>
      <c r="D4" s="863"/>
      <c r="E4" s="863"/>
      <c r="F4" s="863"/>
      <c r="H4" s="231"/>
      <c r="I4" s="231"/>
      <c r="J4" s="231"/>
      <c r="K4" s="231"/>
      <c r="L4" s="231"/>
      <c r="M4" s="231"/>
      <c r="N4" s="231"/>
      <c r="O4" s="231"/>
      <c r="P4" s="231"/>
      <c r="Q4" s="231"/>
      <c r="R4" s="231"/>
      <c r="S4" s="231"/>
      <c r="T4" s="231"/>
      <c r="U4" s="231"/>
      <c r="V4" s="231"/>
      <c r="W4" s="231"/>
      <c r="X4" s="231"/>
      <c r="Y4" s="231"/>
      <c r="Z4" s="231"/>
      <c r="AA4" s="231"/>
      <c r="AB4" s="231"/>
      <c r="AC4" s="231"/>
      <c r="AD4" s="231"/>
      <c r="AE4" s="231"/>
      <c r="AF4" s="231"/>
      <c r="AG4" s="231"/>
      <c r="AH4" s="231"/>
      <c r="AI4" s="231"/>
      <c r="AJ4" s="231"/>
      <c r="AK4" s="231"/>
      <c r="AL4" s="231"/>
      <c r="AM4" s="231"/>
      <c r="AN4" s="231"/>
      <c r="AO4" s="231"/>
      <c r="AP4" s="231"/>
      <c r="AQ4" s="231"/>
      <c r="AR4" s="231"/>
      <c r="AS4" s="231"/>
      <c r="AT4" s="231"/>
      <c r="AU4" s="231"/>
      <c r="AV4" s="231"/>
      <c r="AW4" s="231"/>
      <c r="AX4" s="231"/>
      <c r="AY4" s="231"/>
      <c r="AZ4" s="231"/>
      <c r="BA4" s="231"/>
      <c r="BB4" s="231"/>
      <c r="BC4" s="231"/>
      <c r="BD4" s="231"/>
      <c r="BE4" s="231"/>
      <c r="BF4" s="231"/>
      <c r="BG4" s="231"/>
      <c r="BH4" s="231"/>
      <c r="BI4" s="231"/>
      <c r="BJ4" s="231"/>
      <c r="BK4" s="231"/>
      <c r="BL4" s="231"/>
      <c r="BM4" s="231"/>
      <c r="BN4" s="231"/>
      <c r="BO4" s="231"/>
      <c r="BP4" s="231"/>
      <c r="BQ4" s="231"/>
      <c r="BR4" s="231"/>
      <c r="BS4" s="231"/>
      <c r="BT4" s="231"/>
      <c r="BU4" s="231"/>
      <c r="BV4" s="231"/>
      <c r="BW4" s="231"/>
      <c r="BX4" s="231"/>
      <c r="BY4" s="231"/>
      <c r="BZ4" s="231"/>
      <c r="CA4" s="231"/>
      <c r="CB4" s="231"/>
      <c r="CC4" s="231"/>
      <c r="CD4" s="231"/>
      <c r="CE4" s="231"/>
      <c r="CF4" s="231"/>
      <c r="CG4" s="231"/>
      <c r="CH4" s="231"/>
      <c r="CI4" s="231"/>
      <c r="CJ4" s="231"/>
      <c r="CK4" s="231"/>
      <c r="CL4" s="231"/>
      <c r="CM4" s="231"/>
      <c r="CN4" s="231"/>
      <c r="CO4" s="231"/>
      <c r="CP4" s="231"/>
      <c r="CQ4" s="231"/>
      <c r="CR4" s="231"/>
      <c r="CS4" s="231"/>
      <c r="CT4" s="231"/>
      <c r="CU4" s="231"/>
      <c r="CV4" s="231"/>
      <c r="CW4" s="231"/>
      <c r="CX4" s="231"/>
      <c r="CY4" s="231"/>
      <c r="CZ4" s="231"/>
      <c r="DA4" s="231"/>
      <c r="DB4" s="231"/>
      <c r="DC4" s="231"/>
      <c r="DD4" s="231"/>
      <c r="DE4" s="231"/>
      <c r="DF4" s="231"/>
      <c r="DG4" s="231"/>
      <c r="DH4" s="231"/>
      <c r="DI4" s="231"/>
      <c r="DJ4" s="231"/>
      <c r="DK4" s="231"/>
      <c r="DL4" s="231"/>
      <c r="DM4" s="231"/>
      <c r="DN4" s="231"/>
      <c r="DO4" s="231"/>
      <c r="DP4" s="231"/>
      <c r="DQ4" s="231"/>
      <c r="DR4" s="231"/>
      <c r="DS4" s="231"/>
      <c r="DT4" s="231"/>
      <c r="DU4" s="231"/>
      <c r="DV4" s="231"/>
      <c r="DW4" s="231"/>
      <c r="DX4" s="231"/>
      <c r="DY4" s="231"/>
      <c r="DZ4" s="231"/>
      <c r="EA4" s="231"/>
      <c r="EB4" s="231"/>
      <c r="EC4" s="231"/>
      <c r="ED4" s="231"/>
      <c r="EE4" s="231"/>
      <c r="EF4" s="231"/>
      <c r="EG4" s="231"/>
      <c r="EH4" s="231"/>
      <c r="EI4" s="231"/>
      <c r="EJ4" s="231"/>
      <c r="EK4" s="231"/>
      <c r="EL4" s="231"/>
      <c r="EM4" s="231"/>
      <c r="EN4" s="231"/>
      <c r="EO4" s="231"/>
      <c r="EP4" s="231"/>
      <c r="EQ4" s="231"/>
      <c r="ER4" s="231"/>
      <c r="ES4" s="231"/>
      <c r="ET4" s="231"/>
      <c r="EU4" s="231"/>
      <c r="EV4" s="231"/>
      <c r="EW4" s="231"/>
      <c r="EX4" s="231"/>
      <c r="EY4" s="231"/>
      <c r="EZ4" s="231"/>
      <c r="FA4" s="231"/>
      <c r="FB4" s="231"/>
      <c r="FC4" s="231"/>
      <c r="FD4" s="231"/>
      <c r="FE4" s="231"/>
      <c r="FF4" s="231"/>
      <c r="FG4" s="231"/>
      <c r="FH4" s="231"/>
      <c r="FI4" s="231"/>
      <c r="FJ4" s="231"/>
      <c r="FK4" s="231"/>
      <c r="FL4" s="231"/>
      <c r="FM4" s="231"/>
      <c r="FN4" s="231"/>
      <c r="FO4" s="231"/>
      <c r="FP4" s="231"/>
      <c r="FQ4" s="231"/>
      <c r="FR4" s="231"/>
      <c r="FS4" s="231"/>
      <c r="FT4" s="231"/>
      <c r="FU4" s="231"/>
      <c r="FV4" s="231"/>
      <c r="FW4" s="231"/>
      <c r="FX4" s="231"/>
      <c r="FY4" s="231"/>
      <c r="FZ4" s="231"/>
      <c r="GA4" s="231"/>
      <c r="GB4" s="231"/>
      <c r="GC4" s="231"/>
      <c r="GD4" s="231"/>
      <c r="GE4" s="231"/>
      <c r="GF4" s="231"/>
      <c r="GG4" s="231"/>
      <c r="GH4" s="231"/>
      <c r="GI4" s="231"/>
      <c r="GJ4" s="231"/>
      <c r="GK4" s="231"/>
      <c r="GL4" s="231"/>
      <c r="GM4" s="231"/>
      <c r="GN4" s="231"/>
      <c r="GO4" s="231"/>
      <c r="GP4" s="231"/>
      <c r="GQ4" s="231"/>
      <c r="GR4" s="231"/>
      <c r="GS4" s="231"/>
      <c r="GT4" s="231"/>
      <c r="GU4" s="231"/>
      <c r="GV4" s="231"/>
      <c r="GW4" s="231"/>
      <c r="GX4" s="231"/>
      <c r="GY4" s="231"/>
      <c r="GZ4" s="231"/>
      <c r="HA4" s="231"/>
      <c r="HB4" s="231"/>
      <c r="HC4" s="231"/>
      <c r="HD4" s="231"/>
      <c r="HE4" s="231"/>
      <c r="HF4" s="231"/>
      <c r="HG4" s="231"/>
      <c r="HH4" s="231"/>
      <c r="HI4" s="231"/>
      <c r="HJ4" s="231"/>
      <c r="HK4" s="231"/>
      <c r="HL4" s="231"/>
      <c r="HM4" s="231"/>
      <c r="HN4" s="231"/>
      <c r="HO4" s="231"/>
      <c r="HP4" s="231"/>
    </row>
    <row r="5" spans="1:224" ht="30" customHeight="1">
      <c r="A5" s="814"/>
      <c r="B5" s="814"/>
      <c r="C5" s="814"/>
      <c r="D5" s="814"/>
      <c r="E5" s="814"/>
      <c r="F5" s="814"/>
      <c r="H5" s="231"/>
      <c r="I5" s="231"/>
      <c r="J5" s="231"/>
      <c r="K5" s="231"/>
      <c r="L5" s="231"/>
      <c r="M5" s="231"/>
      <c r="N5" s="231"/>
      <c r="O5" s="231"/>
      <c r="P5" s="231"/>
      <c r="Q5" s="231"/>
      <c r="R5" s="231"/>
      <c r="S5" s="231"/>
      <c r="T5" s="231"/>
      <c r="U5" s="231"/>
      <c r="V5" s="231"/>
      <c r="W5" s="231"/>
      <c r="X5" s="231"/>
      <c r="Y5" s="231"/>
      <c r="Z5" s="231"/>
      <c r="AA5" s="231"/>
      <c r="AB5" s="231"/>
      <c r="AC5" s="231"/>
      <c r="AD5" s="231"/>
      <c r="AE5" s="231"/>
      <c r="AF5" s="231"/>
      <c r="AG5" s="231"/>
      <c r="AH5" s="231"/>
      <c r="AI5" s="231"/>
      <c r="AJ5" s="231"/>
      <c r="AK5" s="231"/>
      <c r="AL5" s="231"/>
      <c r="AM5" s="231"/>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31"/>
      <c r="BQ5" s="231"/>
      <c r="BR5" s="231"/>
      <c r="BS5" s="231"/>
      <c r="BT5" s="231"/>
      <c r="BU5" s="231"/>
      <c r="BV5" s="231"/>
      <c r="BW5" s="231"/>
      <c r="BX5" s="231"/>
      <c r="BY5" s="231"/>
      <c r="BZ5" s="231"/>
      <c r="CA5" s="231"/>
      <c r="CB5" s="231"/>
      <c r="CC5" s="231"/>
      <c r="CD5" s="231"/>
      <c r="CE5" s="231"/>
      <c r="CF5" s="231"/>
      <c r="CG5" s="231"/>
      <c r="CH5" s="231"/>
      <c r="CI5" s="231"/>
      <c r="CJ5" s="231"/>
      <c r="CK5" s="231"/>
      <c r="CL5" s="231"/>
      <c r="CM5" s="231"/>
      <c r="CN5" s="231"/>
      <c r="CO5" s="231"/>
      <c r="CP5" s="231"/>
      <c r="CQ5" s="231"/>
      <c r="CR5" s="231"/>
      <c r="CS5" s="231"/>
      <c r="CT5" s="231"/>
      <c r="CU5" s="231"/>
      <c r="CV5" s="231"/>
      <c r="CW5" s="231"/>
      <c r="CX5" s="231"/>
      <c r="CY5" s="231"/>
      <c r="CZ5" s="231"/>
      <c r="DA5" s="231"/>
      <c r="DB5" s="231"/>
      <c r="DC5" s="231"/>
      <c r="DD5" s="231"/>
      <c r="DE5" s="231"/>
      <c r="DF5" s="231"/>
      <c r="DG5" s="231"/>
      <c r="DH5" s="231"/>
      <c r="DI5" s="231"/>
      <c r="DJ5" s="231"/>
      <c r="DK5" s="231"/>
      <c r="DL5" s="231"/>
      <c r="DM5" s="231"/>
      <c r="DN5" s="231"/>
      <c r="DO5" s="231"/>
      <c r="DP5" s="231"/>
      <c r="DQ5" s="231"/>
      <c r="DR5" s="231"/>
      <c r="DS5" s="231"/>
      <c r="DT5" s="231"/>
      <c r="DU5" s="231"/>
      <c r="DV5" s="231"/>
      <c r="DW5" s="231"/>
      <c r="DX5" s="231"/>
      <c r="DY5" s="231"/>
      <c r="DZ5" s="231"/>
      <c r="EA5" s="231"/>
      <c r="EB5" s="231"/>
      <c r="EC5" s="231"/>
      <c r="ED5" s="231"/>
      <c r="EE5" s="231"/>
      <c r="EF5" s="231"/>
      <c r="EG5" s="231"/>
      <c r="EH5" s="231"/>
      <c r="EI5" s="231"/>
      <c r="EJ5" s="231"/>
      <c r="EK5" s="231"/>
      <c r="EL5" s="231"/>
      <c r="EM5" s="231"/>
      <c r="EN5" s="231"/>
      <c r="EO5" s="231"/>
      <c r="EP5" s="231"/>
      <c r="EQ5" s="231"/>
      <c r="ER5" s="231"/>
      <c r="ES5" s="231"/>
      <c r="ET5" s="231"/>
      <c r="EU5" s="231"/>
      <c r="EV5" s="231"/>
      <c r="EW5" s="231"/>
      <c r="EX5" s="231"/>
      <c r="EY5" s="231"/>
      <c r="EZ5" s="231"/>
      <c r="FA5" s="231"/>
      <c r="FB5" s="231"/>
      <c r="FC5" s="231"/>
      <c r="FD5" s="231"/>
      <c r="FE5" s="231"/>
      <c r="FF5" s="231"/>
      <c r="FG5" s="231"/>
      <c r="FH5" s="231"/>
      <c r="FI5" s="231"/>
      <c r="FJ5" s="231"/>
      <c r="FK5" s="231"/>
      <c r="FL5" s="231"/>
      <c r="FM5" s="231"/>
      <c r="FN5" s="231"/>
      <c r="FO5" s="231"/>
      <c r="FP5" s="231"/>
      <c r="FQ5" s="231"/>
      <c r="FR5" s="231"/>
      <c r="FS5" s="231"/>
      <c r="FT5" s="231"/>
      <c r="FU5" s="231"/>
      <c r="FV5" s="231"/>
      <c r="FW5" s="231"/>
      <c r="FX5" s="231"/>
      <c r="FY5" s="231"/>
      <c r="FZ5" s="231"/>
      <c r="GA5" s="231"/>
      <c r="GB5" s="231"/>
      <c r="GC5" s="231"/>
      <c r="GD5" s="231"/>
      <c r="GE5" s="231"/>
      <c r="GF5" s="231"/>
      <c r="GG5" s="231"/>
      <c r="GH5" s="231"/>
      <c r="GI5" s="231"/>
      <c r="GJ5" s="231"/>
      <c r="GK5" s="231"/>
      <c r="GL5" s="231"/>
      <c r="GM5" s="231"/>
      <c r="GN5" s="231"/>
      <c r="GO5" s="231"/>
      <c r="GP5" s="231"/>
      <c r="GQ5" s="231"/>
      <c r="GR5" s="231"/>
      <c r="GS5" s="231"/>
      <c r="GT5" s="231"/>
      <c r="GU5" s="231"/>
      <c r="GV5" s="231"/>
      <c r="GW5" s="231"/>
      <c r="GX5" s="231"/>
      <c r="GY5" s="231"/>
      <c r="GZ5" s="231"/>
      <c r="HA5" s="231"/>
      <c r="HB5" s="231"/>
      <c r="HC5" s="231"/>
      <c r="HD5" s="231"/>
      <c r="HE5" s="231"/>
      <c r="HF5" s="231"/>
      <c r="HG5" s="231"/>
      <c r="HH5" s="231"/>
      <c r="HI5" s="231"/>
      <c r="HJ5" s="231"/>
      <c r="HK5" s="231"/>
      <c r="HL5" s="231"/>
      <c r="HM5" s="231"/>
      <c r="HN5" s="231"/>
      <c r="HO5" s="231"/>
      <c r="HP5" s="231"/>
    </row>
    <row r="6" spans="1:224" ht="22.35" customHeight="1" thickBot="1">
      <c r="A6" s="178"/>
      <c r="C6" s="234"/>
      <c r="D6" s="234"/>
      <c r="E6" s="234"/>
      <c r="F6" s="234"/>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c r="BG6" s="231"/>
      <c r="BH6" s="231"/>
      <c r="BI6" s="231"/>
      <c r="BJ6" s="231"/>
      <c r="BK6" s="231"/>
      <c r="BL6" s="231"/>
      <c r="BM6" s="231"/>
      <c r="BN6" s="231"/>
      <c r="BO6" s="231"/>
      <c r="BP6" s="231"/>
      <c r="BQ6" s="231"/>
      <c r="BR6" s="231"/>
      <c r="BS6" s="231"/>
      <c r="BT6" s="231"/>
      <c r="BU6" s="231"/>
      <c r="BV6" s="231"/>
      <c r="BW6" s="231"/>
      <c r="BX6" s="231"/>
      <c r="BY6" s="231"/>
      <c r="BZ6" s="231"/>
      <c r="CA6" s="231"/>
      <c r="CB6" s="231"/>
      <c r="CC6" s="231"/>
      <c r="CD6" s="231"/>
      <c r="CE6" s="231"/>
      <c r="CF6" s="231"/>
      <c r="CG6" s="231"/>
      <c r="CH6" s="231"/>
      <c r="CI6" s="231"/>
      <c r="CJ6" s="231"/>
      <c r="CK6" s="231"/>
      <c r="CL6" s="231"/>
      <c r="CM6" s="231"/>
      <c r="CN6" s="231"/>
      <c r="CO6" s="231"/>
      <c r="CP6" s="231"/>
      <c r="CQ6" s="231"/>
      <c r="CR6" s="231"/>
      <c r="CS6" s="231"/>
      <c r="CT6" s="231"/>
      <c r="CU6" s="231"/>
      <c r="CV6" s="231"/>
      <c r="CW6" s="231"/>
      <c r="CX6" s="231"/>
      <c r="CY6" s="231"/>
      <c r="CZ6" s="231"/>
      <c r="DA6" s="231"/>
      <c r="DB6" s="231"/>
      <c r="DC6" s="231"/>
      <c r="DD6" s="231"/>
      <c r="DE6" s="231"/>
      <c r="DF6" s="231"/>
      <c r="DG6" s="231"/>
      <c r="DH6" s="231"/>
      <c r="DI6" s="231"/>
      <c r="DJ6" s="231"/>
      <c r="DK6" s="231"/>
      <c r="DL6" s="231"/>
      <c r="DM6" s="231"/>
      <c r="DN6" s="231"/>
      <c r="DO6" s="231"/>
      <c r="DP6" s="231"/>
      <c r="DQ6" s="231"/>
      <c r="DR6" s="231"/>
      <c r="DS6" s="231"/>
      <c r="DT6" s="231"/>
      <c r="DU6" s="231"/>
      <c r="DV6" s="231"/>
      <c r="DW6" s="231"/>
      <c r="DX6" s="231"/>
      <c r="DY6" s="231"/>
      <c r="DZ6" s="231"/>
      <c r="EA6" s="231"/>
      <c r="EB6" s="231"/>
      <c r="EC6" s="231"/>
      <c r="ED6" s="231"/>
      <c r="EE6" s="231"/>
      <c r="EF6" s="231"/>
      <c r="EG6" s="231"/>
      <c r="EH6" s="231"/>
      <c r="EI6" s="231"/>
      <c r="EJ6" s="231"/>
      <c r="EK6" s="231"/>
      <c r="EL6" s="231"/>
      <c r="EM6" s="231"/>
      <c r="EN6" s="231"/>
      <c r="EO6" s="231"/>
      <c r="EP6" s="231"/>
      <c r="EQ6" s="231"/>
      <c r="ER6" s="231"/>
      <c r="ES6" s="231"/>
      <c r="ET6" s="231"/>
      <c r="EU6" s="231"/>
      <c r="EV6" s="231"/>
      <c r="EW6" s="231"/>
      <c r="EX6" s="231"/>
      <c r="EY6" s="231"/>
      <c r="EZ6" s="231"/>
      <c r="FA6" s="231"/>
      <c r="FB6" s="231"/>
      <c r="FC6" s="231"/>
      <c r="FD6" s="231"/>
      <c r="FE6" s="231"/>
      <c r="FF6" s="231"/>
      <c r="FG6" s="231"/>
      <c r="FH6" s="231"/>
      <c r="FI6" s="231"/>
      <c r="FJ6" s="231"/>
      <c r="FK6" s="231"/>
      <c r="FL6" s="231"/>
      <c r="FM6" s="231"/>
      <c r="FN6" s="231"/>
      <c r="FO6" s="231"/>
      <c r="FP6" s="231"/>
      <c r="FQ6" s="231"/>
      <c r="FR6" s="231"/>
      <c r="FS6" s="231"/>
      <c r="FT6" s="231"/>
      <c r="FU6" s="231"/>
      <c r="FV6" s="231"/>
      <c r="FW6" s="231"/>
      <c r="FX6" s="231"/>
      <c r="FY6" s="231"/>
      <c r="FZ6" s="231"/>
      <c r="GA6" s="231"/>
      <c r="GB6" s="231"/>
      <c r="GC6" s="231"/>
      <c r="GD6" s="231"/>
      <c r="GE6" s="231"/>
      <c r="GF6" s="231"/>
      <c r="GG6" s="231"/>
      <c r="GH6" s="231"/>
      <c r="GI6" s="231"/>
      <c r="GJ6" s="231"/>
      <c r="GK6" s="231"/>
      <c r="GL6" s="231"/>
      <c r="GM6" s="231"/>
      <c r="GN6" s="231"/>
      <c r="GO6" s="231"/>
      <c r="GP6" s="231"/>
      <c r="GQ6" s="231"/>
      <c r="GR6" s="231"/>
      <c r="GS6" s="231"/>
      <c r="GT6" s="231"/>
      <c r="GU6" s="231"/>
      <c r="GV6" s="231"/>
      <c r="GW6" s="231"/>
      <c r="GX6" s="231"/>
      <c r="GY6" s="231"/>
      <c r="GZ6" s="231"/>
      <c r="HA6" s="231"/>
      <c r="HB6" s="231"/>
      <c r="HC6" s="231"/>
      <c r="HD6" s="231"/>
      <c r="HE6" s="231"/>
      <c r="HF6" s="231"/>
      <c r="HG6" s="231"/>
      <c r="HH6" s="231"/>
      <c r="HI6" s="231"/>
      <c r="HJ6" s="231"/>
      <c r="HK6" s="231"/>
      <c r="HL6" s="231"/>
      <c r="HM6" s="231"/>
      <c r="HN6" s="231"/>
      <c r="HO6" s="231"/>
      <c r="HP6" s="231"/>
    </row>
    <row r="7" spans="1:224" ht="30" customHeight="1" thickBot="1">
      <c r="A7" s="812" t="s">
        <v>699</v>
      </c>
      <c r="B7" s="813"/>
      <c r="C7" s="806" t="s">
        <v>86</v>
      </c>
      <c r="D7" s="807"/>
      <c r="E7" s="807"/>
      <c r="F7" s="808"/>
      <c r="G7" s="231"/>
      <c r="H7" s="231"/>
      <c r="I7" s="29"/>
      <c r="J7" s="29"/>
      <c r="K7" s="237"/>
      <c r="L7" s="237"/>
      <c r="M7" s="237"/>
      <c r="N7" s="237"/>
      <c r="O7" s="231"/>
      <c r="P7" s="231"/>
      <c r="Q7" s="231"/>
      <c r="R7" s="231"/>
      <c r="S7" s="231"/>
      <c r="T7" s="231"/>
      <c r="U7" s="231"/>
      <c r="V7" s="231"/>
      <c r="W7" s="231"/>
      <c r="X7" s="231"/>
      <c r="Y7" s="231"/>
      <c r="Z7" s="231"/>
      <c r="AA7" s="231"/>
      <c r="AB7" s="231"/>
      <c r="AC7" s="231"/>
      <c r="AD7" s="231"/>
      <c r="AE7" s="231"/>
      <c r="AF7" s="231"/>
      <c r="AG7" s="231"/>
      <c r="AH7" s="231"/>
      <c r="AI7" s="231"/>
      <c r="AJ7" s="231"/>
      <c r="AK7" s="231"/>
      <c r="AL7" s="231"/>
      <c r="AM7" s="231"/>
      <c r="AN7" s="231"/>
      <c r="AO7" s="231"/>
      <c r="AP7" s="231"/>
      <c r="AQ7" s="231"/>
      <c r="AR7" s="231"/>
      <c r="AS7" s="231"/>
      <c r="AT7" s="231"/>
      <c r="AU7" s="231"/>
      <c r="AV7" s="231"/>
      <c r="AW7" s="231"/>
      <c r="AX7" s="231"/>
      <c r="AY7" s="231"/>
      <c r="AZ7" s="231"/>
      <c r="BA7" s="231"/>
      <c r="BB7" s="231"/>
      <c r="BC7" s="231"/>
      <c r="BD7" s="231"/>
      <c r="BE7" s="231"/>
      <c r="BF7" s="231"/>
      <c r="BG7" s="231"/>
      <c r="BH7" s="231"/>
      <c r="BI7" s="231"/>
      <c r="BJ7" s="231"/>
      <c r="BK7" s="231"/>
      <c r="BL7" s="231"/>
      <c r="BM7" s="231"/>
      <c r="BN7" s="231"/>
      <c r="BO7" s="231"/>
      <c r="BP7" s="231"/>
      <c r="BQ7" s="231"/>
      <c r="BR7" s="231"/>
      <c r="BS7" s="231"/>
      <c r="BT7" s="231"/>
      <c r="BU7" s="231"/>
      <c r="BV7" s="231"/>
      <c r="BW7" s="231"/>
      <c r="BX7" s="231"/>
      <c r="BY7" s="231"/>
      <c r="BZ7" s="231"/>
      <c r="CA7" s="231"/>
      <c r="CB7" s="231"/>
      <c r="CC7" s="231"/>
      <c r="CD7" s="231"/>
      <c r="CE7" s="231"/>
      <c r="CF7" s="231"/>
      <c r="CG7" s="231"/>
      <c r="CH7" s="231"/>
      <c r="CI7" s="231"/>
      <c r="CJ7" s="231"/>
      <c r="CK7" s="231"/>
      <c r="CL7" s="231"/>
      <c r="CM7" s="231"/>
      <c r="CN7" s="231"/>
      <c r="CO7" s="231"/>
      <c r="CP7" s="231"/>
      <c r="CQ7" s="231"/>
      <c r="CR7" s="231"/>
      <c r="CS7" s="231"/>
      <c r="CT7" s="231"/>
      <c r="CU7" s="231"/>
      <c r="CV7" s="231"/>
      <c r="CW7" s="231"/>
      <c r="CX7" s="231"/>
      <c r="CY7" s="231"/>
      <c r="CZ7" s="231"/>
      <c r="DA7" s="231"/>
      <c r="DB7" s="231"/>
      <c r="DC7" s="231"/>
      <c r="DD7" s="231"/>
      <c r="DE7" s="231"/>
      <c r="DF7" s="231"/>
      <c r="DG7" s="231"/>
      <c r="DH7" s="231"/>
      <c r="DI7" s="231"/>
      <c r="DJ7" s="231"/>
      <c r="DK7" s="231"/>
      <c r="DL7" s="231"/>
      <c r="DM7" s="231"/>
      <c r="DN7" s="231"/>
      <c r="DO7" s="231"/>
      <c r="DP7" s="231"/>
      <c r="DQ7" s="231"/>
      <c r="DR7" s="231"/>
      <c r="DS7" s="231"/>
      <c r="DT7" s="231"/>
      <c r="DU7" s="231"/>
      <c r="DV7" s="231"/>
      <c r="DW7" s="231"/>
      <c r="DX7" s="231"/>
      <c r="DY7" s="231"/>
      <c r="DZ7" s="231"/>
      <c r="EA7" s="231"/>
      <c r="EB7" s="231"/>
      <c r="EC7" s="231"/>
      <c r="ED7" s="231"/>
      <c r="EE7" s="231"/>
      <c r="EF7" s="231"/>
      <c r="EG7" s="231"/>
      <c r="EH7" s="231"/>
      <c r="EI7" s="231"/>
      <c r="EJ7" s="231"/>
      <c r="EK7" s="231"/>
      <c r="EL7" s="231"/>
      <c r="EM7" s="231"/>
      <c r="EN7" s="231"/>
      <c r="EO7" s="231"/>
      <c r="EP7" s="231"/>
      <c r="EQ7" s="231"/>
      <c r="ER7" s="231"/>
      <c r="ES7" s="231"/>
      <c r="ET7" s="231"/>
      <c r="EU7" s="231"/>
      <c r="EV7" s="231"/>
      <c r="EW7" s="231"/>
      <c r="EX7" s="231"/>
      <c r="EY7" s="231"/>
      <c r="EZ7" s="231"/>
      <c r="FA7" s="231"/>
      <c r="FB7" s="231"/>
      <c r="FC7" s="231"/>
      <c r="FD7" s="231"/>
      <c r="FE7" s="231"/>
      <c r="FF7" s="231"/>
      <c r="FG7" s="231"/>
      <c r="FH7" s="231"/>
      <c r="FI7" s="231"/>
      <c r="FJ7" s="231"/>
      <c r="FK7" s="231"/>
      <c r="FL7" s="231"/>
      <c r="FM7" s="231"/>
      <c r="FN7" s="231"/>
      <c r="FO7" s="231"/>
      <c r="FP7" s="231"/>
      <c r="FQ7" s="231"/>
      <c r="FR7" s="231"/>
      <c r="FS7" s="231"/>
      <c r="FT7" s="231"/>
      <c r="FU7" s="231"/>
      <c r="FV7" s="231"/>
      <c r="FW7" s="231"/>
      <c r="FX7" s="231"/>
      <c r="FY7" s="231"/>
      <c r="FZ7" s="231"/>
      <c r="GA7" s="231"/>
      <c r="GB7" s="231"/>
      <c r="GC7" s="231"/>
      <c r="GD7" s="231"/>
      <c r="GE7" s="231"/>
      <c r="GF7" s="231"/>
      <c r="GG7" s="231"/>
      <c r="GH7" s="231"/>
      <c r="GI7" s="231"/>
      <c r="GJ7" s="231"/>
      <c r="GK7" s="231"/>
      <c r="GL7" s="231"/>
      <c r="GM7" s="231"/>
      <c r="GN7" s="231"/>
      <c r="GO7" s="231"/>
      <c r="GP7" s="231"/>
      <c r="GQ7" s="231"/>
      <c r="GR7" s="231"/>
      <c r="GS7" s="231"/>
      <c r="GT7" s="231"/>
      <c r="GU7" s="231"/>
      <c r="GV7" s="231"/>
      <c r="GW7" s="231"/>
      <c r="GX7" s="231"/>
      <c r="GY7" s="231"/>
      <c r="GZ7" s="231"/>
      <c r="HA7" s="231"/>
      <c r="HB7" s="231"/>
      <c r="HC7" s="231"/>
      <c r="HD7" s="231"/>
      <c r="HE7" s="231"/>
      <c r="HF7" s="231"/>
      <c r="HG7" s="231"/>
      <c r="HH7" s="231"/>
      <c r="HI7" s="231"/>
      <c r="HJ7" s="231"/>
      <c r="HK7" s="231"/>
      <c r="HL7" s="231"/>
      <c r="HM7" s="231"/>
      <c r="HN7" s="231"/>
      <c r="HO7" s="231"/>
      <c r="HP7" s="231"/>
    </row>
    <row r="8" spans="1:224" s="178" customFormat="1" ht="114.6" customHeight="1" thickBot="1">
      <c r="A8" s="916" t="s">
        <v>720</v>
      </c>
      <c r="B8" s="917"/>
      <c r="C8" s="238" t="s">
        <v>346</v>
      </c>
      <c r="D8" s="239" t="s">
        <v>721</v>
      </c>
      <c r="E8" s="573" t="s">
        <v>722</v>
      </c>
      <c r="F8" s="238" t="s">
        <v>723</v>
      </c>
      <c r="G8" s="236"/>
      <c r="H8" s="236"/>
      <c r="I8" s="88"/>
      <c r="J8" s="29"/>
      <c r="K8" s="93"/>
      <c r="L8" s="93"/>
      <c r="M8" s="93"/>
      <c r="N8" s="93"/>
      <c r="O8" s="236"/>
      <c r="P8" s="236"/>
      <c r="Q8" s="236"/>
      <c r="R8" s="236"/>
      <c r="S8" s="236"/>
      <c r="T8" s="236"/>
      <c r="U8" s="236"/>
      <c r="V8" s="236"/>
      <c r="W8" s="236"/>
      <c r="X8" s="236"/>
      <c r="Y8" s="236"/>
      <c r="Z8" s="236"/>
      <c r="AA8" s="236"/>
      <c r="AB8" s="236"/>
      <c r="AC8" s="236"/>
      <c r="AD8" s="236"/>
      <c r="AE8" s="236"/>
      <c r="AF8" s="236"/>
      <c r="AG8" s="236"/>
      <c r="AH8" s="236"/>
      <c r="AI8" s="236"/>
      <c r="AJ8" s="236"/>
      <c r="AK8" s="236"/>
      <c r="AL8" s="236"/>
      <c r="AM8" s="236"/>
      <c r="AN8" s="236"/>
      <c r="AO8" s="236"/>
      <c r="AP8" s="236"/>
      <c r="AQ8" s="236"/>
      <c r="AR8" s="236"/>
      <c r="AS8" s="236"/>
      <c r="AT8" s="236"/>
      <c r="AU8" s="236"/>
      <c r="AV8" s="236"/>
      <c r="AW8" s="236"/>
      <c r="AX8" s="236"/>
      <c r="AY8" s="236"/>
      <c r="AZ8" s="236"/>
      <c r="BA8" s="236"/>
      <c r="BB8" s="236"/>
      <c r="BC8" s="236"/>
      <c r="BD8" s="236"/>
      <c r="BE8" s="236"/>
      <c r="BF8" s="236"/>
      <c r="BG8" s="236"/>
      <c r="BH8" s="236"/>
      <c r="BI8" s="236"/>
      <c r="BJ8" s="236"/>
      <c r="BK8" s="236"/>
      <c r="BL8" s="236"/>
      <c r="BM8" s="236"/>
      <c r="BN8" s="236"/>
      <c r="BO8" s="236"/>
      <c r="BP8" s="236"/>
      <c r="BQ8" s="236"/>
      <c r="BR8" s="236"/>
      <c r="BS8" s="236"/>
      <c r="BT8" s="236"/>
      <c r="BU8" s="236"/>
      <c r="BV8" s="236"/>
      <c r="BW8" s="236"/>
      <c r="BX8" s="236"/>
      <c r="BY8" s="236"/>
      <c r="BZ8" s="236"/>
      <c r="CA8" s="236"/>
      <c r="CB8" s="236"/>
      <c r="CC8" s="236"/>
      <c r="CD8" s="236"/>
      <c r="CE8" s="236"/>
      <c r="CF8" s="236"/>
      <c r="CG8" s="236"/>
      <c r="CH8" s="236"/>
      <c r="CI8" s="236"/>
      <c r="CJ8" s="236"/>
      <c r="CK8" s="236"/>
      <c r="CL8" s="236"/>
      <c r="CM8" s="236"/>
      <c r="CN8" s="236"/>
      <c r="CO8" s="236"/>
      <c r="CP8" s="236"/>
      <c r="CQ8" s="236"/>
      <c r="CR8" s="236"/>
      <c r="CS8" s="236"/>
      <c r="CT8" s="236"/>
      <c r="CU8" s="236"/>
      <c r="CV8" s="236"/>
      <c r="CW8" s="236"/>
      <c r="CX8" s="236"/>
      <c r="CY8" s="236"/>
      <c r="CZ8" s="236"/>
      <c r="DA8" s="236"/>
      <c r="DB8" s="236"/>
      <c r="DC8" s="236"/>
      <c r="DD8" s="236"/>
      <c r="DE8" s="236"/>
      <c r="DF8" s="236"/>
      <c r="DG8" s="236"/>
      <c r="DH8" s="236"/>
      <c r="DI8" s="236"/>
      <c r="DJ8" s="236"/>
      <c r="DK8" s="236"/>
      <c r="DL8" s="236"/>
      <c r="DM8" s="236"/>
      <c r="DN8" s="236"/>
      <c r="DO8" s="236"/>
      <c r="DP8" s="236"/>
      <c r="DQ8" s="236"/>
      <c r="DR8" s="236"/>
      <c r="DS8" s="236"/>
      <c r="DT8" s="236"/>
      <c r="DU8" s="236"/>
      <c r="DV8" s="236"/>
      <c r="DW8" s="236"/>
      <c r="DX8" s="236"/>
      <c r="DY8" s="236"/>
      <c r="DZ8" s="236"/>
      <c r="EA8" s="236"/>
      <c r="EB8" s="236"/>
      <c r="EC8" s="236"/>
      <c r="ED8" s="236"/>
      <c r="EE8" s="236"/>
      <c r="EF8" s="236"/>
      <c r="EG8" s="236"/>
      <c r="EH8" s="236"/>
      <c r="EI8" s="236"/>
      <c r="EJ8" s="236"/>
      <c r="EK8" s="236"/>
      <c r="EL8" s="236"/>
      <c r="EM8" s="236"/>
      <c r="EN8" s="236"/>
      <c r="EO8" s="236"/>
      <c r="EP8" s="236"/>
      <c r="EQ8" s="236"/>
      <c r="ER8" s="236"/>
      <c r="ES8" s="236"/>
      <c r="ET8" s="236"/>
      <c r="EU8" s="236"/>
      <c r="EV8" s="236"/>
      <c r="EW8" s="236"/>
      <c r="EX8" s="236"/>
      <c r="EY8" s="236"/>
      <c r="EZ8" s="236"/>
      <c r="FA8" s="236"/>
      <c r="FB8" s="236"/>
      <c r="FC8" s="236"/>
      <c r="FD8" s="236"/>
      <c r="FE8" s="236"/>
      <c r="FF8" s="236"/>
      <c r="FG8" s="236"/>
      <c r="FH8" s="236"/>
      <c r="FI8" s="236"/>
      <c r="FJ8" s="236"/>
      <c r="FK8" s="236"/>
      <c r="FL8" s="236"/>
      <c r="FM8" s="236"/>
      <c r="FN8" s="236"/>
      <c r="FO8" s="236"/>
      <c r="FP8" s="236"/>
      <c r="FQ8" s="236"/>
      <c r="FR8" s="236"/>
      <c r="FS8" s="236"/>
      <c r="FT8" s="236"/>
      <c r="FU8" s="236"/>
      <c r="FV8" s="236"/>
      <c r="FW8" s="236"/>
      <c r="FX8" s="236"/>
      <c r="FY8" s="236"/>
      <c r="FZ8" s="236"/>
      <c r="GA8" s="236"/>
      <c r="GB8" s="236"/>
      <c r="GC8" s="236"/>
      <c r="GD8" s="236"/>
      <c r="GE8" s="236"/>
      <c r="GF8" s="236"/>
      <c r="GG8" s="236"/>
      <c r="GH8" s="236"/>
      <c r="GI8" s="236"/>
      <c r="GJ8" s="236"/>
      <c r="GK8" s="236"/>
      <c r="GL8" s="236"/>
      <c r="GM8" s="236"/>
      <c r="GN8" s="236"/>
      <c r="GO8" s="236"/>
      <c r="GP8" s="236"/>
      <c r="GQ8" s="236"/>
      <c r="GR8" s="236"/>
      <c r="GS8" s="236"/>
      <c r="GT8" s="236"/>
      <c r="GU8" s="236"/>
      <c r="GV8" s="236"/>
      <c r="GW8" s="236"/>
      <c r="GX8" s="236"/>
      <c r="GY8" s="236"/>
      <c r="GZ8" s="236"/>
      <c r="HA8" s="236"/>
      <c r="HB8" s="236"/>
      <c r="HC8" s="236"/>
      <c r="HD8" s="236"/>
      <c r="HE8" s="236"/>
      <c r="HF8" s="236"/>
      <c r="HG8" s="236"/>
      <c r="HH8" s="236"/>
      <c r="HI8" s="236"/>
      <c r="HJ8" s="236"/>
      <c r="HK8" s="236"/>
      <c r="HL8" s="236"/>
      <c r="HM8" s="236"/>
      <c r="HN8" s="236"/>
      <c r="HO8" s="236"/>
      <c r="HP8" s="236"/>
    </row>
    <row r="9" spans="1:224" s="178" customFormat="1" ht="30" customHeight="1" thickBot="1">
      <c r="A9" s="804" t="s">
        <v>491</v>
      </c>
      <c r="B9" s="809"/>
      <c r="C9" s="263"/>
      <c r="D9" s="278"/>
      <c r="E9" s="278"/>
      <c r="F9" s="278"/>
      <c r="I9" s="88"/>
      <c r="J9" s="29"/>
      <c r="K9" s="93"/>
      <c r="L9" s="93"/>
      <c r="M9" s="93"/>
      <c r="N9" s="93"/>
    </row>
    <row r="10" spans="1:224" s="17" customFormat="1" ht="30" customHeight="1">
      <c r="A10" s="240" t="s">
        <v>492</v>
      </c>
      <c r="B10" s="248"/>
      <c r="C10" s="574" t="s">
        <v>493</v>
      </c>
      <c r="D10" s="465">
        <v>0</v>
      </c>
      <c r="E10" s="465">
        <v>0</v>
      </c>
      <c r="F10" s="241">
        <f t="shared" ref="F10:F81" si="0">+D10+E10</f>
        <v>0</v>
      </c>
      <c r="I10" s="88"/>
      <c r="J10" s="29"/>
      <c r="K10" s="93"/>
      <c r="L10" s="93"/>
      <c r="M10" s="93"/>
      <c r="N10" s="93"/>
    </row>
    <row r="11" spans="1:224" s="17" customFormat="1" ht="30" customHeight="1">
      <c r="A11" s="674" t="s">
        <v>494</v>
      </c>
      <c r="B11" s="675"/>
      <c r="C11" s="676" t="s">
        <v>495</v>
      </c>
      <c r="D11" s="946">
        <v>41137</v>
      </c>
      <c r="E11" s="946">
        <v>0</v>
      </c>
      <c r="F11" s="947">
        <f t="shared" si="0"/>
        <v>41137</v>
      </c>
      <c r="I11" s="88"/>
      <c r="J11" s="29"/>
      <c r="K11" s="93"/>
      <c r="L11" s="93"/>
      <c r="M11" s="93"/>
      <c r="N11" s="93"/>
    </row>
    <row r="12" spans="1:224" s="17" customFormat="1" ht="30" customHeight="1">
      <c r="A12" s="674" t="s">
        <v>496</v>
      </c>
      <c r="B12" s="675"/>
      <c r="C12" s="676" t="s">
        <v>497</v>
      </c>
      <c r="D12" s="946">
        <v>0</v>
      </c>
      <c r="E12" s="946">
        <v>0</v>
      </c>
      <c r="F12" s="947">
        <f t="shared" si="0"/>
        <v>0</v>
      </c>
      <c r="I12" s="88"/>
      <c r="J12" s="29"/>
      <c r="K12" s="93"/>
      <c r="L12" s="93"/>
      <c r="M12" s="93"/>
      <c r="N12" s="93"/>
    </row>
    <row r="13" spans="1:224" s="17" customFormat="1" ht="30" customHeight="1">
      <c r="A13" s="674" t="s">
        <v>498</v>
      </c>
      <c r="B13" s="675"/>
      <c r="C13" s="676" t="s">
        <v>499</v>
      </c>
      <c r="D13" s="946">
        <v>0</v>
      </c>
      <c r="E13" s="946">
        <v>0</v>
      </c>
      <c r="F13" s="947">
        <f t="shared" si="0"/>
        <v>0</v>
      </c>
      <c r="I13" s="88"/>
      <c r="J13" s="29"/>
      <c r="K13" s="93"/>
      <c r="L13" s="93"/>
      <c r="M13" s="93"/>
      <c r="N13" s="93"/>
    </row>
    <row r="14" spans="1:224" s="17" customFormat="1" ht="30" customHeight="1">
      <c r="A14" s="674" t="s">
        <v>500</v>
      </c>
      <c r="B14" s="675"/>
      <c r="C14" s="676" t="s">
        <v>501</v>
      </c>
      <c r="D14" s="946">
        <v>0</v>
      </c>
      <c r="E14" s="946">
        <v>0</v>
      </c>
      <c r="F14" s="947">
        <f t="shared" si="0"/>
        <v>0</v>
      </c>
      <c r="I14" s="88"/>
      <c r="J14" s="29"/>
      <c r="K14" s="93"/>
      <c r="L14" s="93"/>
      <c r="M14" s="93"/>
      <c r="N14" s="93"/>
    </row>
    <row r="15" spans="1:224" s="17" customFormat="1" ht="30" customHeight="1">
      <c r="A15" s="674" t="s">
        <v>502</v>
      </c>
      <c r="B15" s="675"/>
      <c r="C15" s="676" t="s">
        <v>503</v>
      </c>
      <c r="D15" s="946">
        <v>1113930</v>
      </c>
      <c r="E15" s="946">
        <v>0</v>
      </c>
      <c r="F15" s="947">
        <f t="shared" si="0"/>
        <v>1113930</v>
      </c>
      <c r="I15" s="88"/>
      <c r="J15" s="29"/>
      <c r="K15" s="93"/>
      <c r="L15" s="93"/>
      <c r="M15" s="93"/>
      <c r="N15" s="93"/>
    </row>
    <row r="16" spans="1:224" s="17" customFormat="1" ht="30" customHeight="1">
      <c r="A16" s="674" t="s">
        <v>504</v>
      </c>
      <c r="B16" s="675"/>
      <c r="C16" s="676" t="s">
        <v>505</v>
      </c>
      <c r="D16" s="946">
        <v>194800</v>
      </c>
      <c r="E16" s="946">
        <v>0</v>
      </c>
      <c r="F16" s="947">
        <f t="shared" si="0"/>
        <v>194800</v>
      </c>
    </row>
    <row r="17" spans="1:6" s="17" customFormat="1" ht="30" customHeight="1">
      <c r="A17" s="674" t="s">
        <v>506</v>
      </c>
      <c r="B17" s="675"/>
      <c r="C17" s="676" t="s">
        <v>507</v>
      </c>
      <c r="D17" s="946">
        <v>0</v>
      </c>
      <c r="E17" s="946">
        <v>0</v>
      </c>
      <c r="F17" s="947">
        <f t="shared" si="0"/>
        <v>0</v>
      </c>
    </row>
    <row r="18" spans="1:6" s="17" customFormat="1" ht="30" customHeight="1">
      <c r="A18" s="674" t="s">
        <v>508</v>
      </c>
      <c r="B18" s="675"/>
      <c r="C18" s="676" t="s">
        <v>509</v>
      </c>
      <c r="D18" s="946">
        <v>0</v>
      </c>
      <c r="E18" s="946">
        <v>0</v>
      </c>
      <c r="F18" s="947">
        <f t="shared" si="0"/>
        <v>0</v>
      </c>
    </row>
    <row r="19" spans="1:6" s="17" customFormat="1" ht="30" customHeight="1">
      <c r="A19" s="674" t="s">
        <v>724</v>
      </c>
      <c r="B19" s="675"/>
      <c r="C19" s="676" t="s">
        <v>511</v>
      </c>
      <c r="D19" s="946">
        <v>0</v>
      </c>
      <c r="E19" s="946">
        <v>0</v>
      </c>
      <c r="F19" s="947">
        <f t="shared" si="0"/>
        <v>0</v>
      </c>
    </row>
    <row r="20" spans="1:6" s="17" customFormat="1" ht="30" customHeight="1">
      <c r="A20" s="674" t="s">
        <v>512</v>
      </c>
      <c r="B20" s="675"/>
      <c r="C20" s="676">
        <v>52500</v>
      </c>
      <c r="D20" s="946">
        <v>0</v>
      </c>
      <c r="E20" s="946">
        <v>0</v>
      </c>
      <c r="F20" s="947">
        <f>+D20+E20</f>
        <v>0</v>
      </c>
    </row>
    <row r="21" spans="1:6" s="17" customFormat="1" ht="30" customHeight="1">
      <c r="A21" s="674" t="s">
        <v>513</v>
      </c>
      <c r="B21" s="675"/>
      <c r="C21" s="676" t="s">
        <v>514</v>
      </c>
      <c r="D21" s="946">
        <v>0</v>
      </c>
      <c r="E21" s="946">
        <v>0</v>
      </c>
      <c r="F21" s="947">
        <f t="shared" si="0"/>
        <v>0</v>
      </c>
    </row>
    <row r="22" spans="1:6" s="17" customFormat="1" ht="30" customHeight="1">
      <c r="A22" s="674" t="s">
        <v>515</v>
      </c>
      <c r="B22" s="675"/>
      <c r="C22" s="676" t="s">
        <v>516</v>
      </c>
      <c r="D22" s="946">
        <v>0</v>
      </c>
      <c r="E22" s="946">
        <v>0</v>
      </c>
      <c r="F22" s="947">
        <f t="shared" si="0"/>
        <v>0</v>
      </c>
    </row>
    <row r="23" spans="1:6" s="17" customFormat="1" ht="30" customHeight="1">
      <c r="A23" s="674" t="s">
        <v>517</v>
      </c>
      <c r="B23" s="675"/>
      <c r="C23" s="676" t="s">
        <v>518</v>
      </c>
      <c r="D23" s="946">
        <v>0</v>
      </c>
      <c r="E23" s="946">
        <v>0</v>
      </c>
      <c r="F23" s="947">
        <f t="shared" si="0"/>
        <v>0</v>
      </c>
    </row>
    <row r="24" spans="1:6" s="17" customFormat="1" ht="30" customHeight="1">
      <c r="A24" s="674" t="s">
        <v>519</v>
      </c>
      <c r="B24" s="675"/>
      <c r="C24" s="676" t="s">
        <v>520</v>
      </c>
      <c r="D24" s="946">
        <v>0</v>
      </c>
      <c r="E24" s="946">
        <v>0</v>
      </c>
      <c r="F24" s="947">
        <f t="shared" si="0"/>
        <v>0</v>
      </c>
    </row>
    <row r="25" spans="1:6" s="17" customFormat="1" ht="30" customHeight="1">
      <c r="A25" s="674" t="s">
        <v>521</v>
      </c>
      <c r="B25" s="675"/>
      <c r="C25" s="676" t="s">
        <v>522</v>
      </c>
      <c r="D25" s="946">
        <v>106500</v>
      </c>
      <c r="E25" s="946">
        <v>0</v>
      </c>
      <c r="F25" s="947">
        <f t="shared" si="0"/>
        <v>106500</v>
      </c>
    </row>
    <row r="26" spans="1:6" s="17" customFormat="1" ht="30" customHeight="1">
      <c r="A26" s="674" t="s">
        <v>523</v>
      </c>
      <c r="B26" s="675"/>
      <c r="C26" s="676" t="s">
        <v>524</v>
      </c>
      <c r="D26" s="946">
        <v>0</v>
      </c>
      <c r="E26" s="946">
        <v>0</v>
      </c>
      <c r="F26" s="947">
        <f t="shared" si="0"/>
        <v>0</v>
      </c>
    </row>
    <row r="27" spans="1:6" s="17" customFormat="1" ht="30" customHeight="1">
      <c r="A27" s="674" t="s">
        <v>525</v>
      </c>
      <c r="B27" s="675"/>
      <c r="C27" s="676" t="s">
        <v>526</v>
      </c>
      <c r="D27" s="946">
        <v>0</v>
      </c>
      <c r="E27" s="946">
        <v>0</v>
      </c>
      <c r="F27" s="947">
        <f t="shared" si="0"/>
        <v>0</v>
      </c>
    </row>
    <row r="28" spans="1:6" s="17" customFormat="1" ht="30" customHeight="1">
      <c r="A28" s="674" t="s">
        <v>527</v>
      </c>
      <c r="B28" s="675"/>
      <c r="C28" s="676" t="s">
        <v>528</v>
      </c>
      <c r="D28" s="946">
        <v>363945</v>
      </c>
      <c r="E28" s="946">
        <v>0</v>
      </c>
      <c r="F28" s="947">
        <f t="shared" si="0"/>
        <v>363945</v>
      </c>
    </row>
    <row r="29" spans="1:6" s="17" customFormat="1" ht="30" customHeight="1">
      <c r="A29" s="674" t="s">
        <v>529</v>
      </c>
      <c r="B29" s="675"/>
      <c r="C29" s="676" t="s">
        <v>530</v>
      </c>
      <c r="D29" s="946">
        <v>0</v>
      </c>
      <c r="E29" s="946">
        <v>0</v>
      </c>
      <c r="F29" s="947">
        <f t="shared" si="0"/>
        <v>0</v>
      </c>
    </row>
    <row r="30" spans="1:6" s="17" customFormat="1" ht="30" customHeight="1">
      <c r="A30" s="674" t="s">
        <v>531</v>
      </c>
      <c r="B30" s="675"/>
      <c r="C30" s="676" t="s">
        <v>532</v>
      </c>
      <c r="D30" s="946">
        <v>29042</v>
      </c>
      <c r="E30" s="946">
        <v>0</v>
      </c>
      <c r="F30" s="947">
        <f t="shared" si="0"/>
        <v>29042</v>
      </c>
    </row>
    <row r="31" spans="1:6" s="17" customFormat="1" ht="30" customHeight="1">
      <c r="A31" s="674" t="s">
        <v>533</v>
      </c>
      <c r="B31" s="675"/>
      <c r="C31" s="676" t="s">
        <v>534</v>
      </c>
      <c r="D31" s="946">
        <v>0</v>
      </c>
      <c r="E31" s="946">
        <v>0</v>
      </c>
      <c r="F31" s="947">
        <f t="shared" si="0"/>
        <v>0</v>
      </c>
    </row>
    <row r="32" spans="1:6" s="17" customFormat="1" ht="30" customHeight="1">
      <c r="A32" s="674" t="s">
        <v>535</v>
      </c>
      <c r="B32" s="675"/>
      <c r="C32" s="676" t="s">
        <v>536</v>
      </c>
      <c r="D32" s="946">
        <v>0</v>
      </c>
      <c r="E32" s="946">
        <v>0</v>
      </c>
      <c r="F32" s="947">
        <f>+D32+E32</f>
        <v>0</v>
      </c>
    </row>
    <row r="33" spans="1:6" s="17" customFormat="1" ht="30" customHeight="1">
      <c r="A33" s="674" t="s">
        <v>537</v>
      </c>
      <c r="B33" s="675"/>
      <c r="C33" s="676" t="s">
        <v>538</v>
      </c>
      <c r="D33" s="946">
        <v>0</v>
      </c>
      <c r="E33" s="946">
        <v>0</v>
      </c>
      <c r="F33" s="947">
        <f t="shared" si="0"/>
        <v>0</v>
      </c>
    </row>
    <row r="34" spans="1:6" s="17" customFormat="1" ht="30" customHeight="1">
      <c r="A34" s="674" t="s">
        <v>539</v>
      </c>
      <c r="B34" s="675"/>
      <c r="C34" s="676" t="s">
        <v>540</v>
      </c>
      <c r="D34" s="946">
        <v>305490</v>
      </c>
      <c r="E34" s="946">
        <v>0</v>
      </c>
      <c r="F34" s="947">
        <f t="shared" si="0"/>
        <v>305490</v>
      </c>
    </row>
    <row r="35" spans="1:6" s="17" customFormat="1" ht="30" customHeight="1">
      <c r="A35" s="674" t="s">
        <v>541</v>
      </c>
      <c r="B35" s="675"/>
      <c r="C35" s="676">
        <v>56001</v>
      </c>
      <c r="D35" s="946">
        <v>0</v>
      </c>
      <c r="E35" s="946">
        <v>0</v>
      </c>
      <c r="F35" s="947">
        <f>+D35+E35</f>
        <v>0</v>
      </c>
    </row>
    <row r="36" spans="1:6" s="17" customFormat="1" ht="30" customHeight="1">
      <c r="A36" s="674" t="s">
        <v>542</v>
      </c>
      <c r="B36" s="675"/>
      <c r="C36" s="676">
        <v>56002</v>
      </c>
      <c r="D36" s="946">
        <v>0</v>
      </c>
      <c r="E36" s="946">
        <v>0</v>
      </c>
      <c r="F36" s="947">
        <f>+D36+E36</f>
        <v>0</v>
      </c>
    </row>
    <row r="37" spans="1:6" s="17" customFormat="1" ht="30" customHeight="1">
      <c r="A37" s="674" t="s">
        <v>543</v>
      </c>
      <c r="B37" s="675"/>
      <c r="C37" s="676">
        <v>56003</v>
      </c>
      <c r="D37" s="946">
        <v>0</v>
      </c>
      <c r="E37" s="946">
        <v>0</v>
      </c>
      <c r="F37" s="947">
        <f>+D37+E37</f>
        <v>0</v>
      </c>
    </row>
    <row r="38" spans="1:6" s="17" customFormat="1" ht="30" customHeight="1">
      <c r="A38" s="674" t="s">
        <v>544</v>
      </c>
      <c r="B38" s="675"/>
      <c r="C38" s="676" t="s">
        <v>545</v>
      </c>
      <c r="D38" s="946">
        <v>0</v>
      </c>
      <c r="E38" s="946">
        <v>0</v>
      </c>
      <c r="F38" s="947">
        <f>+D38+E38</f>
        <v>0</v>
      </c>
    </row>
    <row r="39" spans="1:6" s="17" customFormat="1" ht="30" customHeight="1">
      <c r="A39" s="674" t="s">
        <v>546</v>
      </c>
      <c r="B39" s="675"/>
      <c r="C39" s="676" t="s">
        <v>547</v>
      </c>
      <c r="D39" s="946">
        <v>0</v>
      </c>
      <c r="E39" s="946">
        <v>0</v>
      </c>
      <c r="F39" s="947">
        <f t="shared" si="0"/>
        <v>0</v>
      </c>
    </row>
    <row r="40" spans="1:6" s="17" customFormat="1" ht="30" customHeight="1">
      <c r="A40" s="674" t="s">
        <v>548</v>
      </c>
      <c r="B40" s="675"/>
      <c r="C40" s="676" t="s">
        <v>549</v>
      </c>
      <c r="D40" s="946">
        <v>0</v>
      </c>
      <c r="E40" s="946">
        <v>0</v>
      </c>
      <c r="F40" s="947">
        <f t="shared" si="0"/>
        <v>0</v>
      </c>
    </row>
    <row r="41" spans="1:6" s="17" customFormat="1" ht="30" customHeight="1">
      <c r="A41" s="674" t="s">
        <v>550</v>
      </c>
      <c r="B41" s="675"/>
      <c r="C41" s="676" t="s">
        <v>551</v>
      </c>
      <c r="D41" s="946">
        <v>13250</v>
      </c>
      <c r="E41" s="946">
        <v>0</v>
      </c>
      <c r="F41" s="947">
        <f t="shared" si="0"/>
        <v>13250</v>
      </c>
    </row>
    <row r="42" spans="1:6" s="17" customFormat="1" ht="30" customHeight="1">
      <c r="A42" s="674" t="s">
        <v>552</v>
      </c>
      <c r="B42" s="675"/>
      <c r="C42" s="676" t="s">
        <v>553</v>
      </c>
      <c r="D42" s="946">
        <v>0</v>
      </c>
      <c r="E42" s="946">
        <v>0</v>
      </c>
      <c r="F42" s="947">
        <f t="shared" si="0"/>
        <v>0</v>
      </c>
    </row>
    <row r="43" spans="1:6" s="17" customFormat="1" ht="30" customHeight="1">
      <c r="A43" s="674" t="s">
        <v>554</v>
      </c>
      <c r="B43" s="675"/>
      <c r="C43" s="676" t="s">
        <v>555</v>
      </c>
      <c r="D43" s="946">
        <v>0</v>
      </c>
      <c r="E43" s="946">
        <v>0</v>
      </c>
      <c r="F43" s="947">
        <f t="shared" si="0"/>
        <v>0</v>
      </c>
    </row>
    <row r="44" spans="1:6" s="17" customFormat="1" ht="30" customHeight="1">
      <c r="A44" s="674" t="s">
        <v>556</v>
      </c>
      <c r="B44" s="675"/>
      <c r="C44" s="676" t="s">
        <v>557</v>
      </c>
      <c r="D44" s="946">
        <v>0</v>
      </c>
      <c r="E44" s="946">
        <v>0</v>
      </c>
      <c r="F44" s="947">
        <f t="shared" si="0"/>
        <v>0</v>
      </c>
    </row>
    <row r="45" spans="1:6" s="17" customFormat="1" ht="30" customHeight="1">
      <c r="A45" s="674" t="s">
        <v>558</v>
      </c>
      <c r="B45" s="675"/>
      <c r="C45" s="676" t="s">
        <v>559</v>
      </c>
      <c r="D45" s="946">
        <v>0</v>
      </c>
      <c r="E45" s="946">
        <v>0</v>
      </c>
      <c r="F45" s="947">
        <f t="shared" si="0"/>
        <v>0</v>
      </c>
    </row>
    <row r="46" spans="1:6" s="17" customFormat="1" ht="30" customHeight="1">
      <c r="A46" s="674" t="s">
        <v>560</v>
      </c>
      <c r="B46" s="675"/>
      <c r="C46" s="676" t="s">
        <v>561</v>
      </c>
      <c r="D46" s="946">
        <v>0</v>
      </c>
      <c r="E46" s="946">
        <v>0</v>
      </c>
      <c r="F46" s="947">
        <f t="shared" si="0"/>
        <v>0</v>
      </c>
    </row>
    <row r="47" spans="1:6" s="17" customFormat="1" ht="30" customHeight="1">
      <c r="A47" s="674" t="s">
        <v>562</v>
      </c>
      <c r="B47" s="675"/>
      <c r="C47" s="676" t="s">
        <v>563</v>
      </c>
      <c r="D47" s="946">
        <v>0</v>
      </c>
      <c r="E47" s="946">
        <v>0</v>
      </c>
      <c r="F47" s="947">
        <f t="shared" si="0"/>
        <v>0</v>
      </c>
    </row>
    <row r="48" spans="1:6" s="17" customFormat="1" ht="30" customHeight="1">
      <c r="A48" s="674" t="s">
        <v>564</v>
      </c>
      <c r="B48" s="675"/>
      <c r="C48" s="676" t="s">
        <v>565</v>
      </c>
      <c r="D48" s="946">
        <v>148466</v>
      </c>
      <c r="E48" s="946">
        <v>0</v>
      </c>
      <c r="F48" s="947">
        <f t="shared" si="0"/>
        <v>148466</v>
      </c>
    </row>
    <row r="49" spans="1:6" s="17" customFormat="1" ht="30" customHeight="1">
      <c r="A49" s="674" t="s">
        <v>566</v>
      </c>
      <c r="B49" s="675"/>
      <c r="C49" s="676" t="s">
        <v>567</v>
      </c>
      <c r="D49" s="946">
        <v>206193</v>
      </c>
      <c r="E49" s="946">
        <v>0</v>
      </c>
      <c r="F49" s="947">
        <f t="shared" si="0"/>
        <v>206193</v>
      </c>
    </row>
    <row r="50" spans="1:6" s="17" customFormat="1" ht="30" customHeight="1">
      <c r="A50" s="674" t="s">
        <v>568</v>
      </c>
      <c r="B50" s="675"/>
      <c r="C50" s="676" t="s">
        <v>569</v>
      </c>
      <c r="D50" s="946">
        <v>0</v>
      </c>
      <c r="E50" s="946">
        <v>0</v>
      </c>
      <c r="F50" s="947">
        <f t="shared" si="0"/>
        <v>0</v>
      </c>
    </row>
    <row r="51" spans="1:6" s="17" customFormat="1" ht="30" customHeight="1">
      <c r="A51" s="674" t="s">
        <v>570</v>
      </c>
      <c r="B51" s="675"/>
      <c r="C51" s="676" t="s">
        <v>571</v>
      </c>
      <c r="D51" s="946">
        <v>0</v>
      </c>
      <c r="E51" s="946">
        <v>0</v>
      </c>
      <c r="F51" s="947">
        <f t="shared" si="0"/>
        <v>0</v>
      </c>
    </row>
    <row r="52" spans="1:6" s="17" customFormat="1" ht="30" customHeight="1">
      <c r="A52" s="674" t="s">
        <v>572</v>
      </c>
      <c r="B52" s="675"/>
      <c r="C52" s="676" t="s">
        <v>573</v>
      </c>
      <c r="D52" s="946">
        <v>11124</v>
      </c>
      <c r="E52" s="946">
        <v>0</v>
      </c>
      <c r="F52" s="947">
        <f t="shared" si="0"/>
        <v>11124</v>
      </c>
    </row>
    <row r="53" spans="1:6" s="17" customFormat="1" ht="30" customHeight="1">
      <c r="A53" s="674" t="s">
        <v>725</v>
      </c>
      <c r="B53" s="675"/>
      <c r="C53" s="676" t="s">
        <v>726</v>
      </c>
      <c r="D53" s="946">
        <v>0</v>
      </c>
      <c r="E53" s="946">
        <v>0</v>
      </c>
      <c r="F53" s="947">
        <f>+D53+E53</f>
        <v>0</v>
      </c>
    </row>
    <row r="54" spans="1:6" s="17" customFormat="1" ht="30" customHeight="1">
      <c r="A54" s="674" t="s">
        <v>575</v>
      </c>
      <c r="B54" s="675"/>
      <c r="C54" s="676" t="s">
        <v>576</v>
      </c>
      <c r="D54" s="946">
        <v>273995</v>
      </c>
      <c r="E54" s="946">
        <v>0</v>
      </c>
      <c r="F54" s="947">
        <f t="shared" si="0"/>
        <v>273995</v>
      </c>
    </row>
    <row r="55" spans="1:6" s="17" customFormat="1" ht="30" customHeight="1">
      <c r="A55" s="674" t="s">
        <v>577</v>
      </c>
      <c r="B55" s="675"/>
      <c r="C55" s="676" t="s">
        <v>578</v>
      </c>
      <c r="D55" s="946">
        <v>0</v>
      </c>
      <c r="E55" s="946">
        <v>0</v>
      </c>
      <c r="F55" s="947">
        <f t="shared" si="0"/>
        <v>0</v>
      </c>
    </row>
    <row r="56" spans="1:6" s="17" customFormat="1" ht="30" customHeight="1" thickBot="1">
      <c r="A56" s="677" t="s">
        <v>579</v>
      </c>
      <c r="B56" s="678"/>
      <c r="C56" s="679" t="s">
        <v>580</v>
      </c>
      <c r="D56" s="946">
        <v>0</v>
      </c>
      <c r="E56" s="680">
        <v>0</v>
      </c>
      <c r="F56" s="681">
        <f t="shared" si="0"/>
        <v>0</v>
      </c>
    </row>
    <row r="57" spans="1:6" s="178" customFormat="1" ht="30" customHeight="1" thickBot="1">
      <c r="A57" s="269" t="s">
        <v>581</v>
      </c>
      <c r="B57" s="270"/>
      <c r="C57" s="575"/>
      <c r="D57" s="275">
        <f>SUM(D10:D56)</f>
        <v>2807872</v>
      </c>
      <c r="E57" s="275">
        <f>SUM(E10:E56)</f>
        <v>0</v>
      </c>
      <c r="F57" s="275">
        <f t="shared" si="0"/>
        <v>2807872</v>
      </c>
    </row>
    <row r="58" spans="1:6" s="17" customFormat="1" ht="30" customHeight="1">
      <c r="A58" s="242"/>
      <c r="B58" s="243"/>
      <c r="C58" s="576"/>
      <c r="D58" s="577"/>
      <c r="E58" s="577"/>
      <c r="F58" s="577"/>
    </row>
    <row r="59" spans="1:6" s="17" customFormat="1" ht="30" customHeight="1">
      <c r="A59" s="244"/>
      <c r="B59" s="244"/>
      <c r="C59" s="244"/>
      <c r="D59" s="245"/>
      <c r="E59" s="245"/>
      <c r="F59" s="245"/>
    </row>
    <row r="60" spans="1:6" s="17" customFormat="1" ht="30" customHeight="1" thickBot="1">
      <c r="A60" s="244"/>
      <c r="B60" s="244"/>
      <c r="C60" s="244"/>
      <c r="D60" s="245"/>
      <c r="E60" s="245"/>
      <c r="F60" s="245"/>
    </row>
    <row r="61" spans="1:6" s="17" customFormat="1" ht="30" customHeight="1" thickBot="1">
      <c r="A61" s="235"/>
      <c r="B61" s="236"/>
      <c r="C61" s="806" t="str">
        <f>C7</f>
        <v>2022-23</v>
      </c>
      <c r="D61" s="807"/>
      <c r="E61" s="807"/>
      <c r="F61" s="808"/>
    </row>
    <row r="62" spans="1:6" s="17" customFormat="1" ht="111.6" customHeight="1" thickBot="1">
      <c r="A62" s="916" t="s">
        <v>720</v>
      </c>
      <c r="B62" s="917"/>
      <c r="C62" s="238" t="s">
        <v>346</v>
      </c>
      <c r="D62" s="239" t="s">
        <v>721</v>
      </c>
      <c r="E62" s="573" t="s">
        <v>722</v>
      </c>
      <c r="F62" s="238" t="s">
        <v>723</v>
      </c>
    </row>
    <row r="63" spans="1:6" s="17" customFormat="1" ht="30" customHeight="1" thickBot="1">
      <c r="A63" s="810" t="s">
        <v>207</v>
      </c>
      <c r="B63" s="811"/>
      <c r="C63" s="246"/>
      <c r="D63" s="247"/>
      <c r="E63" s="247"/>
      <c r="F63" s="247"/>
    </row>
    <row r="64" spans="1:6" s="17" customFormat="1" ht="30" customHeight="1">
      <c r="A64" s="240" t="s">
        <v>583</v>
      </c>
      <c r="B64" s="248"/>
      <c r="C64" s="249" t="s">
        <v>584</v>
      </c>
      <c r="D64" s="465">
        <v>8700</v>
      </c>
      <c r="E64" s="465">
        <v>0</v>
      </c>
      <c r="F64" s="241">
        <f t="shared" si="0"/>
        <v>8700</v>
      </c>
    </row>
    <row r="65" spans="1:6" s="17" customFormat="1" ht="30" customHeight="1">
      <c r="A65" s="674" t="s">
        <v>585</v>
      </c>
      <c r="B65" s="675"/>
      <c r="C65" s="945" t="s">
        <v>586</v>
      </c>
      <c r="D65" s="946">
        <v>10</v>
      </c>
      <c r="E65" s="946">
        <v>0</v>
      </c>
      <c r="F65" s="947">
        <f t="shared" si="0"/>
        <v>10</v>
      </c>
    </row>
    <row r="66" spans="1:6" s="17" customFormat="1" ht="30" customHeight="1">
      <c r="A66" s="674" t="s">
        <v>587</v>
      </c>
      <c r="B66" s="675"/>
      <c r="C66" s="945" t="s">
        <v>588</v>
      </c>
      <c r="D66" s="946">
        <v>335</v>
      </c>
      <c r="E66" s="946">
        <v>0</v>
      </c>
      <c r="F66" s="947">
        <f t="shared" si="0"/>
        <v>335</v>
      </c>
    </row>
    <row r="67" spans="1:6" s="17" customFormat="1" ht="30" customHeight="1">
      <c r="A67" s="674" t="s">
        <v>589</v>
      </c>
      <c r="B67" s="675"/>
      <c r="C67" s="945" t="s">
        <v>590</v>
      </c>
      <c r="D67" s="946">
        <v>3236</v>
      </c>
      <c r="E67" s="946">
        <v>0</v>
      </c>
      <c r="F67" s="947">
        <f t="shared" si="0"/>
        <v>3236</v>
      </c>
    </row>
    <row r="68" spans="1:6" s="17" customFormat="1" ht="30" customHeight="1">
      <c r="A68" s="674" t="s">
        <v>727</v>
      </c>
      <c r="B68" s="675"/>
      <c r="C68" s="945" t="s">
        <v>592</v>
      </c>
      <c r="D68" s="946">
        <v>1900</v>
      </c>
      <c r="E68" s="946">
        <v>0</v>
      </c>
      <c r="F68" s="947">
        <f t="shared" si="0"/>
        <v>1900</v>
      </c>
    </row>
    <row r="69" spans="1:6" s="17" customFormat="1" ht="30" customHeight="1">
      <c r="A69" s="674" t="s">
        <v>593</v>
      </c>
      <c r="B69" s="675"/>
      <c r="C69" s="945" t="s">
        <v>594</v>
      </c>
      <c r="D69" s="946">
        <f>2400+2775</f>
        <v>5175</v>
      </c>
      <c r="E69" s="946">
        <v>0</v>
      </c>
      <c r="F69" s="947">
        <f t="shared" si="0"/>
        <v>5175</v>
      </c>
    </row>
    <row r="70" spans="1:6" s="17" customFormat="1" ht="30" customHeight="1">
      <c r="A70" s="948" t="s">
        <v>595</v>
      </c>
      <c r="B70" s="675"/>
      <c r="C70" s="945">
        <v>63100</v>
      </c>
      <c r="D70" s="946">
        <v>0</v>
      </c>
      <c r="E70" s="946">
        <v>0</v>
      </c>
      <c r="F70" s="947">
        <v>0</v>
      </c>
    </row>
    <row r="71" spans="1:6" s="17" customFormat="1" ht="30" customHeight="1">
      <c r="A71" s="674" t="s">
        <v>596</v>
      </c>
      <c r="B71" s="675"/>
      <c r="C71" s="945" t="s">
        <v>597</v>
      </c>
      <c r="D71" s="946">
        <v>1374</v>
      </c>
      <c r="E71" s="946">
        <v>0</v>
      </c>
      <c r="F71" s="947">
        <f t="shared" si="0"/>
        <v>1374</v>
      </c>
    </row>
    <row r="72" spans="1:6" s="17" customFormat="1" ht="30" customHeight="1">
      <c r="A72" s="674" t="s">
        <v>598</v>
      </c>
      <c r="B72" s="675"/>
      <c r="C72" s="945" t="s">
        <v>599</v>
      </c>
      <c r="D72" s="946">
        <v>0</v>
      </c>
      <c r="E72" s="946">
        <v>0</v>
      </c>
      <c r="F72" s="947">
        <f t="shared" si="0"/>
        <v>0</v>
      </c>
    </row>
    <row r="73" spans="1:6" s="17" customFormat="1" ht="30" customHeight="1">
      <c r="A73" s="674" t="s">
        <v>600</v>
      </c>
      <c r="B73" s="675"/>
      <c r="C73" s="945" t="s">
        <v>601</v>
      </c>
      <c r="D73" s="946">
        <v>0</v>
      </c>
      <c r="E73" s="946">
        <v>0</v>
      </c>
      <c r="F73" s="947">
        <f t="shared" si="0"/>
        <v>0</v>
      </c>
    </row>
    <row r="74" spans="1:6" s="17" customFormat="1" ht="30" customHeight="1">
      <c r="A74" s="674" t="s">
        <v>602</v>
      </c>
      <c r="B74" s="675"/>
      <c r="C74" s="945" t="s">
        <v>603</v>
      </c>
      <c r="D74" s="946">
        <v>0</v>
      </c>
      <c r="E74" s="946">
        <v>0</v>
      </c>
      <c r="F74" s="947">
        <f t="shared" si="0"/>
        <v>0</v>
      </c>
    </row>
    <row r="75" spans="1:6" s="17" customFormat="1" ht="30" customHeight="1">
      <c r="A75" s="674" t="s">
        <v>604</v>
      </c>
      <c r="B75" s="675"/>
      <c r="C75" s="945" t="s">
        <v>605</v>
      </c>
      <c r="D75" s="946">
        <v>0</v>
      </c>
      <c r="E75" s="946">
        <v>0</v>
      </c>
      <c r="F75" s="947">
        <f t="shared" si="0"/>
        <v>0</v>
      </c>
    </row>
    <row r="76" spans="1:6" s="17" customFormat="1" ht="30" customHeight="1">
      <c r="A76" s="674" t="s">
        <v>606</v>
      </c>
      <c r="B76" s="675"/>
      <c r="C76" s="945" t="s">
        <v>607</v>
      </c>
      <c r="D76" s="946">
        <v>0</v>
      </c>
      <c r="E76" s="946">
        <v>0</v>
      </c>
      <c r="F76" s="947">
        <f t="shared" si="0"/>
        <v>0</v>
      </c>
    </row>
    <row r="77" spans="1:6" s="17" customFormat="1" ht="30" customHeight="1">
      <c r="A77" s="674" t="s">
        <v>608</v>
      </c>
      <c r="B77" s="675"/>
      <c r="C77" s="945" t="s">
        <v>609</v>
      </c>
      <c r="D77" s="946">
        <v>0</v>
      </c>
      <c r="E77" s="946">
        <v>0</v>
      </c>
      <c r="F77" s="947">
        <f t="shared" si="0"/>
        <v>0</v>
      </c>
    </row>
    <row r="78" spans="1:6" s="17" customFormat="1" ht="30" customHeight="1">
      <c r="A78" s="674" t="s">
        <v>610</v>
      </c>
      <c r="B78" s="675"/>
      <c r="C78" s="945" t="s">
        <v>611</v>
      </c>
      <c r="D78" s="946">
        <v>0</v>
      </c>
      <c r="E78" s="946">
        <v>0</v>
      </c>
      <c r="F78" s="947">
        <f t="shared" si="0"/>
        <v>0</v>
      </c>
    </row>
    <row r="79" spans="1:6" s="17" customFormat="1" ht="30" customHeight="1">
      <c r="A79" s="674" t="s">
        <v>612</v>
      </c>
      <c r="B79" s="675"/>
      <c r="C79" s="945">
        <v>64007</v>
      </c>
      <c r="D79" s="946">
        <v>0</v>
      </c>
      <c r="E79" s="946">
        <v>0</v>
      </c>
      <c r="F79" s="947">
        <f t="shared" si="0"/>
        <v>0</v>
      </c>
    </row>
    <row r="80" spans="1:6" s="17" customFormat="1" ht="30" customHeight="1">
      <c r="A80" s="674" t="s">
        <v>613</v>
      </c>
      <c r="B80" s="675"/>
      <c r="C80" s="945" t="s">
        <v>614</v>
      </c>
      <c r="D80" s="946">
        <v>25100</v>
      </c>
      <c r="E80" s="946">
        <v>0</v>
      </c>
      <c r="F80" s="947">
        <f t="shared" si="0"/>
        <v>25100</v>
      </c>
    </row>
    <row r="81" spans="1:6" s="17" customFormat="1" ht="30" customHeight="1">
      <c r="A81" s="674" t="s">
        <v>615</v>
      </c>
      <c r="B81" s="675"/>
      <c r="C81" s="945" t="s">
        <v>616</v>
      </c>
      <c r="D81" s="946">
        <v>0</v>
      </c>
      <c r="E81" s="946">
        <v>0</v>
      </c>
      <c r="F81" s="947">
        <f t="shared" si="0"/>
        <v>0</v>
      </c>
    </row>
    <row r="82" spans="1:6" s="17" customFormat="1" ht="30" customHeight="1">
      <c r="A82" s="674" t="s">
        <v>617</v>
      </c>
      <c r="B82" s="675"/>
      <c r="C82" s="945" t="s">
        <v>618</v>
      </c>
      <c r="D82" s="946">
        <v>0</v>
      </c>
      <c r="E82" s="946">
        <v>0</v>
      </c>
      <c r="F82" s="947">
        <f t="shared" ref="F82:F120" si="1">+D82+E82</f>
        <v>0</v>
      </c>
    </row>
    <row r="83" spans="1:6" s="17" customFormat="1" ht="30" customHeight="1">
      <c r="A83" s="674" t="s">
        <v>619</v>
      </c>
      <c r="B83" s="675"/>
      <c r="C83" s="945" t="s">
        <v>620</v>
      </c>
      <c r="D83" s="946">
        <v>18256</v>
      </c>
      <c r="E83" s="946">
        <v>0</v>
      </c>
      <c r="F83" s="947">
        <f t="shared" si="1"/>
        <v>18256</v>
      </c>
    </row>
    <row r="84" spans="1:6" s="17" customFormat="1" ht="30" customHeight="1">
      <c r="A84" s="674" t="s">
        <v>621</v>
      </c>
      <c r="B84" s="675"/>
      <c r="C84" s="945" t="s">
        <v>622</v>
      </c>
      <c r="D84" s="946">
        <v>20810</v>
      </c>
      <c r="E84" s="946">
        <v>0</v>
      </c>
      <c r="F84" s="947">
        <f t="shared" si="1"/>
        <v>20810</v>
      </c>
    </row>
    <row r="85" spans="1:6" s="17" customFormat="1" ht="30" customHeight="1">
      <c r="A85" s="674" t="s">
        <v>623</v>
      </c>
      <c r="B85" s="675"/>
      <c r="C85" s="945" t="s">
        <v>624</v>
      </c>
      <c r="D85" s="946">
        <v>11825</v>
      </c>
      <c r="E85" s="946">
        <v>0</v>
      </c>
      <c r="F85" s="947">
        <f t="shared" si="1"/>
        <v>11825</v>
      </c>
    </row>
    <row r="86" spans="1:6" s="17" customFormat="1" ht="30" customHeight="1">
      <c r="A86" s="674" t="s">
        <v>625</v>
      </c>
      <c r="B86" s="675"/>
      <c r="C86" s="945" t="s">
        <v>626</v>
      </c>
      <c r="D86" s="946">
        <v>0</v>
      </c>
      <c r="E86" s="946">
        <v>0</v>
      </c>
      <c r="F86" s="947">
        <f t="shared" si="1"/>
        <v>0</v>
      </c>
    </row>
    <row r="87" spans="1:6" s="17" customFormat="1" ht="30" customHeight="1">
      <c r="A87" s="674" t="s">
        <v>627</v>
      </c>
      <c r="B87" s="675"/>
      <c r="C87" s="945" t="s">
        <v>628</v>
      </c>
      <c r="D87" s="946">
        <v>0</v>
      </c>
      <c r="E87" s="946">
        <v>0</v>
      </c>
      <c r="F87" s="947">
        <f t="shared" si="1"/>
        <v>0</v>
      </c>
    </row>
    <row r="88" spans="1:6" s="17" customFormat="1" ht="30" customHeight="1">
      <c r="A88" s="674" t="s">
        <v>629</v>
      </c>
      <c r="B88" s="675"/>
      <c r="C88" s="945" t="s">
        <v>630</v>
      </c>
      <c r="D88" s="946">
        <v>0</v>
      </c>
      <c r="E88" s="946">
        <v>0</v>
      </c>
      <c r="F88" s="947">
        <f t="shared" ref="F88:F93" si="2">+D88+E88</f>
        <v>0</v>
      </c>
    </row>
    <row r="89" spans="1:6" s="17" customFormat="1" ht="30" customHeight="1">
      <c r="A89" s="674" t="s">
        <v>631</v>
      </c>
      <c r="B89" s="675"/>
      <c r="C89" s="945" t="s">
        <v>632</v>
      </c>
      <c r="D89" s="946">
        <v>0</v>
      </c>
      <c r="E89" s="946">
        <v>0</v>
      </c>
      <c r="F89" s="947">
        <f t="shared" si="2"/>
        <v>0</v>
      </c>
    </row>
    <row r="90" spans="1:6" s="17" customFormat="1" ht="30" customHeight="1">
      <c r="A90" s="674" t="s">
        <v>633</v>
      </c>
      <c r="B90" s="675"/>
      <c r="C90" s="945" t="s">
        <v>634</v>
      </c>
      <c r="D90" s="946">
        <v>0</v>
      </c>
      <c r="E90" s="946">
        <v>0</v>
      </c>
      <c r="F90" s="947">
        <f t="shared" si="2"/>
        <v>0</v>
      </c>
    </row>
    <row r="91" spans="1:6" s="17" customFormat="1" ht="30" customHeight="1">
      <c r="A91" s="674" t="s">
        <v>635</v>
      </c>
      <c r="B91" s="675"/>
      <c r="C91" s="945" t="s">
        <v>636</v>
      </c>
      <c r="D91" s="946">
        <v>0</v>
      </c>
      <c r="E91" s="946">
        <v>0</v>
      </c>
      <c r="F91" s="947">
        <f t="shared" si="2"/>
        <v>0</v>
      </c>
    </row>
    <row r="92" spans="1:6" s="17" customFormat="1" ht="30" customHeight="1">
      <c r="A92" s="674" t="s">
        <v>637</v>
      </c>
      <c r="B92" s="675"/>
      <c r="C92" s="945" t="s">
        <v>638</v>
      </c>
      <c r="D92" s="946">
        <v>0</v>
      </c>
      <c r="E92" s="946">
        <v>0</v>
      </c>
      <c r="F92" s="947">
        <f t="shared" si="2"/>
        <v>0</v>
      </c>
    </row>
    <row r="93" spans="1:6" s="17" customFormat="1" ht="30" customHeight="1">
      <c r="A93" s="674" t="s">
        <v>639</v>
      </c>
      <c r="B93" s="675"/>
      <c r="C93" s="945" t="s">
        <v>640</v>
      </c>
      <c r="D93" s="946">
        <v>0</v>
      </c>
      <c r="E93" s="946">
        <v>0</v>
      </c>
      <c r="F93" s="947">
        <f t="shared" si="2"/>
        <v>0</v>
      </c>
    </row>
    <row r="94" spans="1:6" s="17" customFormat="1" ht="30" customHeight="1">
      <c r="A94" s="674" t="s">
        <v>641</v>
      </c>
      <c r="B94" s="675"/>
      <c r="C94" s="945" t="s">
        <v>642</v>
      </c>
      <c r="D94" s="946">
        <v>0</v>
      </c>
      <c r="E94" s="946">
        <v>0</v>
      </c>
      <c r="F94" s="947">
        <f t="shared" si="1"/>
        <v>0</v>
      </c>
    </row>
    <row r="95" spans="1:6" s="17" customFormat="1" ht="30" customHeight="1">
      <c r="A95" s="674" t="s">
        <v>728</v>
      </c>
      <c r="B95" s="675"/>
      <c r="C95" s="945" t="s">
        <v>644</v>
      </c>
      <c r="D95" s="946">
        <v>0</v>
      </c>
      <c r="E95" s="946">
        <v>0</v>
      </c>
      <c r="F95" s="947">
        <f t="shared" si="1"/>
        <v>0</v>
      </c>
    </row>
    <row r="96" spans="1:6" s="17" customFormat="1" ht="30" customHeight="1">
      <c r="A96" s="674" t="s">
        <v>728</v>
      </c>
      <c r="B96" s="675"/>
      <c r="C96" s="945" t="s">
        <v>646</v>
      </c>
      <c r="D96" s="946">
        <v>0</v>
      </c>
      <c r="E96" s="946">
        <v>0</v>
      </c>
      <c r="F96" s="947">
        <f t="shared" si="1"/>
        <v>0</v>
      </c>
    </row>
    <row r="97" spans="1:6" s="17" customFormat="1" ht="30" customHeight="1">
      <c r="A97" s="674" t="s">
        <v>728</v>
      </c>
      <c r="B97" s="675"/>
      <c r="C97" s="945" t="s">
        <v>648</v>
      </c>
      <c r="D97" s="946">
        <v>0</v>
      </c>
      <c r="E97" s="946">
        <v>0</v>
      </c>
      <c r="F97" s="947">
        <f t="shared" si="1"/>
        <v>0</v>
      </c>
    </row>
    <row r="98" spans="1:6" s="17" customFormat="1" ht="30" customHeight="1">
      <c r="A98" s="674" t="s">
        <v>729</v>
      </c>
      <c r="B98" s="675"/>
      <c r="C98" s="945" t="s">
        <v>650</v>
      </c>
      <c r="D98" s="946">
        <v>0</v>
      </c>
      <c r="E98" s="946">
        <v>0</v>
      </c>
      <c r="F98" s="947">
        <f t="shared" si="1"/>
        <v>0</v>
      </c>
    </row>
    <row r="99" spans="1:6" s="17" customFormat="1" ht="30" customHeight="1">
      <c r="A99" s="674" t="s">
        <v>729</v>
      </c>
      <c r="B99" s="675"/>
      <c r="C99" s="945">
        <v>69270</v>
      </c>
      <c r="D99" s="946">
        <v>0</v>
      </c>
      <c r="E99" s="946">
        <v>0</v>
      </c>
      <c r="F99" s="947">
        <f t="shared" si="1"/>
        <v>0</v>
      </c>
    </row>
    <row r="100" spans="1:6" s="17" customFormat="1" ht="30" customHeight="1">
      <c r="A100" s="674" t="s">
        <v>652</v>
      </c>
      <c r="B100" s="675"/>
      <c r="C100" s="945" t="s">
        <v>653</v>
      </c>
      <c r="D100" s="946">
        <v>0</v>
      </c>
      <c r="E100" s="946">
        <v>0</v>
      </c>
      <c r="F100" s="947">
        <f t="shared" si="1"/>
        <v>0</v>
      </c>
    </row>
    <row r="101" spans="1:6" s="17" customFormat="1" ht="30" customHeight="1">
      <c r="A101" s="674" t="s">
        <v>485</v>
      </c>
      <c r="B101" s="675"/>
      <c r="C101" s="945" t="s">
        <v>655</v>
      </c>
      <c r="D101" s="946">
        <v>0</v>
      </c>
      <c r="E101" s="946">
        <v>0</v>
      </c>
      <c r="F101" s="947">
        <f t="shared" si="1"/>
        <v>0</v>
      </c>
    </row>
    <row r="102" spans="1:6" s="17" customFormat="1" ht="30" customHeight="1" thickBot="1">
      <c r="A102" s="677" t="s">
        <v>656</v>
      </c>
      <c r="B102" s="678"/>
      <c r="C102" s="682" t="s">
        <v>657</v>
      </c>
      <c r="D102" s="946">
        <v>0</v>
      </c>
      <c r="E102" s="946">
        <v>0</v>
      </c>
      <c r="F102" s="681">
        <f t="shared" si="1"/>
        <v>0</v>
      </c>
    </row>
    <row r="103" spans="1:6" s="17" customFormat="1" ht="30" customHeight="1" thickBot="1">
      <c r="A103" s="804" t="s">
        <v>730</v>
      </c>
      <c r="B103" s="809"/>
      <c r="C103" s="272"/>
      <c r="D103" s="271">
        <f>SUM(D64:D102)</f>
        <v>96721</v>
      </c>
      <c r="E103" s="271">
        <f>SUM(E64:E102)</f>
        <v>0</v>
      </c>
      <c r="F103" s="271">
        <f t="shared" si="1"/>
        <v>96721</v>
      </c>
    </row>
    <row r="104" spans="1:6" s="17" customFormat="1" ht="30" customHeight="1">
      <c r="A104" s="250"/>
      <c r="B104" s="250"/>
      <c r="C104" s="250"/>
      <c r="D104" s="251"/>
      <c r="E104" s="251"/>
      <c r="F104" s="251"/>
    </row>
    <row r="105" spans="1:6" s="17" customFormat="1" ht="30" customHeight="1" thickBot="1">
      <c r="A105" s="250"/>
      <c r="B105" s="250"/>
      <c r="C105" s="250"/>
      <c r="D105" s="251"/>
      <c r="E105" s="251"/>
      <c r="F105" s="251"/>
    </row>
    <row r="106" spans="1:6" s="17" customFormat="1" ht="30" customHeight="1" thickBot="1">
      <c r="A106" s="252"/>
      <c r="B106" s="252"/>
      <c r="C106" s="806" t="str">
        <f>C7</f>
        <v>2022-23</v>
      </c>
      <c r="D106" s="807"/>
      <c r="E106" s="807"/>
      <c r="F106" s="808"/>
    </row>
    <row r="107" spans="1:6" s="17" customFormat="1" ht="111.6" customHeight="1" thickBot="1">
      <c r="A107" s="918" t="s">
        <v>208</v>
      </c>
      <c r="B107" s="919"/>
      <c r="C107" s="238" t="s">
        <v>346</v>
      </c>
      <c r="D107" s="239" t="s">
        <v>721</v>
      </c>
      <c r="E107" s="573" t="s">
        <v>722</v>
      </c>
      <c r="F107" s="238" t="s">
        <v>723</v>
      </c>
    </row>
    <row r="108" spans="1:6" s="17" customFormat="1" ht="30" customHeight="1">
      <c r="A108" s="240" t="s">
        <v>659</v>
      </c>
      <c r="B108" s="248"/>
      <c r="C108" s="249" t="s">
        <v>660</v>
      </c>
      <c r="D108" s="465">
        <v>2000</v>
      </c>
      <c r="E108" s="465">
        <v>0</v>
      </c>
      <c r="F108" s="241">
        <f t="shared" si="1"/>
        <v>2000</v>
      </c>
    </row>
    <row r="109" spans="1:6" s="17" customFormat="1" ht="30" customHeight="1">
      <c r="A109" s="674" t="s">
        <v>731</v>
      </c>
      <c r="B109" s="675"/>
      <c r="C109" s="945" t="s">
        <v>662</v>
      </c>
      <c r="D109" s="946">
        <v>0</v>
      </c>
      <c r="E109" s="946">
        <v>0</v>
      </c>
      <c r="F109" s="947">
        <f t="shared" si="1"/>
        <v>0</v>
      </c>
    </row>
    <row r="110" spans="1:6" s="17" customFormat="1" ht="30" customHeight="1">
      <c r="A110" s="674" t="s">
        <v>663</v>
      </c>
      <c r="B110" s="675"/>
      <c r="C110" s="945" t="s">
        <v>664</v>
      </c>
      <c r="D110" s="946">
        <v>0</v>
      </c>
      <c r="E110" s="946">
        <v>0</v>
      </c>
      <c r="F110" s="947">
        <f t="shared" si="1"/>
        <v>0</v>
      </c>
    </row>
    <row r="111" spans="1:6" s="17" customFormat="1" ht="30" customHeight="1">
      <c r="A111" s="674" t="s">
        <v>665</v>
      </c>
      <c r="B111" s="675"/>
      <c r="C111" s="945" t="s">
        <v>666</v>
      </c>
      <c r="D111" s="946">
        <v>0</v>
      </c>
      <c r="E111" s="946">
        <v>0</v>
      </c>
      <c r="F111" s="947">
        <f t="shared" si="1"/>
        <v>0</v>
      </c>
    </row>
    <row r="112" spans="1:6" s="17" customFormat="1" ht="30" customHeight="1">
      <c r="A112" s="674" t="s">
        <v>671</v>
      </c>
      <c r="B112" s="675"/>
      <c r="C112" s="945" t="s">
        <v>672</v>
      </c>
      <c r="D112" s="946">
        <v>0</v>
      </c>
      <c r="E112" s="946">
        <v>0</v>
      </c>
      <c r="F112" s="947">
        <f t="shared" si="1"/>
        <v>0</v>
      </c>
    </row>
    <row r="113" spans="1:6" s="17" customFormat="1" ht="30" customHeight="1">
      <c r="A113" s="987" t="s">
        <v>667</v>
      </c>
      <c r="B113" s="988"/>
      <c r="C113" s="1132">
        <v>73001</v>
      </c>
      <c r="D113" s="1133">
        <v>0</v>
      </c>
      <c r="E113" s="1133">
        <v>0</v>
      </c>
      <c r="F113" s="1134">
        <f t="shared" si="1"/>
        <v>0</v>
      </c>
    </row>
    <row r="114" spans="1:6" s="17" customFormat="1" ht="30" customHeight="1">
      <c r="A114" s="989" t="s">
        <v>668</v>
      </c>
      <c r="B114" s="990"/>
      <c r="C114" s="991">
        <v>73002</v>
      </c>
      <c r="D114" s="986">
        <v>0</v>
      </c>
      <c r="E114" s="986">
        <v>0</v>
      </c>
      <c r="F114" s="985">
        <f t="shared" si="1"/>
        <v>0</v>
      </c>
    </row>
    <row r="115" spans="1:6" s="17" customFormat="1" ht="30" customHeight="1">
      <c r="A115" s="674" t="s">
        <v>669</v>
      </c>
      <c r="B115" s="675"/>
      <c r="C115" s="1135">
        <v>73050</v>
      </c>
      <c r="D115" s="1136">
        <v>0</v>
      </c>
      <c r="E115" s="1136">
        <v>0</v>
      </c>
      <c r="F115" s="1137">
        <f>+D115+E115</f>
        <v>0</v>
      </c>
    </row>
    <row r="116" spans="1:6" s="17" customFormat="1" ht="30" customHeight="1">
      <c r="A116" s="948" t="s">
        <v>670</v>
      </c>
      <c r="B116" s="675"/>
      <c r="C116" s="945">
        <v>73100</v>
      </c>
      <c r="D116" s="946">
        <v>0</v>
      </c>
      <c r="E116" s="946">
        <v>0</v>
      </c>
      <c r="F116" s="1137">
        <f>+D116+E116</f>
        <v>0</v>
      </c>
    </row>
    <row r="117" spans="1:6" s="17" customFormat="1" ht="47.25" customHeight="1">
      <c r="A117" s="1019" t="s">
        <v>732</v>
      </c>
      <c r="B117" s="1020"/>
      <c r="C117" s="945" t="s">
        <v>674</v>
      </c>
      <c r="D117" s="946">
        <v>0</v>
      </c>
      <c r="E117" s="946">
        <v>0</v>
      </c>
      <c r="F117" s="947">
        <f t="shared" si="1"/>
        <v>0</v>
      </c>
    </row>
    <row r="118" spans="1:6" s="17" customFormat="1" ht="30" customHeight="1">
      <c r="A118" s="674" t="s">
        <v>675</v>
      </c>
      <c r="B118" s="675"/>
      <c r="C118" s="945" t="s">
        <v>676</v>
      </c>
      <c r="D118" s="946">
        <v>0</v>
      </c>
      <c r="E118" s="946">
        <v>0</v>
      </c>
      <c r="F118" s="947">
        <f t="shared" si="1"/>
        <v>0</v>
      </c>
    </row>
    <row r="119" spans="1:6" s="17" customFormat="1" ht="30" customHeight="1">
      <c r="A119" s="674" t="s">
        <v>677</v>
      </c>
      <c r="B119" s="675"/>
      <c r="C119" s="945" t="s">
        <v>678</v>
      </c>
      <c r="D119" s="946">
        <v>0</v>
      </c>
      <c r="E119" s="946">
        <v>0</v>
      </c>
      <c r="F119" s="947">
        <f t="shared" si="1"/>
        <v>0</v>
      </c>
    </row>
    <row r="120" spans="1:6" s="17" customFormat="1" ht="30" customHeight="1" thickBot="1">
      <c r="A120" s="677" t="s">
        <v>679</v>
      </c>
      <c r="B120" s="678"/>
      <c r="C120" s="682" t="s">
        <v>680</v>
      </c>
      <c r="D120" s="680">
        <v>0</v>
      </c>
      <c r="E120" s="680">
        <v>0</v>
      </c>
      <c r="F120" s="681">
        <f t="shared" si="1"/>
        <v>0</v>
      </c>
    </row>
    <row r="121" spans="1:6" s="17" customFormat="1" ht="30" customHeight="1" thickBot="1">
      <c r="A121" s="273" t="s">
        <v>681</v>
      </c>
      <c r="B121" s="274"/>
      <c r="C121" s="274"/>
      <c r="D121" s="275">
        <f>SUM(D108:D120)</f>
        <v>2000</v>
      </c>
      <c r="E121" s="275">
        <f>SUM(E108:E120)</f>
        <v>0</v>
      </c>
      <c r="F121" s="275">
        <f>SUM(D121:E121)</f>
        <v>2000</v>
      </c>
    </row>
    <row r="122" spans="1:6" s="17" customFormat="1" ht="30" customHeight="1" thickBot="1">
      <c r="A122" s="279"/>
      <c r="B122" s="280"/>
      <c r="C122" s="276"/>
      <c r="D122" s="277"/>
      <c r="E122" s="277"/>
      <c r="F122" s="277"/>
    </row>
    <row r="123" spans="1:6" s="181" customFormat="1" ht="30" customHeight="1" thickBot="1">
      <c r="A123" s="804" t="s">
        <v>682</v>
      </c>
      <c r="B123" s="809"/>
      <c r="C123" s="263"/>
      <c r="D123" s="271">
        <f>+D57+D103+D121</f>
        <v>2906593</v>
      </c>
      <c r="E123" s="271">
        <f>+E57+E103+E121</f>
        <v>0</v>
      </c>
      <c r="F123" s="271">
        <f>SUM(D123:E123)</f>
        <v>2906593</v>
      </c>
    </row>
    <row r="124" spans="1:6" s="17" customFormat="1" ht="116.45" customHeight="1">
      <c r="F124" s="253"/>
    </row>
    <row r="125" spans="1:6" s="69" customFormat="1" ht="30" customHeight="1" thickBot="1">
      <c r="A125" s="17"/>
      <c r="B125" s="17"/>
      <c r="C125" s="17"/>
      <c r="D125" s="17"/>
      <c r="E125" s="17"/>
      <c r="F125" s="17"/>
    </row>
    <row r="126" spans="1:6" s="69" customFormat="1" ht="30" customHeight="1" thickBot="1">
      <c r="A126" s="916" t="s">
        <v>733</v>
      </c>
      <c r="B126" s="917"/>
      <c r="C126" s="238" t="s">
        <v>346</v>
      </c>
      <c r="D126" s="238" t="s">
        <v>721</v>
      </c>
      <c r="E126" s="238" t="s">
        <v>722</v>
      </c>
      <c r="F126" s="238" t="s">
        <v>723</v>
      </c>
    </row>
    <row r="127" spans="1:6" s="69" customFormat="1" ht="30" customHeight="1">
      <c r="A127" s="240" t="s">
        <v>734</v>
      </c>
      <c r="B127" s="267"/>
      <c r="C127" s="268"/>
      <c r="D127" s="465">
        <v>0</v>
      </c>
      <c r="E127" s="465">
        <v>0</v>
      </c>
      <c r="F127" s="241">
        <v>0</v>
      </c>
    </row>
    <row r="128" spans="1:6" s="69" customFormat="1" ht="30" customHeight="1">
      <c r="A128" s="674" t="s">
        <v>735</v>
      </c>
      <c r="B128" s="616"/>
      <c r="C128" s="1138"/>
      <c r="D128" s="1139">
        <f>'EXHIBIT C'!H10</f>
        <v>2514128</v>
      </c>
      <c r="E128" s="946">
        <v>0</v>
      </c>
      <c r="F128" s="947">
        <f t="shared" ref="F128:F138" si="3">+D128+E128</f>
        <v>2514128</v>
      </c>
    </row>
    <row r="129" spans="1:6" s="69" customFormat="1" ht="30" customHeight="1">
      <c r="A129" s="674" t="s">
        <v>736</v>
      </c>
      <c r="B129" s="616"/>
      <c r="C129" s="1138"/>
      <c r="D129" s="1139">
        <f>'EXHIBIT C'!F19</f>
        <v>102281</v>
      </c>
      <c r="E129" s="946">
        <v>0</v>
      </c>
      <c r="F129" s="947">
        <f t="shared" si="3"/>
        <v>102281</v>
      </c>
    </row>
    <row r="130" spans="1:6" s="69" customFormat="1" ht="50.25" customHeight="1">
      <c r="A130" s="674" t="s">
        <v>737</v>
      </c>
      <c r="B130" s="616"/>
      <c r="C130" s="1138"/>
      <c r="D130" s="946">
        <v>0</v>
      </c>
      <c r="E130" s="946">
        <v>0</v>
      </c>
      <c r="F130" s="947">
        <f t="shared" si="3"/>
        <v>0</v>
      </c>
    </row>
    <row r="131" spans="1:6" s="69" customFormat="1" ht="30" customHeight="1">
      <c r="A131" s="674" t="s">
        <v>738</v>
      </c>
      <c r="B131" s="616"/>
      <c r="C131" s="1138"/>
      <c r="D131" s="946">
        <v>0</v>
      </c>
      <c r="E131" s="946">
        <v>0</v>
      </c>
      <c r="F131" s="947">
        <f t="shared" si="3"/>
        <v>0</v>
      </c>
    </row>
    <row r="132" spans="1:6" s="69" customFormat="1" ht="30" customHeight="1">
      <c r="A132" s="920" t="s">
        <v>739</v>
      </c>
      <c r="B132" s="616"/>
      <c r="C132" s="1138"/>
      <c r="D132" s="946">
        <v>0</v>
      </c>
      <c r="E132" s="946">
        <v>0</v>
      </c>
      <c r="F132" s="947">
        <f t="shared" si="3"/>
        <v>0</v>
      </c>
    </row>
    <row r="133" spans="1:6" s="69" customFormat="1" ht="30" customHeight="1">
      <c r="A133" s="674" t="s">
        <v>740</v>
      </c>
      <c r="B133" s="616"/>
      <c r="C133" s="1138"/>
      <c r="D133" s="946">
        <v>0</v>
      </c>
      <c r="E133" s="946">
        <v>0</v>
      </c>
      <c r="F133" s="947">
        <f t="shared" si="3"/>
        <v>0</v>
      </c>
    </row>
    <row r="134" spans="1:6" s="69" customFormat="1" ht="30" customHeight="1">
      <c r="A134" s="674" t="s">
        <v>741</v>
      </c>
      <c r="B134" s="616"/>
      <c r="C134" s="1138"/>
      <c r="D134" s="946">
        <v>0</v>
      </c>
      <c r="E134" s="946">
        <v>0</v>
      </c>
      <c r="F134" s="947">
        <f t="shared" si="3"/>
        <v>0</v>
      </c>
    </row>
    <row r="135" spans="1:6" s="69" customFormat="1" ht="30" customHeight="1">
      <c r="A135" s="674" t="s">
        <v>742</v>
      </c>
      <c r="B135" s="616"/>
      <c r="C135" s="1138"/>
      <c r="D135" s="946">
        <v>0</v>
      </c>
      <c r="E135" s="946">
        <v>0</v>
      </c>
      <c r="F135" s="947">
        <f t="shared" si="3"/>
        <v>0</v>
      </c>
    </row>
    <row r="136" spans="1:6" s="69" customFormat="1" ht="30" customHeight="1">
      <c r="A136" s="674" t="s">
        <v>743</v>
      </c>
      <c r="B136" s="616"/>
      <c r="C136" s="1138"/>
      <c r="D136" s="946">
        <v>0</v>
      </c>
      <c r="E136" s="946">
        <v>0</v>
      </c>
      <c r="F136" s="947">
        <f t="shared" si="3"/>
        <v>0</v>
      </c>
    </row>
    <row r="137" spans="1:6" ht="24.75" customHeight="1">
      <c r="A137" s="674" t="s">
        <v>744</v>
      </c>
      <c r="B137" s="616"/>
      <c r="C137" s="1138"/>
      <c r="D137" s="946">
        <v>0</v>
      </c>
      <c r="E137" s="946">
        <v>0</v>
      </c>
      <c r="F137" s="947">
        <f t="shared" si="3"/>
        <v>0</v>
      </c>
    </row>
    <row r="138" spans="1:6" ht="22.5" customHeight="1" thickBot="1">
      <c r="A138" s="677" t="s">
        <v>745</v>
      </c>
      <c r="B138" s="683"/>
      <c r="C138" s="684"/>
      <c r="D138" s="680">
        <v>0</v>
      </c>
      <c r="E138" s="680">
        <v>0</v>
      </c>
      <c r="F138" s="681">
        <f t="shared" si="3"/>
        <v>0</v>
      </c>
    </row>
    <row r="139" spans="1:6" ht="110.1" customHeight="1" thickBot="1">
      <c r="A139" s="804" t="s">
        <v>746</v>
      </c>
      <c r="B139" s="805"/>
      <c r="C139" s="263"/>
      <c r="D139" s="264">
        <f>SUM(D127:D138)</f>
        <v>2616409</v>
      </c>
      <c r="E139" s="265">
        <f>SUM(E127:E138)</f>
        <v>0</v>
      </c>
      <c r="F139" s="266">
        <f>SUM(F127:F138)</f>
        <v>2616409</v>
      </c>
    </row>
    <row r="140" spans="1:6" ht="14.1" customHeight="1">
      <c r="A140" s="254"/>
      <c r="B140" s="254"/>
      <c r="C140" s="255"/>
      <c r="D140" s="256"/>
      <c r="E140" s="256"/>
      <c r="F140" s="256"/>
    </row>
    <row r="141" spans="1:6" ht="83.25" customHeight="1">
      <c r="A141" s="864" t="s">
        <v>747</v>
      </c>
      <c r="B141" s="864"/>
      <c r="C141" s="865"/>
      <c r="D141" s="257">
        <f>D139-D123</f>
        <v>-290184</v>
      </c>
      <c r="E141" s="257">
        <f t="shared" ref="E141:F141" si="4">E139-E123</f>
        <v>0</v>
      </c>
      <c r="F141" s="257">
        <f t="shared" si="4"/>
        <v>-290184</v>
      </c>
    </row>
    <row r="142" spans="1:6" ht="30" customHeight="1">
      <c r="A142" s="254"/>
      <c r="B142" s="254"/>
      <c r="C142" s="255"/>
      <c r="D142" s="256"/>
      <c r="E142" s="256"/>
      <c r="F142" s="256"/>
    </row>
    <row r="143" spans="1:6" ht="30" customHeight="1" thickBot="1">
      <c r="A143" s="470" t="s">
        <v>748</v>
      </c>
      <c r="B143" s="17"/>
      <c r="C143" s="17"/>
      <c r="D143" s="258"/>
      <c r="E143" s="258"/>
      <c r="F143" s="259"/>
    </row>
    <row r="144" spans="1:6" ht="183.75" customHeight="1">
      <c r="A144" s="1035" t="s">
        <v>232</v>
      </c>
      <c r="B144" s="1036"/>
      <c r="C144" s="1036"/>
      <c r="D144" s="1036"/>
      <c r="E144" s="1036"/>
      <c r="F144" s="1037"/>
    </row>
    <row r="145" spans="1:6" ht="30" hidden="1" customHeight="1">
      <c r="A145" s="802"/>
      <c r="B145" s="763"/>
      <c r="C145" s="763"/>
      <c r="D145" s="763"/>
      <c r="E145" s="763"/>
      <c r="F145" s="803"/>
    </row>
    <row r="146" spans="1:6" ht="30" hidden="1" customHeight="1">
      <c r="A146" s="802"/>
      <c r="B146" s="763"/>
      <c r="C146" s="763"/>
      <c r="D146" s="763"/>
      <c r="E146" s="763"/>
      <c r="F146" s="803"/>
    </row>
    <row r="147" spans="1:6" ht="30" hidden="1" customHeight="1">
      <c r="A147" s="802"/>
      <c r="B147" s="763"/>
      <c r="C147" s="763"/>
      <c r="D147" s="763"/>
      <c r="E147" s="763"/>
      <c r="F147" s="803"/>
    </row>
    <row r="148" spans="1:6" ht="30" hidden="1" customHeight="1">
      <c r="A148" s="802"/>
      <c r="B148" s="763"/>
      <c r="C148" s="763"/>
      <c r="D148" s="763"/>
      <c r="E148" s="763"/>
      <c r="F148" s="803"/>
    </row>
    <row r="149" spans="1:6" ht="30" hidden="1" customHeight="1">
      <c r="A149" s="802"/>
      <c r="B149" s="763"/>
      <c r="C149" s="763"/>
      <c r="D149" s="763"/>
      <c r="E149" s="763"/>
      <c r="F149" s="803"/>
    </row>
    <row r="150" spans="1:6" ht="130.5" customHeight="1" thickBot="1">
      <c r="A150" s="1038"/>
      <c r="B150" s="1039"/>
      <c r="C150" s="1039"/>
      <c r="D150" s="1039"/>
      <c r="E150" s="1039"/>
      <c r="F150" s="1040"/>
    </row>
    <row r="151" spans="1:6" ht="30" customHeight="1">
      <c r="A151" s="467"/>
      <c r="B151" s="467"/>
      <c r="C151" s="467"/>
      <c r="D151" s="467"/>
      <c r="E151" s="467"/>
      <c r="F151" s="467"/>
    </row>
    <row r="152" spans="1:6" ht="30" customHeight="1" thickBot="1">
      <c r="A152" s="470" t="s">
        <v>749</v>
      </c>
      <c r="B152" s="468"/>
      <c r="C152" s="468"/>
      <c r="D152" s="258"/>
      <c r="E152" s="258"/>
      <c r="F152" s="259"/>
    </row>
    <row r="153" spans="1:6" ht="125.25" customHeight="1">
      <c r="A153" s="1035"/>
      <c r="B153" s="1036"/>
      <c r="C153" s="1036"/>
      <c r="D153" s="1036"/>
      <c r="E153" s="1036"/>
      <c r="F153" s="1037"/>
    </row>
    <row r="154" spans="1:6" ht="30" hidden="1" customHeight="1">
      <c r="A154" s="802"/>
      <c r="B154" s="763"/>
      <c r="C154" s="763"/>
      <c r="D154" s="763"/>
      <c r="E154" s="763"/>
      <c r="F154" s="803"/>
    </row>
    <row r="155" spans="1:6" ht="30" hidden="1" customHeight="1">
      <c r="A155" s="802"/>
      <c r="B155" s="763"/>
      <c r="C155" s="763"/>
      <c r="D155" s="763"/>
      <c r="E155" s="763"/>
      <c r="F155" s="803"/>
    </row>
    <row r="156" spans="1:6" ht="30" hidden="1" customHeight="1">
      <c r="A156" s="802"/>
      <c r="B156" s="763"/>
      <c r="C156" s="763"/>
      <c r="D156" s="763"/>
      <c r="E156" s="763"/>
      <c r="F156" s="803"/>
    </row>
    <row r="157" spans="1:6" ht="30" hidden="1" customHeight="1">
      <c r="A157" s="802"/>
      <c r="B157" s="763"/>
      <c r="C157" s="763"/>
      <c r="D157" s="763"/>
      <c r="E157" s="763"/>
      <c r="F157" s="803"/>
    </row>
    <row r="158" spans="1:6" ht="25.35" hidden="1" customHeight="1">
      <c r="A158" s="802"/>
      <c r="B158" s="763"/>
      <c r="C158" s="763"/>
      <c r="D158" s="763"/>
      <c r="E158" s="763"/>
      <c r="F158" s="803"/>
    </row>
    <row r="159" spans="1:6" ht="153.75" customHeight="1" thickBot="1">
      <c r="A159" s="1038"/>
      <c r="B159" s="1039"/>
      <c r="C159" s="1039"/>
      <c r="D159" s="1039"/>
      <c r="E159" s="1039"/>
      <c r="F159" s="1040"/>
    </row>
    <row r="160" spans="1:6" ht="25.35" customHeight="1">
      <c r="F160" s="261"/>
    </row>
    <row r="161" spans="5:6" ht="25.35" customHeight="1">
      <c r="F161" s="261"/>
    </row>
    <row r="162" spans="5:6" ht="25.35" customHeight="1">
      <c r="F162" s="261"/>
    </row>
    <row r="163" spans="5:6" ht="25.35" customHeight="1">
      <c r="F163" s="261"/>
    </row>
    <row r="164" spans="5:6" ht="25.35" customHeight="1">
      <c r="F164" s="261"/>
    </row>
    <row r="165" spans="5:6" ht="25.35" customHeight="1">
      <c r="E165" s="262"/>
      <c r="F165" s="261"/>
    </row>
    <row r="166" spans="5:6" ht="25.35" customHeight="1">
      <c r="E166" s="262"/>
      <c r="F166" s="261"/>
    </row>
    <row r="167" spans="5:6" ht="25.35" customHeight="1">
      <c r="E167" s="262"/>
      <c r="F167" s="261"/>
    </row>
    <row r="168" spans="5:6" ht="25.35" customHeight="1">
      <c r="F168" s="261"/>
    </row>
    <row r="169" spans="5:6" ht="25.35" customHeight="1">
      <c r="F169" s="261"/>
    </row>
    <row r="170" spans="5:6" ht="25.35" customHeight="1">
      <c r="F170" s="261"/>
    </row>
    <row r="171" spans="5:6" ht="25.35" customHeight="1">
      <c r="F171" s="261"/>
    </row>
    <row r="172" spans="5:6" ht="25.35" customHeight="1">
      <c r="F172" s="261"/>
    </row>
    <row r="173" spans="5:6" ht="25.35" customHeight="1">
      <c r="F173" s="261"/>
    </row>
    <row r="174" spans="5:6" ht="25.35" customHeight="1">
      <c r="F174" s="261"/>
    </row>
    <row r="175" spans="5:6" ht="25.35" customHeight="1">
      <c r="F175" s="261"/>
    </row>
    <row r="176" spans="5:6" ht="25.35" customHeight="1">
      <c r="F176" s="261"/>
    </row>
    <row r="177" spans="6:6" ht="25.35" customHeight="1">
      <c r="F177" s="261"/>
    </row>
    <row r="178" spans="6:6" ht="25.35" customHeight="1">
      <c r="F178" s="261"/>
    </row>
    <row r="179" spans="6:6" ht="25.35" customHeight="1">
      <c r="F179" s="261"/>
    </row>
    <row r="180" spans="6:6" ht="25.35" customHeight="1">
      <c r="F180" s="261"/>
    </row>
    <row r="181" spans="6:6" ht="25.35" customHeight="1">
      <c r="F181" s="261"/>
    </row>
    <row r="182" spans="6:6" ht="25.35" customHeight="1">
      <c r="F182" s="261"/>
    </row>
    <row r="183" spans="6:6" ht="25.35" customHeight="1">
      <c r="F183" s="261"/>
    </row>
    <row r="184" spans="6:6" ht="25.35" customHeight="1">
      <c r="F184" s="261"/>
    </row>
    <row r="185" spans="6:6" ht="25.35" customHeight="1">
      <c r="F185" s="261"/>
    </row>
    <row r="186" spans="6:6" ht="25.35" customHeight="1">
      <c r="F186" s="261"/>
    </row>
    <row r="187" spans="6:6" ht="25.35" customHeight="1">
      <c r="F187" s="261"/>
    </row>
    <row r="188" spans="6:6" ht="25.35" customHeight="1">
      <c r="F188" s="261"/>
    </row>
    <row r="189" spans="6:6" ht="25.35" customHeight="1">
      <c r="F189" s="261"/>
    </row>
    <row r="190" spans="6:6" ht="25.35" customHeight="1">
      <c r="F190" s="261"/>
    </row>
    <row r="191" spans="6:6" ht="25.35" customHeight="1">
      <c r="F191" s="261"/>
    </row>
    <row r="192" spans="6:6" ht="25.35" customHeight="1">
      <c r="F192" s="261"/>
    </row>
    <row r="193" spans="6:6" ht="25.35" customHeight="1">
      <c r="F193" s="261"/>
    </row>
    <row r="194" spans="6:6" ht="25.35" customHeight="1">
      <c r="F194" s="261"/>
    </row>
    <row r="195" spans="6:6" ht="25.35" customHeight="1">
      <c r="F195" s="261"/>
    </row>
    <row r="196" spans="6:6" ht="25.35" customHeight="1">
      <c r="F196" s="261"/>
    </row>
    <row r="197" spans="6:6" ht="25.35" customHeight="1">
      <c r="F197" s="261"/>
    </row>
    <row r="198" spans="6:6" ht="25.35" customHeight="1">
      <c r="F198" s="261"/>
    </row>
    <row r="199" spans="6:6" ht="25.35" customHeight="1">
      <c r="F199" s="261"/>
    </row>
    <row r="200" spans="6:6" ht="25.35" customHeight="1">
      <c r="F200" s="261"/>
    </row>
    <row r="201" spans="6:6" ht="25.35" customHeight="1">
      <c r="F201" s="261"/>
    </row>
    <row r="202" spans="6:6" ht="25.35" customHeight="1">
      <c r="F202" s="261"/>
    </row>
    <row r="203" spans="6:6" ht="25.35" customHeight="1">
      <c r="F203" s="261"/>
    </row>
    <row r="204" spans="6:6" ht="25.35" customHeight="1">
      <c r="F204" s="261"/>
    </row>
    <row r="205" spans="6:6" ht="25.35" customHeight="1">
      <c r="F205" s="261"/>
    </row>
    <row r="206" spans="6:6" ht="25.35" customHeight="1">
      <c r="F206" s="261"/>
    </row>
    <row r="207" spans="6:6" ht="25.35" customHeight="1">
      <c r="F207" s="261"/>
    </row>
    <row r="208" spans="6:6" ht="25.35" customHeight="1">
      <c r="F208" s="261"/>
    </row>
    <row r="209" spans="6:6" ht="25.35" customHeight="1">
      <c r="F209" s="261"/>
    </row>
    <row r="210" spans="6:6" ht="25.35" customHeight="1">
      <c r="F210" s="261"/>
    </row>
    <row r="211" spans="6:6" ht="25.35" customHeight="1">
      <c r="F211" s="261"/>
    </row>
    <row r="212" spans="6:6" ht="25.35" customHeight="1">
      <c r="F212" s="261"/>
    </row>
    <row r="213" spans="6:6" ht="25.35" customHeight="1">
      <c r="F213" s="261"/>
    </row>
    <row r="214" spans="6:6" ht="25.35" customHeight="1">
      <c r="F214" s="261"/>
    </row>
    <row r="215" spans="6:6" ht="25.35" customHeight="1">
      <c r="F215" s="261"/>
    </row>
    <row r="216" spans="6:6" ht="25.35" customHeight="1">
      <c r="F216" s="261"/>
    </row>
    <row r="217" spans="6:6" ht="25.35" customHeight="1">
      <c r="F217" s="261"/>
    </row>
    <row r="218" spans="6:6" ht="25.35" customHeight="1">
      <c r="F218" s="261"/>
    </row>
    <row r="219" spans="6:6" ht="25.35" customHeight="1">
      <c r="F219" s="261"/>
    </row>
    <row r="220" spans="6:6" ht="25.35" customHeight="1">
      <c r="F220" s="261"/>
    </row>
    <row r="221" spans="6:6" ht="25.35" customHeight="1">
      <c r="F221" s="261"/>
    </row>
    <row r="222" spans="6:6" ht="25.35" customHeight="1">
      <c r="F222" s="261"/>
    </row>
    <row r="223" spans="6:6" ht="25.35" customHeight="1">
      <c r="F223" s="261"/>
    </row>
    <row r="224" spans="6:6" ht="25.35" customHeight="1">
      <c r="F224" s="261"/>
    </row>
    <row r="225" spans="6:6" ht="25.35" customHeight="1">
      <c r="F225" s="261"/>
    </row>
    <row r="226" spans="6:6" ht="25.35" customHeight="1">
      <c r="F226" s="261"/>
    </row>
    <row r="227" spans="6:6" ht="25.35" customHeight="1">
      <c r="F227" s="261"/>
    </row>
    <row r="228" spans="6:6" ht="25.35" customHeight="1">
      <c r="F228" s="261"/>
    </row>
    <row r="229" spans="6:6" ht="25.35" customHeight="1">
      <c r="F229" s="261"/>
    </row>
    <row r="230" spans="6:6" ht="25.35" customHeight="1">
      <c r="F230" s="261"/>
    </row>
    <row r="231" spans="6:6" ht="25.35" customHeight="1">
      <c r="F231" s="261"/>
    </row>
    <row r="232" spans="6:6" ht="25.35" customHeight="1">
      <c r="F232" s="261"/>
    </row>
    <row r="233" spans="6:6" ht="25.35" customHeight="1">
      <c r="F233" s="261"/>
    </row>
    <row r="234" spans="6:6" ht="25.35" customHeight="1">
      <c r="F234" s="261"/>
    </row>
    <row r="235" spans="6:6" ht="25.35" customHeight="1">
      <c r="F235" s="261"/>
    </row>
    <row r="236" spans="6:6" ht="25.35" customHeight="1">
      <c r="F236" s="261"/>
    </row>
    <row r="237" spans="6:6" ht="25.35" customHeight="1">
      <c r="F237" s="261"/>
    </row>
    <row r="238" spans="6:6" ht="25.35" customHeight="1">
      <c r="F238" s="261"/>
    </row>
    <row r="239" spans="6:6" ht="25.35" customHeight="1">
      <c r="F239" s="261"/>
    </row>
    <row r="240" spans="6:6" ht="25.35" customHeight="1">
      <c r="F240" s="261"/>
    </row>
    <row r="241" spans="6:6" ht="25.35" customHeight="1">
      <c r="F241" s="261"/>
    </row>
    <row r="242" spans="6:6" ht="25.35" customHeight="1">
      <c r="F242" s="261"/>
    </row>
    <row r="243" spans="6:6" ht="25.35" customHeight="1">
      <c r="F243" s="261"/>
    </row>
    <row r="244" spans="6:6" ht="25.35" customHeight="1">
      <c r="F244" s="261"/>
    </row>
    <row r="245" spans="6:6" ht="25.35" customHeight="1">
      <c r="F245" s="261"/>
    </row>
    <row r="246" spans="6:6" ht="25.35" customHeight="1">
      <c r="F246" s="261"/>
    </row>
    <row r="247" spans="6:6" ht="25.35" customHeight="1">
      <c r="F247" s="261"/>
    </row>
    <row r="248" spans="6:6" ht="25.35" customHeight="1">
      <c r="F248" s="261"/>
    </row>
    <row r="249" spans="6:6" ht="25.35" customHeight="1">
      <c r="F249" s="261"/>
    </row>
    <row r="250" spans="6:6" ht="25.35" customHeight="1">
      <c r="F250" s="261"/>
    </row>
    <row r="251" spans="6:6" ht="25.35" customHeight="1">
      <c r="F251" s="261"/>
    </row>
    <row r="252" spans="6:6" ht="25.35" customHeight="1">
      <c r="F252" s="261"/>
    </row>
    <row r="253" spans="6:6" ht="25.35" customHeight="1">
      <c r="F253" s="261"/>
    </row>
    <row r="254" spans="6:6" ht="25.35" customHeight="1">
      <c r="F254" s="261"/>
    </row>
    <row r="255" spans="6:6" ht="25.35" customHeight="1">
      <c r="F255" s="261"/>
    </row>
    <row r="256" spans="6:6" ht="25.35" customHeight="1">
      <c r="F256" s="261"/>
    </row>
    <row r="257" spans="6:6" ht="25.35" customHeight="1">
      <c r="F257" s="261"/>
    </row>
    <row r="258" spans="6:6" ht="25.35" customHeight="1">
      <c r="F258" s="261"/>
    </row>
    <row r="259" spans="6:6" ht="25.35" customHeight="1">
      <c r="F259" s="261"/>
    </row>
    <row r="260" spans="6:6" ht="25.35" customHeight="1">
      <c r="F260" s="261"/>
    </row>
    <row r="261" spans="6:6" ht="25.35" customHeight="1">
      <c r="F261" s="261"/>
    </row>
    <row r="262" spans="6:6" ht="25.35" customHeight="1">
      <c r="F262" s="261"/>
    </row>
    <row r="263" spans="6:6" ht="25.35" customHeight="1">
      <c r="F263" s="261"/>
    </row>
    <row r="264" spans="6:6" ht="25.35" customHeight="1">
      <c r="F264" s="261"/>
    </row>
    <row r="265" spans="6:6" ht="25.35" customHeight="1">
      <c r="F265" s="261"/>
    </row>
    <row r="266" spans="6:6" ht="25.35" customHeight="1">
      <c r="F266" s="261"/>
    </row>
    <row r="267" spans="6:6" ht="25.35" customHeight="1">
      <c r="F267" s="261"/>
    </row>
    <row r="268" spans="6:6" ht="25.35" customHeight="1">
      <c r="F268" s="261"/>
    </row>
    <row r="269" spans="6:6" ht="25.35" customHeight="1">
      <c r="F269" s="261"/>
    </row>
    <row r="270" spans="6:6" ht="25.35" customHeight="1">
      <c r="F270" s="261"/>
    </row>
    <row r="271" spans="6:6" ht="25.35" customHeight="1">
      <c r="F271" s="261"/>
    </row>
    <row r="272" spans="6:6" ht="25.35" customHeight="1">
      <c r="F272" s="261"/>
    </row>
    <row r="273" spans="6:6" ht="25.35" customHeight="1">
      <c r="F273" s="261"/>
    </row>
    <row r="274" spans="6:6" ht="25.35" customHeight="1">
      <c r="F274" s="261"/>
    </row>
    <row r="275" spans="6:6" ht="25.35" customHeight="1">
      <c r="F275" s="261"/>
    </row>
    <row r="276" spans="6:6" ht="25.35" customHeight="1">
      <c r="F276" s="261"/>
    </row>
    <row r="277" spans="6:6" ht="25.35" customHeight="1">
      <c r="F277" s="261"/>
    </row>
    <row r="278" spans="6:6" ht="25.35" customHeight="1">
      <c r="F278" s="261"/>
    </row>
    <row r="279" spans="6:6" ht="25.35" customHeight="1">
      <c r="F279" s="261"/>
    </row>
    <row r="280" spans="6:6" ht="25.35" customHeight="1">
      <c r="F280" s="261"/>
    </row>
    <row r="281" spans="6:6" ht="25.35" customHeight="1">
      <c r="F281" s="261"/>
    </row>
    <row r="282" spans="6:6" ht="25.35" customHeight="1">
      <c r="F282" s="261"/>
    </row>
    <row r="283" spans="6:6" ht="25.35" customHeight="1">
      <c r="F283" s="261"/>
    </row>
    <row r="284" spans="6:6" ht="25.35" customHeight="1">
      <c r="F284" s="261"/>
    </row>
    <row r="285" spans="6:6" ht="25.35" customHeight="1">
      <c r="F285" s="261"/>
    </row>
    <row r="286" spans="6:6" ht="25.35" customHeight="1">
      <c r="F286" s="261"/>
    </row>
    <row r="287" spans="6:6" ht="25.35" customHeight="1">
      <c r="F287" s="261"/>
    </row>
    <row r="288" spans="6:6" ht="25.35" customHeight="1">
      <c r="F288" s="261"/>
    </row>
    <row r="289" spans="6:6" ht="25.35" customHeight="1">
      <c r="F289" s="261"/>
    </row>
    <row r="290" spans="6:6" ht="25.35" customHeight="1">
      <c r="F290" s="261"/>
    </row>
    <row r="291" spans="6:6" ht="25.35" customHeight="1">
      <c r="F291" s="261"/>
    </row>
    <row r="292" spans="6:6" ht="25.35" customHeight="1">
      <c r="F292" s="261"/>
    </row>
    <row r="293" spans="6:6" ht="25.35" customHeight="1">
      <c r="F293" s="261"/>
    </row>
    <row r="294" spans="6:6" ht="25.35" customHeight="1">
      <c r="F294" s="261"/>
    </row>
    <row r="295" spans="6:6" ht="25.35" customHeight="1">
      <c r="F295" s="261"/>
    </row>
    <row r="296" spans="6:6" ht="25.35" customHeight="1">
      <c r="F296" s="261"/>
    </row>
    <row r="297" spans="6:6" ht="25.35" customHeight="1">
      <c r="F297" s="261"/>
    </row>
    <row r="298" spans="6:6" ht="25.35" customHeight="1">
      <c r="F298" s="261"/>
    </row>
    <row r="299" spans="6:6" ht="25.35" customHeight="1">
      <c r="F299" s="261"/>
    </row>
    <row r="300" spans="6:6" ht="25.35" customHeight="1">
      <c r="F300" s="261"/>
    </row>
    <row r="301" spans="6:6" ht="25.35" customHeight="1">
      <c r="F301" s="261"/>
    </row>
    <row r="302" spans="6:6" ht="25.35" customHeight="1">
      <c r="F302" s="261"/>
    </row>
    <row r="303" spans="6:6" ht="25.35" customHeight="1">
      <c r="F303" s="261"/>
    </row>
    <row r="304" spans="6:6" ht="25.35" customHeight="1">
      <c r="F304" s="261"/>
    </row>
    <row r="305" spans="6:6" ht="25.35" customHeight="1">
      <c r="F305" s="261"/>
    </row>
    <row r="306" spans="6:6" ht="25.35" customHeight="1">
      <c r="F306" s="261"/>
    </row>
    <row r="307" spans="6:6" ht="25.35" customHeight="1">
      <c r="F307" s="261"/>
    </row>
    <row r="308" spans="6:6" ht="25.35" customHeight="1">
      <c r="F308" s="261"/>
    </row>
    <row r="309" spans="6:6" ht="25.35" customHeight="1">
      <c r="F309" s="261"/>
    </row>
    <row r="310" spans="6:6" ht="25.35" customHeight="1">
      <c r="F310" s="261"/>
    </row>
    <row r="311" spans="6:6" ht="25.35" customHeight="1">
      <c r="F311" s="261"/>
    </row>
    <row r="312" spans="6:6" ht="25.35" customHeight="1">
      <c r="F312" s="261"/>
    </row>
    <row r="313" spans="6:6" ht="25.35" customHeight="1">
      <c r="F313" s="261"/>
    </row>
    <row r="314" spans="6:6" ht="25.35" customHeight="1">
      <c r="F314" s="261"/>
    </row>
    <row r="315" spans="6:6" ht="25.35" customHeight="1">
      <c r="F315" s="261"/>
    </row>
    <row r="316" spans="6:6" ht="25.35" customHeight="1">
      <c r="F316" s="261"/>
    </row>
    <row r="317" spans="6:6" ht="25.35" customHeight="1">
      <c r="F317" s="261"/>
    </row>
    <row r="318" spans="6:6" ht="25.35" customHeight="1">
      <c r="F318" s="261"/>
    </row>
    <row r="319" spans="6:6" ht="25.35" customHeight="1">
      <c r="F319" s="261"/>
    </row>
    <row r="320" spans="6:6" ht="25.35" customHeight="1">
      <c r="F320" s="261"/>
    </row>
    <row r="321" spans="6:6" ht="25.35" customHeight="1">
      <c r="F321" s="261"/>
    </row>
    <row r="322" spans="6:6" ht="25.35" customHeight="1">
      <c r="F322" s="261"/>
    </row>
    <row r="323" spans="6:6" ht="25.35" customHeight="1">
      <c r="F323" s="261"/>
    </row>
    <row r="324" spans="6:6" ht="25.35" customHeight="1">
      <c r="F324" s="261"/>
    </row>
    <row r="325" spans="6:6" ht="25.35" customHeight="1">
      <c r="F325" s="261"/>
    </row>
    <row r="326" spans="6:6" ht="25.35" customHeight="1">
      <c r="F326" s="261"/>
    </row>
    <row r="327" spans="6:6" ht="25.35" customHeight="1">
      <c r="F327" s="261"/>
    </row>
    <row r="328" spans="6:6" ht="25.35" customHeight="1">
      <c r="F328" s="261"/>
    </row>
    <row r="329" spans="6:6" ht="25.35" customHeight="1">
      <c r="F329" s="261"/>
    </row>
    <row r="330" spans="6:6" ht="25.35" customHeight="1">
      <c r="F330" s="261"/>
    </row>
    <row r="331" spans="6:6" ht="25.35" customHeight="1">
      <c r="F331" s="261"/>
    </row>
    <row r="332" spans="6:6" ht="25.35" customHeight="1">
      <c r="F332" s="261"/>
    </row>
    <row r="333" spans="6:6" ht="25.35" customHeight="1">
      <c r="F333" s="261"/>
    </row>
    <row r="334" spans="6:6" ht="25.35" customHeight="1">
      <c r="F334" s="261"/>
    </row>
    <row r="335" spans="6:6" ht="25.35" customHeight="1">
      <c r="F335" s="261"/>
    </row>
    <row r="336" spans="6:6" ht="25.35" customHeight="1">
      <c r="F336" s="261"/>
    </row>
    <row r="337" spans="6:6" ht="25.35" customHeight="1">
      <c r="F337" s="261"/>
    </row>
    <row r="338" spans="6:6" ht="25.35" customHeight="1">
      <c r="F338" s="261"/>
    </row>
    <row r="339" spans="6:6" ht="25.35" customHeight="1">
      <c r="F339" s="261"/>
    </row>
    <row r="340" spans="6:6" ht="25.35" customHeight="1">
      <c r="F340" s="261"/>
    </row>
    <row r="341" spans="6:6" ht="25.35" customHeight="1">
      <c r="F341" s="261"/>
    </row>
    <row r="342" spans="6:6" ht="25.35" customHeight="1">
      <c r="F342" s="261"/>
    </row>
    <row r="343" spans="6:6" ht="25.35" customHeight="1">
      <c r="F343" s="261"/>
    </row>
    <row r="344" spans="6:6" ht="25.35" customHeight="1">
      <c r="F344" s="261"/>
    </row>
    <row r="345" spans="6:6" ht="25.35" customHeight="1">
      <c r="F345" s="261"/>
    </row>
    <row r="346" spans="6:6" ht="25.35" customHeight="1">
      <c r="F346" s="261"/>
    </row>
    <row r="347" spans="6:6" ht="25.35" customHeight="1">
      <c r="F347" s="261"/>
    </row>
    <row r="348" spans="6:6" ht="25.35" customHeight="1">
      <c r="F348" s="261"/>
    </row>
    <row r="349" spans="6:6" ht="25.35" customHeight="1">
      <c r="F349" s="261"/>
    </row>
    <row r="350" spans="6:6" ht="25.35" customHeight="1">
      <c r="F350" s="261"/>
    </row>
    <row r="351" spans="6:6" ht="25.35" customHeight="1">
      <c r="F351" s="261"/>
    </row>
    <row r="352" spans="6:6" ht="25.35" customHeight="1">
      <c r="F352" s="261"/>
    </row>
    <row r="353" spans="6:6" ht="25.35" customHeight="1">
      <c r="F353" s="261"/>
    </row>
    <row r="354" spans="6:6" ht="25.35" customHeight="1">
      <c r="F354" s="261"/>
    </row>
    <row r="355" spans="6:6" ht="25.35" customHeight="1">
      <c r="F355" s="261"/>
    </row>
    <row r="356" spans="6:6" ht="25.35" customHeight="1">
      <c r="F356" s="261"/>
    </row>
    <row r="357" spans="6:6" ht="25.35" customHeight="1">
      <c r="F357" s="261"/>
    </row>
    <row r="358" spans="6:6" ht="25.35" customHeight="1">
      <c r="F358" s="261"/>
    </row>
    <row r="359" spans="6:6" ht="25.35" customHeight="1">
      <c r="F359" s="261"/>
    </row>
    <row r="360" spans="6:6" ht="25.35" customHeight="1">
      <c r="F360" s="261"/>
    </row>
    <row r="361" spans="6:6" ht="25.35" customHeight="1">
      <c r="F361" s="261"/>
    </row>
    <row r="362" spans="6:6" ht="25.35" customHeight="1">
      <c r="F362" s="261"/>
    </row>
    <row r="363" spans="6:6" ht="25.35" customHeight="1">
      <c r="F363" s="261"/>
    </row>
    <row r="364" spans="6:6" ht="25.35" customHeight="1">
      <c r="F364" s="261"/>
    </row>
    <row r="365" spans="6:6" ht="25.35" customHeight="1">
      <c r="F365" s="261"/>
    </row>
    <row r="366" spans="6:6" ht="25.35" customHeight="1">
      <c r="F366" s="261"/>
    </row>
    <row r="367" spans="6:6" ht="25.35" customHeight="1">
      <c r="F367" s="261"/>
    </row>
    <row r="368" spans="6:6" ht="25.35" customHeight="1">
      <c r="F368" s="261"/>
    </row>
    <row r="369" spans="6:6" ht="25.35" customHeight="1">
      <c r="F369" s="261"/>
    </row>
    <row r="370" spans="6:6" ht="25.35" customHeight="1">
      <c r="F370" s="261"/>
    </row>
    <row r="371" spans="6:6" ht="25.35" customHeight="1">
      <c r="F371" s="261"/>
    </row>
    <row r="372" spans="6:6" ht="25.35" customHeight="1">
      <c r="F372" s="261"/>
    </row>
    <row r="373" spans="6:6" ht="25.35" customHeight="1">
      <c r="F373" s="261"/>
    </row>
    <row r="374" spans="6:6" ht="25.35" customHeight="1">
      <c r="F374" s="261"/>
    </row>
    <row r="375" spans="6:6" ht="25.35" customHeight="1">
      <c r="F375" s="261"/>
    </row>
    <row r="376" spans="6:6" ht="25.35" customHeight="1">
      <c r="F376" s="261"/>
    </row>
    <row r="377" spans="6:6" ht="25.35" customHeight="1">
      <c r="F377" s="261"/>
    </row>
    <row r="378" spans="6:6" ht="25.35" customHeight="1">
      <c r="F378" s="261"/>
    </row>
    <row r="379" spans="6:6" ht="25.35" customHeight="1">
      <c r="F379" s="261"/>
    </row>
    <row r="380" spans="6:6" ht="25.35" customHeight="1">
      <c r="F380" s="261"/>
    </row>
    <row r="381" spans="6:6" ht="25.35" customHeight="1">
      <c r="F381" s="261"/>
    </row>
    <row r="382" spans="6:6" ht="25.35" customHeight="1">
      <c r="F382" s="261"/>
    </row>
    <row r="383" spans="6:6" ht="25.35" customHeight="1">
      <c r="F383" s="261"/>
    </row>
    <row r="384" spans="6:6" ht="25.35" customHeight="1">
      <c r="F384" s="261"/>
    </row>
    <row r="385" spans="6:6" ht="25.35" customHeight="1">
      <c r="F385" s="261"/>
    </row>
    <row r="386" spans="6:6" ht="25.35" customHeight="1">
      <c r="F386" s="261"/>
    </row>
    <row r="387" spans="6:6" ht="25.35" customHeight="1">
      <c r="F387" s="261"/>
    </row>
    <row r="388" spans="6:6" ht="25.35" customHeight="1">
      <c r="F388" s="261"/>
    </row>
    <row r="389" spans="6:6" ht="25.35" customHeight="1">
      <c r="F389" s="261"/>
    </row>
    <row r="390" spans="6:6" ht="25.35" customHeight="1">
      <c r="F390" s="261"/>
    </row>
    <row r="391" spans="6:6" ht="25.35" customHeight="1">
      <c r="F391" s="261"/>
    </row>
    <row r="392" spans="6:6" ht="25.35" customHeight="1">
      <c r="F392" s="261"/>
    </row>
    <row r="393" spans="6:6" ht="25.35" customHeight="1">
      <c r="F393" s="261"/>
    </row>
    <row r="394" spans="6:6" ht="25.35" customHeight="1">
      <c r="F394" s="261"/>
    </row>
    <row r="395" spans="6:6" ht="25.35" customHeight="1">
      <c r="F395" s="261"/>
    </row>
    <row r="396" spans="6:6" ht="25.35" customHeight="1">
      <c r="F396" s="261"/>
    </row>
    <row r="397" spans="6:6" ht="25.35" customHeight="1">
      <c r="F397" s="261"/>
    </row>
    <row r="398" spans="6:6" ht="25.35" customHeight="1">
      <c r="F398" s="261"/>
    </row>
    <row r="399" spans="6:6" ht="25.35" customHeight="1">
      <c r="F399" s="261"/>
    </row>
    <row r="400" spans="6:6" ht="25.35" customHeight="1">
      <c r="F400" s="261"/>
    </row>
    <row r="401" spans="6:6" ht="25.35" customHeight="1">
      <c r="F401" s="261"/>
    </row>
    <row r="402" spans="6:6" ht="25.35" customHeight="1">
      <c r="F402" s="261"/>
    </row>
    <row r="403" spans="6:6" ht="25.35" customHeight="1">
      <c r="F403" s="261"/>
    </row>
    <row r="404" spans="6:6" ht="25.35" customHeight="1">
      <c r="F404" s="261"/>
    </row>
    <row r="405" spans="6:6" ht="25.35" customHeight="1">
      <c r="F405" s="261"/>
    </row>
    <row r="406" spans="6:6" ht="25.35" customHeight="1">
      <c r="F406" s="261"/>
    </row>
    <row r="407" spans="6:6" ht="25.35" customHeight="1">
      <c r="F407" s="261"/>
    </row>
    <row r="408" spans="6:6" ht="25.35" customHeight="1">
      <c r="F408" s="261"/>
    </row>
    <row r="409" spans="6:6" ht="25.35" customHeight="1">
      <c r="F409" s="261"/>
    </row>
    <row r="410" spans="6:6" ht="25.35" customHeight="1">
      <c r="F410" s="261"/>
    </row>
    <row r="411" spans="6:6" ht="25.35" customHeight="1">
      <c r="F411" s="261"/>
    </row>
    <row r="412" spans="6:6" ht="25.35" customHeight="1">
      <c r="F412" s="261"/>
    </row>
    <row r="413" spans="6:6" ht="25.35" customHeight="1">
      <c r="F413" s="261"/>
    </row>
    <row r="414" spans="6:6" ht="25.35" customHeight="1">
      <c r="F414" s="261"/>
    </row>
    <row r="415" spans="6:6" ht="25.35" customHeight="1">
      <c r="F415" s="261"/>
    </row>
    <row r="416" spans="6:6" ht="25.35" customHeight="1">
      <c r="F416" s="261"/>
    </row>
    <row r="417" spans="6:6" ht="25.35" customHeight="1">
      <c r="F417" s="261"/>
    </row>
    <row r="418" spans="6:6" ht="25.35" customHeight="1">
      <c r="F418" s="261"/>
    </row>
    <row r="419" spans="6:6" ht="25.35" customHeight="1">
      <c r="F419" s="261"/>
    </row>
    <row r="420" spans="6:6" ht="25.35" customHeight="1">
      <c r="F420" s="261"/>
    </row>
    <row r="421" spans="6:6" ht="25.35" customHeight="1">
      <c r="F421" s="261"/>
    </row>
    <row r="422" spans="6:6" ht="25.35" customHeight="1">
      <c r="F422" s="261"/>
    </row>
    <row r="423" spans="6:6" ht="25.35" customHeight="1">
      <c r="F423" s="261"/>
    </row>
    <row r="424" spans="6:6" ht="25.35" customHeight="1">
      <c r="F424" s="261"/>
    </row>
    <row r="425" spans="6:6" ht="25.35" customHeight="1">
      <c r="F425" s="261"/>
    </row>
    <row r="426" spans="6:6" ht="25.35" customHeight="1">
      <c r="F426" s="261"/>
    </row>
    <row r="427" spans="6:6" ht="25.35" customHeight="1">
      <c r="F427" s="261"/>
    </row>
    <row r="428" spans="6:6" ht="25.35" customHeight="1">
      <c r="F428" s="261"/>
    </row>
    <row r="429" spans="6:6" ht="25.35" customHeight="1">
      <c r="F429" s="261"/>
    </row>
    <row r="430" spans="6:6" ht="25.35" customHeight="1">
      <c r="F430" s="261"/>
    </row>
    <row r="431" spans="6:6" ht="25.35" customHeight="1">
      <c r="F431" s="261"/>
    </row>
    <row r="432" spans="6:6" ht="25.35" customHeight="1">
      <c r="F432" s="261"/>
    </row>
    <row r="433" spans="6:6" ht="25.35" customHeight="1">
      <c r="F433" s="261"/>
    </row>
    <row r="434" spans="6:6" ht="25.35" customHeight="1">
      <c r="F434" s="261"/>
    </row>
    <row r="435" spans="6:6" ht="25.35" customHeight="1">
      <c r="F435" s="261"/>
    </row>
    <row r="436" spans="6:6" ht="25.35" customHeight="1">
      <c r="F436" s="261"/>
    </row>
    <row r="437" spans="6:6" ht="25.35" customHeight="1">
      <c r="F437" s="261"/>
    </row>
    <row r="438" spans="6:6" ht="25.35" customHeight="1">
      <c r="F438" s="261"/>
    </row>
    <row r="439" spans="6:6" ht="25.35" customHeight="1">
      <c r="F439" s="261"/>
    </row>
    <row r="440" spans="6:6" ht="25.35" customHeight="1">
      <c r="F440" s="261"/>
    </row>
    <row r="441" spans="6:6" ht="25.35" customHeight="1">
      <c r="F441" s="261"/>
    </row>
    <row r="442" spans="6:6" ht="25.35" customHeight="1">
      <c r="F442" s="261"/>
    </row>
    <row r="443" spans="6:6" ht="25.35" customHeight="1">
      <c r="F443" s="261"/>
    </row>
    <row r="444" spans="6:6" ht="25.35" customHeight="1">
      <c r="F444" s="261"/>
    </row>
    <row r="445" spans="6:6" ht="25.35" customHeight="1">
      <c r="F445" s="261"/>
    </row>
    <row r="446" spans="6:6" ht="25.35" customHeight="1">
      <c r="F446" s="261"/>
    </row>
    <row r="447" spans="6:6" ht="25.35" customHeight="1">
      <c r="F447" s="261"/>
    </row>
    <row r="448" spans="6:6" ht="25.35" customHeight="1">
      <c r="F448" s="261"/>
    </row>
    <row r="449" spans="6:6" ht="25.35" customHeight="1">
      <c r="F449" s="261"/>
    </row>
    <row r="450" spans="6:6" ht="25.35" customHeight="1">
      <c r="F450" s="261"/>
    </row>
    <row r="451" spans="6:6" ht="25.35" customHeight="1">
      <c r="F451" s="261"/>
    </row>
    <row r="452" spans="6:6" ht="25.35" customHeight="1">
      <c r="F452" s="261"/>
    </row>
    <row r="453" spans="6:6" ht="25.35" customHeight="1">
      <c r="F453" s="261"/>
    </row>
    <row r="454" spans="6:6" ht="25.35" customHeight="1">
      <c r="F454" s="261"/>
    </row>
    <row r="455" spans="6:6" ht="25.35" customHeight="1">
      <c r="F455" s="261"/>
    </row>
    <row r="456" spans="6:6" ht="25.35" customHeight="1">
      <c r="F456" s="261"/>
    </row>
    <row r="457" spans="6:6" ht="25.35" customHeight="1">
      <c r="F457" s="261"/>
    </row>
    <row r="458" spans="6:6" ht="25.35" customHeight="1">
      <c r="F458" s="261"/>
    </row>
    <row r="459" spans="6:6">
      <c r="F459" s="261"/>
    </row>
    <row r="460" spans="6:6">
      <c r="F460" s="261"/>
    </row>
    <row r="461" spans="6:6">
      <c r="F461" s="261"/>
    </row>
    <row r="462" spans="6:6">
      <c r="F462" s="261"/>
    </row>
    <row r="463" spans="6:6">
      <c r="F463" s="261"/>
    </row>
    <row r="464" spans="6:6">
      <c r="F464" s="261"/>
    </row>
    <row r="465" spans="6:6">
      <c r="F465" s="261"/>
    </row>
    <row r="466" spans="6:6">
      <c r="F466" s="261"/>
    </row>
    <row r="467" spans="6:6">
      <c r="F467" s="261"/>
    </row>
    <row r="468" spans="6:6">
      <c r="F468" s="261"/>
    </row>
    <row r="469" spans="6:6">
      <c r="F469" s="261"/>
    </row>
    <row r="470" spans="6:6">
      <c r="F470" s="261"/>
    </row>
    <row r="471" spans="6:6">
      <c r="F471" s="261"/>
    </row>
    <row r="472" spans="6:6">
      <c r="F472" s="261"/>
    </row>
    <row r="473" spans="6:6">
      <c r="F473" s="261"/>
    </row>
    <row r="474" spans="6:6">
      <c r="F474" s="261"/>
    </row>
    <row r="475" spans="6:6">
      <c r="F475" s="261"/>
    </row>
    <row r="476" spans="6:6">
      <c r="F476" s="261"/>
    </row>
    <row r="477" spans="6:6">
      <c r="F477" s="261"/>
    </row>
    <row r="478" spans="6:6">
      <c r="F478" s="261"/>
    </row>
    <row r="479" spans="6:6">
      <c r="F479" s="261"/>
    </row>
    <row r="480" spans="6:6">
      <c r="F480" s="261"/>
    </row>
    <row r="481" spans="6:6">
      <c r="F481" s="261"/>
    </row>
    <row r="482" spans="6:6">
      <c r="F482" s="261"/>
    </row>
    <row r="483" spans="6:6">
      <c r="F483" s="261"/>
    </row>
    <row r="484" spans="6:6">
      <c r="F484" s="261"/>
    </row>
    <row r="485" spans="6:6">
      <c r="F485" s="261"/>
    </row>
    <row r="486" spans="6:6">
      <c r="F486" s="261"/>
    </row>
    <row r="487" spans="6:6">
      <c r="F487" s="261"/>
    </row>
    <row r="488" spans="6:6">
      <c r="F488" s="261"/>
    </row>
    <row r="489" spans="6:6">
      <c r="F489" s="261"/>
    </row>
    <row r="490" spans="6:6">
      <c r="F490" s="261"/>
    </row>
    <row r="491" spans="6:6">
      <c r="F491" s="261"/>
    </row>
    <row r="492" spans="6:6">
      <c r="F492" s="261"/>
    </row>
    <row r="493" spans="6:6">
      <c r="F493" s="261"/>
    </row>
    <row r="494" spans="6:6">
      <c r="F494" s="261"/>
    </row>
    <row r="495" spans="6:6">
      <c r="F495" s="261"/>
    </row>
    <row r="496" spans="6:6">
      <c r="F496" s="261"/>
    </row>
    <row r="497" spans="6:6">
      <c r="F497" s="261"/>
    </row>
    <row r="498" spans="6:6">
      <c r="F498" s="261"/>
    </row>
    <row r="499" spans="6:6">
      <c r="F499" s="261"/>
    </row>
    <row r="500" spans="6:6">
      <c r="F500" s="261"/>
    </row>
    <row r="501" spans="6:6">
      <c r="F501" s="261"/>
    </row>
    <row r="502" spans="6:6">
      <c r="F502" s="261"/>
    </row>
    <row r="503" spans="6:6">
      <c r="F503" s="261"/>
    </row>
    <row r="504" spans="6:6">
      <c r="F504" s="261"/>
    </row>
    <row r="505" spans="6:6">
      <c r="F505" s="261"/>
    </row>
    <row r="506" spans="6:6">
      <c r="F506" s="261"/>
    </row>
    <row r="507" spans="6:6">
      <c r="F507" s="261"/>
    </row>
    <row r="508" spans="6:6">
      <c r="F508" s="261"/>
    </row>
    <row r="509" spans="6:6">
      <c r="F509" s="261"/>
    </row>
    <row r="510" spans="6:6">
      <c r="F510" s="261"/>
    </row>
    <row r="511" spans="6:6">
      <c r="F511" s="261"/>
    </row>
    <row r="512" spans="6:6">
      <c r="F512" s="261"/>
    </row>
    <row r="513" spans="6:6">
      <c r="F513" s="261"/>
    </row>
    <row r="514" spans="6:6">
      <c r="F514" s="261"/>
    </row>
    <row r="515" spans="6:6">
      <c r="F515" s="261"/>
    </row>
    <row r="516" spans="6:6">
      <c r="F516" s="261"/>
    </row>
    <row r="517" spans="6:6">
      <c r="F517" s="261"/>
    </row>
    <row r="518" spans="6:6">
      <c r="F518" s="261"/>
    </row>
    <row r="519" spans="6:6">
      <c r="F519" s="261"/>
    </row>
    <row r="520" spans="6:6">
      <c r="F520" s="261"/>
    </row>
    <row r="521" spans="6:6">
      <c r="F521" s="261"/>
    </row>
    <row r="522" spans="6:6">
      <c r="F522" s="261"/>
    </row>
    <row r="523" spans="6:6">
      <c r="F523" s="261"/>
    </row>
    <row r="524" spans="6:6">
      <c r="F524" s="261"/>
    </row>
    <row r="525" spans="6:6">
      <c r="F525" s="261"/>
    </row>
    <row r="526" spans="6:6">
      <c r="F526" s="261"/>
    </row>
    <row r="527" spans="6:6">
      <c r="F527" s="261"/>
    </row>
    <row r="528" spans="6:6">
      <c r="F528" s="261"/>
    </row>
    <row r="529" spans="6:6">
      <c r="F529" s="261"/>
    </row>
    <row r="530" spans="6:6">
      <c r="F530" s="261"/>
    </row>
    <row r="531" spans="6:6">
      <c r="F531" s="261"/>
    </row>
    <row r="532" spans="6:6">
      <c r="F532" s="261"/>
    </row>
    <row r="533" spans="6:6">
      <c r="F533" s="261"/>
    </row>
    <row r="534" spans="6:6">
      <c r="F534" s="261"/>
    </row>
    <row r="535" spans="6:6">
      <c r="F535" s="261"/>
    </row>
    <row r="536" spans="6:6">
      <c r="F536" s="261"/>
    </row>
    <row r="537" spans="6:6">
      <c r="F537" s="261"/>
    </row>
    <row r="538" spans="6:6">
      <c r="F538" s="261"/>
    </row>
    <row r="539" spans="6:6">
      <c r="F539" s="261"/>
    </row>
    <row r="540" spans="6:6">
      <c r="F540" s="261"/>
    </row>
    <row r="541" spans="6:6">
      <c r="F541" s="261"/>
    </row>
    <row r="542" spans="6:6">
      <c r="F542" s="261"/>
    </row>
    <row r="543" spans="6:6">
      <c r="F543" s="261"/>
    </row>
    <row r="544" spans="6:6">
      <c r="F544" s="261"/>
    </row>
    <row r="545" spans="6:6">
      <c r="F545" s="261"/>
    </row>
    <row r="546" spans="6:6">
      <c r="F546" s="261"/>
    </row>
    <row r="547" spans="6:6">
      <c r="F547" s="261"/>
    </row>
    <row r="548" spans="6:6">
      <c r="F548" s="261"/>
    </row>
    <row r="549" spans="6:6">
      <c r="F549" s="261"/>
    </row>
    <row r="550" spans="6:6">
      <c r="F550" s="261"/>
    </row>
    <row r="551" spans="6:6">
      <c r="F551" s="261"/>
    </row>
    <row r="552" spans="6:6">
      <c r="F552" s="261"/>
    </row>
    <row r="553" spans="6:6">
      <c r="F553" s="261"/>
    </row>
    <row r="554" spans="6:6">
      <c r="F554" s="261"/>
    </row>
    <row r="555" spans="6:6">
      <c r="F555" s="261"/>
    </row>
    <row r="556" spans="6:6">
      <c r="F556" s="261"/>
    </row>
    <row r="557" spans="6:6">
      <c r="F557" s="261"/>
    </row>
    <row r="558" spans="6:6">
      <c r="F558" s="261"/>
    </row>
    <row r="559" spans="6:6">
      <c r="F559" s="261"/>
    </row>
    <row r="560" spans="6:6">
      <c r="F560" s="261"/>
    </row>
    <row r="561" spans="6:6">
      <c r="F561" s="261"/>
    </row>
    <row r="562" spans="6:6">
      <c r="F562" s="261"/>
    </row>
    <row r="563" spans="6:6">
      <c r="F563" s="261"/>
    </row>
    <row r="564" spans="6:6">
      <c r="F564" s="261"/>
    </row>
    <row r="565" spans="6:6">
      <c r="F565" s="261"/>
    </row>
    <row r="566" spans="6:6">
      <c r="F566" s="261"/>
    </row>
    <row r="567" spans="6:6">
      <c r="F567" s="261"/>
    </row>
    <row r="568" spans="6:6">
      <c r="F568" s="261"/>
    </row>
    <row r="569" spans="6:6">
      <c r="F569" s="261"/>
    </row>
    <row r="570" spans="6:6">
      <c r="F570" s="261"/>
    </row>
    <row r="571" spans="6:6">
      <c r="F571" s="261"/>
    </row>
    <row r="572" spans="6:6">
      <c r="F572" s="261"/>
    </row>
    <row r="573" spans="6:6">
      <c r="F573" s="261"/>
    </row>
    <row r="574" spans="6:6">
      <c r="F574" s="261"/>
    </row>
    <row r="575" spans="6:6">
      <c r="F575" s="261"/>
    </row>
    <row r="576" spans="6:6">
      <c r="F576" s="261"/>
    </row>
    <row r="577" spans="6:6">
      <c r="F577" s="261"/>
    </row>
    <row r="578" spans="6:6">
      <c r="F578" s="261"/>
    </row>
    <row r="579" spans="6:6">
      <c r="F579" s="261"/>
    </row>
    <row r="580" spans="6:6">
      <c r="F580" s="261"/>
    </row>
    <row r="581" spans="6:6">
      <c r="F581" s="261"/>
    </row>
    <row r="582" spans="6:6">
      <c r="F582" s="261"/>
    </row>
    <row r="583" spans="6:6">
      <c r="F583" s="261"/>
    </row>
    <row r="584" spans="6:6">
      <c r="F584" s="261"/>
    </row>
    <row r="585" spans="6:6">
      <c r="F585" s="261"/>
    </row>
    <row r="586" spans="6:6">
      <c r="F586" s="261"/>
    </row>
    <row r="587" spans="6:6">
      <c r="F587" s="261"/>
    </row>
    <row r="588" spans="6:6">
      <c r="F588" s="261"/>
    </row>
    <row r="589" spans="6:6">
      <c r="F589" s="261"/>
    </row>
    <row r="590" spans="6:6">
      <c r="F590" s="261"/>
    </row>
    <row r="591" spans="6:6">
      <c r="F591" s="261"/>
    </row>
    <row r="592" spans="6:6">
      <c r="F592" s="261"/>
    </row>
    <row r="593" spans="6:6">
      <c r="F593" s="261"/>
    </row>
    <row r="594" spans="6:6">
      <c r="F594" s="261"/>
    </row>
    <row r="595" spans="6:6">
      <c r="F595" s="261"/>
    </row>
    <row r="596" spans="6:6">
      <c r="F596" s="261"/>
    </row>
    <row r="597" spans="6:6">
      <c r="F597" s="261"/>
    </row>
    <row r="598" spans="6:6">
      <c r="F598" s="261"/>
    </row>
    <row r="599" spans="6:6">
      <c r="F599" s="261"/>
    </row>
    <row r="600" spans="6:6">
      <c r="F600" s="261"/>
    </row>
    <row r="601" spans="6:6">
      <c r="F601" s="261"/>
    </row>
    <row r="602" spans="6:6">
      <c r="F602" s="261"/>
    </row>
    <row r="603" spans="6:6">
      <c r="F603" s="261"/>
    </row>
    <row r="604" spans="6:6">
      <c r="F604" s="261"/>
    </row>
    <row r="605" spans="6:6">
      <c r="F605" s="261"/>
    </row>
    <row r="606" spans="6:6">
      <c r="F606" s="261"/>
    </row>
    <row r="607" spans="6:6">
      <c r="F607" s="261"/>
    </row>
    <row r="608" spans="6:6">
      <c r="F608" s="261"/>
    </row>
    <row r="609" spans="6:6">
      <c r="F609" s="261"/>
    </row>
    <row r="610" spans="6:6">
      <c r="F610" s="261"/>
    </row>
    <row r="611" spans="6:6">
      <c r="F611" s="261"/>
    </row>
    <row r="612" spans="6:6">
      <c r="F612" s="261"/>
    </row>
    <row r="613" spans="6:6">
      <c r="F613" s="261"/>
    </row>
    <row r="614" spans="6:6">
      <c r="F614" s="261"/>
    </row>
    <row r="615" spans="6:6">
      <c r="F615" s="261"/>
    </row>
    <row r="616" spans="6:6">
      <c r="F616" s="261"/>
    </row>
    <row r="617" spans="6:6">
      <c r="F617" s="261"/>
    </row>
    <row r="618" spans="6:6">
      <c r="F618" s="261"/>
    </row>
    <row r="619" spans="6:6">
      <c r="F619" s="261"/>
    </row>
    <row r="620" spans="6:6">
      <c r="F620" s="261"/>
    </row>
    <row r="621" spans="6:6">
      <c r="F621" s="261"/>
    </row>
    <row r="622" spans="6:6">
      <c r="F622" s="261"/>
    </row>
    <row r="623" spans="6:6">
      <c r="F623" s="261"/>
    </row>
    <row r="624" spans="6:6">
      <c r="F624" s="261"/>
    </row>
    <row r="625" spans="6:6">
      <c r="F625" s="261"/>
    </row>
    <row r="626" spans="6:6">
      <c r="F626" s="261"/>
    </row>
    <row r="627" spans="6:6">
      <c r="F627" s="261"/>
    </row>
    <row r="628" spans="6:6">
      <c r="F628" s="261"/>
    </row>
    <row r="629" spans="6:6">
      <c r="F629" s="261"/>
    </row>
    <row r="630" spans="6:6">
      <c r="F630" s="261"/>
    </row>
    <row r="631" spans="6:6">
      <c r="F631" s="261"/>
    </row>
    <row r="632" spans="6:6">
      <c r="F632" s="261"/>
    </row>
    <row r="633" spans="6:6">
      <c r="F633" s="261"/>
    </row>
    <row r="634" spans="6:6">
      <c r="F634" s="261"/>
    </row>
    <row r="635" spans="6:6">
      <c r="F635" s="261"/>
    </row>
    <row r="636" spans="6:6">
      <c r="F636" s="261"/>
    </row>
    <row r="637" spans="6:6">
      <c r="F637" s="261"/>
    </row>
    <row r="638" spans="6:6">
      <c r="F638" s="261"/>
    </row>
    <row r="639" spans="6:6">
      <c r="F639" s="261"/>
    </row>
    <row r="640" spans="6:6">
      <c r="F640" s="261"/>
    </row>
    <row r="641" spans="6:6">
      <c r="F641" s="261"/>
    </row>
    <row r="642" spans="6:6">
      <c r="F642" s="261"/>
    </row>
    <row r="643" spans="6:6">
      <c r="F643" s="261"/>
    </row>
    <row r="644" spans="6:6">
      <c r="F644" s="261"/>
    </row>
    <row r="645" spans="6:6">
      <c r="F645" s="261"/>
    </row>
    <row r="646" spans="6:6">
      <c r="F646" s="261"/>
    </row>
    <row r="647" spans="6:6">
      <c r="F647" s="261"/>
    </row>
    <row r="648" spans="6:6">
      <c r="F648" s="261"/>
    </row>
    <row r="649" spans="6:6">
      <c r="F649" s="261"/>
    </row>
    <row r="650" spans="6:6">
      <c r="F650" s="261"/>
    </row>
    <row r="651" spans="6:6">
      <c r="F651" s="261"/>
    </row>
    <row r="652" spans="6:6">
      <c r="F652" s="261"/>
    </row>
    <row r="653" spans="6:6">
      <c r="F653" s="261"/>
    </row>
    <row r="654" spans="6:6">
      <c r="F654" s="261"/>
    </row>
    <row r="655" spans="6:6">
      <c r="F655" s="261"/>
    </row>
    <row r="656" spans="6:6">
      <c r="F656" s="261"/>
    </row>
    <row r="657" spans="6:6">
      <c r="F657" s="261"/>
    </row>
    <row r="658" spans="6:6">
      <c r="F658" s="261"/>
    </row>
    <row r="659" spans="6:6">
      <c r="F659" s="261"/>
    </row>
    <row r="660" spans="6:6">
      <c r="F660" s="261"/>
    </row>
    <row r="661" spans="6:6">
      <c r="F661" s="261"/>
    </row>
    <row r="662" spans="6:6">
      <c r="F662" s="261"/>
    </row>
    <row r="663" spans="6:6">
      <c r="F663" s="261"/>
    </row>
    <row r="664" spans="6:6">
      <c r="F664" s="261"/>
    </row>
    <row r="665" spans="6:6">
      <c r="F665" s="261"/>
    </row>
    <row r="666" spans="6:6">
      <c r="F666" s="261"/>
    </row>
    <row r="667" spans="6:6">
      <c r="F667" s="261"/>
    </row>
    <row r="668" spans="6:6">
      <c r="F668" s="261"/>
    </row>
    <row r="669" spans="6:6">
      <c r="F669" s="261"/>
    </row>
    <row r="670" spans="6:6">
      <c r="F670" s="261"/>
    </row>
    <row r="671" spans="6:6">
      <c r="F671" s="261"/>
    </row>
    <row r="672" spans="6:6">
      <c r="F672" s="261"/>
    </row>
    <row r="673" spans="6:6">
      <c r="F673" s="261"/>
    </row>
    <row r="674" spans="6:6">
      <c r="F674" s="261"/>
    </row>
    <row r="675" spans="6:6">
      <c r="F675" s="261"/>
    </row>
    <row r="676" spans="6:6">
      <c r="F676" s="261"/>
    </row>
    <row r="677" spans="6:6">
      <c r="F677" s="261"/>
    </row>
    <row r="678" spans="6:6">
      <c r="F678" s="261"/>
    </row>
    <row r="679" spans="6:6">
      <c r="F679" s="261"/>
    </row>
    <row r="680" spans="6:6">
      <c r="F680" s="261"/>
    </row>
    <row r="681" spans="6:6">
      <c r="F681" s="261"/>
    </row>
    <row r="682" spans="6:6">
      <c r="F682" s="261"/>
    </row>
    <row r="683" spans="6:6">
      <c r="F683" s="261"/>
    </row>
    <row r="684" spans="6:6">
      <c r="F684" s="261"/>
    </row>
    <row r="685" spans="6:6">
      <c r="F685" s="261"/>
    </row>
    <row r="686" spans="6:6">
      <c r="F686" s="261"/>
    </row>
    <row r="687" spans="6:6">
      <c r="F687" s="261"/>
    </row>
    <row r="688" spans="6:6">
      <c r="F688" s="261"/>
    </row>
    <row r="689" spans="6:6">
      <c r="F689" s="261"/>
    </row>
    <row r="690" spans="6:6">
      <c r="F690" s="261"/>
    </row>
    <row r="691" spans="6:6">
      <c r="F691" s="261"/>
    </row>
    <row r="692" spans="6:6">
      <c r="F692" s="261"/>
    </row>
    <row r="693" spans="6:6">
      <c r="F693" s="261"/>
    </row>
    <row r="694" spans="6:6">
      <c r="F694" s="261"/>
    </row>
    <row r="695" spans="6:6">
      <c r="F695" s="261"/>
    </row>
    <row r="696" spans="6:6">
      <c r="F696" s="261"/>
    </row>
    <row r="697" spans="6:6">
      <c r="F697" s="261"/>
    </row>
    <row r="698" spans="6:6">
      <c r="F698" s="261"/>
    </row>
    <row r="699" spans="6:6">
      <c r="F699" s="261"/>
    </row>
    <row r="700" spans="6:6">
      <c r="F700" s="261"/>
    </row>
    <row r="701" spans="6:6">
      <c r="F701" s="261"/>
    </row>
    <row r="702" spans="6:6">
      <c r="F702" s="261"/>
    </row>
    <row r="703" spans="6:6">
      <c r="F703" s="261"/>
    </row>
    <row r="704" spans="6:6">
      <c r="F704" s="261"/>
    </row>
    <row r="705" spans="6:6">
      <c r="F705" s="261"/>
    </row>
    <row r="706" spans="6:6">
      <c r="F706" s="261"/>
    </row>
    <row r="707" spans="6:6">
      <c r="F707" s="261"/>
    </row>
    <row r="708" spans="6:6">
      <c r="F708" s="261"/>
    </row>
    <row r="709" spans="6:6">
      <c r="F709" s="261"/>
    </row>
    <row r="710" spans="6:6">
      <c r="F710" s="261"/>
    </row>
    <row r="711" spans="6:6">
      <c r="F711" s="261"/>
    </row>
    <row r="712" spans="6:6">
      <c r="F712" s="261"/>
    </row>
    <row r="713" spans="6:6">
      <c r="F713" s="261"/>
    </row>
    <row r="714" spans="6:6">
      <c r="F714" s="261"/>
    </row>
    <row r="715" spans="6:6">
      <c r="F715" s="261"/>
    </row>
    <row r="716" spans="6:6">
      <c r="F716" s="261"/>
    </row>
    <row r="717" spans="6:6">
      <c r="F717" s="261"/>
    </row>
    <row r="718" spans="6:6">
      <c r="F718" s="261"/>
    </row>
    <row r="719" spans="6:6">
      <c r="F719" s="261"/>
    </row>
    <row r="720" spans="6:6">
      <c r="F720" s="261"/>
    </row>
    <row r="721" spans="6:6">
      <c r="F721" s="261"/>
    </row>
    <row r="722" spans="6:6">
      <c r="F722" s="261"/>
    </row>
    <row r="723" spans="6:6">
      <c r="F723" s="261"/>
    </row>
    <row r="724" spans="6:6">
      <c r="F724" s="261"/>
    </row>
    <row r="725" spans="6:6">
      <c r="F725" s="261"/>
    </row>
    <row r="726" spans="6:6">
      <c r="F726" s="261"/>
    </row>
    <row r="727" spans="6:6">
      <c r="F727" s="261"/>
    </row>
    <row r="728" spans="6:6">
      <c r="F728" s="261"/>
    </row>
    <row r="729" spans="6:6">
      <c r="F729" s="261"/>
    </row>
    <row r="730" spans="6:6">
      <c r="F730" s="261"/>
    </row>
    <row r="731" spans="6:6">
      <c r="F731" s="261"/>
    </row>
    <row r="732" spans="6:6">
      <c r="F732" s="261"/>
    </row>
    <row r="733" spans="6:6">
      <c r="F733" s="261"/>
    </row>
    <row r="734" spans="6:6">
      <c r="F734" s="261"/>
    </row>
    <row r="735" spans="6:6">
      <c r="F735" s="261"/>
    </row>
    <row r="736" spans="6:6">
      <c r="F736" s="261"/>
    </row>
    <row r="737" spans="6:6">
      <c r="F737" s="261"/>
    </row>
    <row r="738" spans="6:6">
      <c r="F738" s="261"/>
    </row>
    <row r="739" spans="6:6">
      <c r="F739" s="261"/>
    </row>
    <row r="740" spans="6:6">
      <c r="F740" s="261"/>
    </row>
    <row r="741" spans="6:6">
      <c r="F741" s="261"/>
    </row>
    <row r="742" spans="6:6">
      <c r="F742" s="261"/>
    </row>
    <row r="743" spans="6:6">
      <c r="F743" s="261"/>
    </row>
    <row r="744" spans="6:6">
      <c r="F744" s="261"/>
    </row>
    <row r="745" spans="6:6">
      <c r="F745" s="261"/>
    </row>
    <row r="746" spans="6:6">
      <c r="F746" s="261"/>
    </row>
    <row r="747" spans="6:6">
      <c r="F747" s="261"/>
    </row>
    <row r="748" spans="6:6">
      <c r="F748" s="261"/>
    </row>
    <row r="749" spans="6:6">
      <c r="F749" s="261"/>
    </row>
    <row r="750" spans="6:6">
      <c r="F750" s="261"/>
    </row>
    <row r="751" spans="6:6">
      <c r="F751" s="261"/>
    </row>
    <row r="752" spans="6:6">
      <c r="F752" s="261"/>
    </row>
    <row r="753" spans="6:6">
      <c r="F753" s="261"/>
    </row>
    <row r="754" spans="6:6">
      <c r="F754" s="261"/>
    </row>
    <row r="755" spans="6:6">
      <c r="F755" s="261"/>
    </row>
    <row r="756" spans="6:6">
      <c r="F756" s="261"/>
    </row>
    <row r="757" spans="6:6">
      <c r="F757" s="261"/>
    </row>
    <row r="758" spans="6:6">
      <c r="F758" s="261"/>
    </row>
    <row r="759" spans="6:6">
      <c r="F759" s="261"/>
    </row>
    <row r="760" spans="6:6">
      <c r="F760" s="261"/>
    </row>
    <row r="761" spans="6:6">
      <c r="F761" s="261"/>
    </row>
    <row r="762" spans="6:6">
      <c r="F762" s="261"/>
    </row>
    <row r="763" spans="6:6">
      <c r="F763" s="261"/>
    </row>
    <row r="764" spans="6:6">
      <c r="F764" s="261"/>
    </row>
    <row r="765" spans="6:6">
      <c r="F765" s="261"/>
    </row>
    <row r="766" spans="6:6">
      <c r="F766" s="261"/>
    </row>
    <row r="767" spans="6:6">
      <c r="F767" s="261"/>
    </row>
    <row r="768" spans="6:6">
      <c r="F768" s="261"/>
    </row>
    <row r="769" spans="6:6">
      <c r="F769" s="261"/>
    </row>
    <row r="770" spans="6:6">
      <c r="F770" s="261"/>
    </row>
    <row r="771" spans="6:6">
      <c r="F771" s="261"/>
    </row>
    <row r="772" spans="6:6">
      <c r="F772" s="261"/>
    </row>
    <row r="773" spans="6:6">
      <c r="F773" s="261"/>
    </row>
    <row r="774" spans="6:6">
      <c r="F774" s="261"/>
    </row>
    <row r="775" spans="6:6">
      <c r="F775" s="261"/>
    </row>
    <row r="776" spans="6:6">
      <c r="F776" s="261"/>
    </row>
    <row r="777" spans="6:6">
      <c r="F777" s="261"/>
    </row>
    <row r="778" spans="6:6">
      <c r="F778" s="261"/>
    </row>
    <row r="779" spans="6:6">
      <c r="F779" s="261"/>
    </row>
    <row r="780" spans="6:6">
      <c r="F780" s="261"/>
    </row>
    <row r="781" spans="6:6">
      <c r="F781" s="261"/>
    </row>
    <row r="782" spans="6:6">
      <c r="F782" s="261"/>
    </row>
    <row r="783" spans="6:6">
      <c r="F783" s="261"/>
    </row>
    <row r="784" spans="6:6">
      <c r="F784" s="261"/>
    </row>
    <row r="785" spans="6:6">
      <c r="F785" s="261"/>
    </row>
    <row r="786" spans="6:6">
      <c r="F786" s="261"/>
    </row>
    <row r="787" spans="6:6">
      <c r="F787" s="261"/>
    </row>
    <row r="788" spans="6:6">
      <c r="F788" s="261"/>
    </row>
    <row r="789" spans="6:6">
      <c r="F789" s="261"/>
    </row>
    <row r="790" spans="6:6">
      <c r="F790" s="261"/>
    </row>
    <row r="791" spans="6:6">
      <c r="F791" s="261"/>
    </row>
    <row r="792" spans="6:6">
      <c r="F792" s="261"/>
    </row>
    <row r="793" spans="6:6">
      <c r="F793" s="261"/>
    </row>
    <row r="794" spans="6:6">
      <c r="F794" s="261"/>
    </row>
    <row r="795" spans="6:6">
      <c r="F795" s="261"/>
    </row>
    <row r="796" spans="6:6">
      <c r="F796" s="261"/>
    </row>
    <row r="797" spans="6:6">
      <c r="F797" s="261"/>
    </row>
    <row r="798" spans="6:6">
      <c r="F798" s="261"/>
    </row>
    <row r="799" spans="6:6">
      <c r="F799" s="261"/>
    </row>
    <row r="800" spans="6:6">
      <c r="F800" s="261"/>
    </row>
    <row r="801" spans="6:6">
      <c r="F801" s="261"/>
    </row>
    <row r="802" spans="6:6">
      <c r="F802" s="261"/>
    </row>
    <row r="803" spans="6:6">
      <c r="F803" s="261"/>
    </row>
    <row r="804" spans="6:6">
      <c r="F804" s="261"/>
    </row>
    <row r="805" spans="6:6">
      <c r="F805" s="261"/>
    </row>
    <row r="806" spans="6:6">
      <c r="F806" s="261"/>
    </row>
    <row r="807" spans="6:6">
      <c r="F807" s="261"/>
    </row>
    <row r="808" spans="6:6">
      <c r="F808" s="261"/>
    </row>
    <row r="809" spans="6:6">
      <c r="F809" s="261"/>
    </row>
    <row r="810" spans="6:6">
      <c r="F810" s="261"/>
    </row>
    <row r="811" spans="6:6">
      <c r="F811" s="261"/>
    </row>
    <row r="812" spans="6:6">
      <c r="F812" s="261"/>
    </row>
    <row r="813" spans="6:6">
      <c r="F813" s="261"/>
    </row>
    <row r="814" spans="6:6">
      <c r="F814" s="261"/>
    </row>
    <row r="815" spans="6:6">
      <c r="F815" s="261"/>
    </row>
    <row r="816" spans="6:6">
      <c r="F816" s="261"/>
    </row>
    <row r="817" spans="6:6">
      <c r="F817" s="261"/>
    </row>
    <row r="818" spans="6:6">
      <c r="F818" s="261"/>
    </row>
    <row r="819" spans="6:6">
      <c r="F819" s="261"/>
    </row>
    <row r="820" spans="6:6">
      <c r="F820" s="261"/>
    </row>
    <row r="821" spans="6:6">
      <c r="F821" s="261"/>
    </row>
    <row r="822" spans="6:6">
      <c r="F822" s="261"/>
    </row>
    <row r="823" spans="6:6">
      <c r="F823" s="261"/>
    </row>
    <row r="824" spans="6:6">
      <c r="F824" s="261"/>
    </row>
    <row r="825" spans="6:6">
      <c r="F825" s="261"/>
    </row>
    <row r="826" spans="6:6">
      <c r="F826" s="261"/>
    </row>
    <row r="827" spans="6:6">
      <c r="F827" s="261"/>
    </row>
    <row r="828" spans="6:6">
      <c r="F828" s="261"/>
    </row>
    <row r="829" spans="6:6">
      <c r="F829" s="261"/>
    </row>
    <row r="830" spans="6:6">
      <c r="F830" s="261"/>
    </row>
    <row r="831" spans="6:6">
      <c r="F831" s="261"/>
    </row>
    <row r="832" spans="6:6">
      <c r="F832" s="261"/>
    </row>
    <row r="833" spans="6:6">
      <c r="F833" s="261"/>
    </row>
    <row r="834" spans="6:6">
      <c r="F834" s="261"/>
    </row>
    <row r="835" spans="6:6">
      <c r="F835" s="261"/>
    </row>
    <row r="836" spans="6:6">
      <c r="F836" s="261"/>
    </row>
    <row r="837" spans="6:6">
      <c r="F837" s="261"/>
    </row>
    <row r="838" spans="6:6">
      <c r="F838" s="261"/>
    </row>
    <row r="839" spans="6:6">
      <c r="F839" s="261"/>
    </row>
    <row r="840" spans="6:6">
      <c r="F840" s="261"/>
    </row>
    <row r="841" spans="6:6">
      <c r="F841" s="261"/>
    </row>
    <row r="842" spans="6:6">
      <c r="F842" s="261"/>
    </row>
    <row r="843" spans="6:6">
      <c r="F843" s="261"/>
    </row>
    <row r="844" spans="6:6">
      <c r="F844" s="261"/>
    </row>
    <row r="845" spans="6:6">
      <c r="F845" s="261"/>
    </row>
    <row r="846" spans="6:6">
      <c r="F846" s="261"/>
    </row>
    <row r="847" spans="6:6">
      <c r="F847" s="261"/>
    </row>
    <row r="848" spans="6:6">
      <c r="F848" s="261"/>
    </row>
    <row r="849" spans="6:6">
      <c r="F849" s="261"/>
    </row>
    <row r="850" spans="6:6">
      <c r="F850" s="261"/>
    </row>
    <row r="851" spans="6:6">
      <c r="F851" s="261"/>
    </row>
    <row r="852" spans="6:6">
      <c r="F852" s="261"/>
    </row>
    <row r="853" spans="6:6">
      <c r="F853" s="261"/>
    </row>
    <row r="854" spans="6:6">
      <c r="F854" s="261"/>
    </row>
    <row r="855" spans="6:6">
      <c r="F855" s="261"/>
    </row>
    <row r="856" spans="6:6">
      <c r="F856" s="261"/>
    </row>
    <row r="857" spans="6:6">
      <c r="F857" s="261"/>
    </row>
    <row r="858" spans="6:6">
      <c r="F858" s="261"/>
    </row>
    <row r="859" spans="6:6">
      <c r="F859" s="261"/>
    </row>
    <row r="860" spans="6:6">
      <c r="F860" s="261"/>
    </row>
    <row r="861" spans="6:6">
      <c r="F861" s="261"/>
    </row>
    <row r="862" spans="6:6">
      <c r="F862" s="261"/>
    </row>
    <row r="863" spans="6:6">
      <c r="F863" s="261"/>
    </row>
    <row r="864" spans="6:6">
      <c r="F864" s="261"/>
    </row>
    <row r="865" spans="6:6">
      <c r="F865" s="261"/>
    </row>
    <row r="866" spans="6:6">
      <c r="F866" s="261"/>
    </row>
    <row r="867" spans="6:6">
      <c r="F867" s="261"/>
    </row>
    <row r="868" spans="6:6">
      <c r="F868" s="261"/>
    </row>
    <row r="869" spans="6:6">
      <c r="F869" s="261"/>
    </row>
    <row r="870" spans="6:6">
      <c r="F870" s="261"/>
    </row>
    <row r="871" spans="6:6">
      <c r="F871" s="261"/>
    </row>
    <row r="872" spans="6:6">
      <c r="F872" s="261"/>
    </row>
    <row r="873" spans="6:6">
      <c r="F873" s="261"/>
    </row>
    <row r="874" spans="6:6">
      <c r="F874" s="261"/>
    </row>
    <row r="875" spans="6:6">
      <c r="F875" s="261"/>
    </row>
    <row r="876" spans="6:6">
      <c r="F876" s="261"/>
    </row>
    <row r="877" spans="6:6">
      <c r="F877" s="261"/>
    </row>
    <row r="878" spans="6:6">
      <c r="F878" s="261"/>
    </row>
    <row r="879" spans="6:6">
      <c r="F879" s="261"/>
    </row>
    <row r="880" spans="6:6">
      <c r="F880" s="261"/>
    </row>
    <row r="881" spans="6:6">
      <c r="F881" s="261"/>
    </row>
    <row r="882" spans="6:6">
      <c r="F882" s="261"/>
    </row>
    <row r="883" spans="6:6">
      <c r="F883" s="261"/>
    </row>
    <row r="884" spans="6:6">
      <c r="F884" s="261"/>
    </row>
    <row r="885" spans="6:6">
      <c r="F885" s="261"/>
    </row>
    <row r="886" spans="6:6">
      <c r="F886" s="261"/>
    </row>
    <row r="887" spans="6:6">
      <c r="F887" s="261"/>
    </row>
    <row r="888" spans="6:6">
      <c r="F888" s="261"/>
    </row>
    <row r="889" spans="6:6">
      <c r="F889" s="261"/>
    </row>
    <row r="890" spans="6:6">
      <c r="F890" s="261"/>
    </row>
    <row r="891" spans="6:6">
      <c r="F891" s="261"/>
    </row>
    <row r="892" spans="6:6">
      <c r="F892" s="261"/>
    </row>
    <row r="893" spans="6:6">
      <c r="F893" s="261"/>
    </row>
    <row r="894" spans="6:6">
      <c r="F894" s="261"/>
    </row>
    <row r="895" spans="6:6">
      <c r="F895" s="261"/>
    </row>
    <row r="896" spans="6:6">
      <c r="F896" s="261"/>
    </row>
    <row r="897" spans="6:6">
      <c r="F897" s="261"/>
    </row>
    <row r="898" spans="6:6">
      <c r="F898" s="261"/>
    </row>
    <row r="899" spans="6:6">
      <c r="F899" s="261"/>
    </row>
    <row r="900" spans="6:6">
      <c r="F900" s="261"/>
    </row>
    <row r="901" spans="6:6">
      <c r="F901" s="261"/>
    </row>
    <row r="902" spans="6:6">
      <c r="F902" s="261"/>
    </row>
    <row r="903" spans="6:6">
      <c r="F903" s="261"/>
    </row>
    <row r="904" spans="6:6">
      <c r="F904" s="261"/>
    </row>
    <row r="905" spans="6:6">
      <c r="F905" s="261"/>
    </row>
    <row r="906" spans="6:6">
      <c r="F906" s="261"/>
    </row>
    <row r="907" spans="6:6">
      <c r="F907" s="261"/>
    </row>
    <row r="908" spans="6:6">
      <c r="F908" s="261"/>
    </row>
    <row r="909" spans="6:6">
      <c r="F909" s="261"/>
    </row>
    <row r="910" spans="6:6">
      <c r="F910" s="261"/>
    </row>
    <row r="911" spans="6:6">
      <c r="F911" s="261"/>
    </row>
    <row r="912" spans="6:6">
      <c r="F912" s="261"/>
    </row>
    <row r="913" spans="6:6">
      <c r="F913" s="261"/>
    </row>
    <row r="914" spans="6:6">
      <c r="F914" s="261"/>
    </row>
    <row r="915" spans="6:6">
      <c r="F915" s="261"/>
    </row>
    <row r="916" spans="6:6">
      <c r="F916" s="261"/>
    </row>
    <row r="917" spans="6:6">
      <c r="F917" s="261"/>
    </row>
    <row r="918" spans="6:6">
      <c r="F918" s="261"/>
    </row>
    <row r="919" spans="6:6">
      <c r="F919" s="261"/>
    </row>
    <row r="920" spans="6:6">
      <c r="F920" s="261"/>
    </row>
    <row r="921" spans="6:6">
      <c r="F921" s="261"/>
    </row>
    <row r="922" spans="6:6">
      <c r="F922" s="261"/>
    </row>
    <row r="923" spans="6:6">
      <c r="F923" s="261"/>
    </row>
    <row r="924" spans="6:6">
      <c r="F924" s="261"/>
    </row>
    <row r="925" spans="6:6">
      <c r="F925" s="261"/>
    </row>
    <row r="926" spans="6:6">
      <c r="F926" s="261"/>
    </row>
    <row r="927" spans="6:6">
      <c r="F927" s="261"/>
    </row>
    <row r="928" spans="6:6">
      <c r="F928" s="261"/>
    </row>
    <row r="929" spans="6:6">
      <c r="F929" s="261"/>
    </row>
    <row r="930" spans="6:6">
      <c r="F930" s="261"/>
    </row>
    <row r="931" spans="6:6">
      <c r="F931" s="261"/>
    </row>
    <row r="932" spans="6:6">
      <c r="F932" s="261"/>
    </row>
    <row r="933" spans="6:6">
      <c r="F933" s="261"/>
    </row>
    <row r="934" spans="6:6">
      <c r="F934" s="261"/>
    </row>
    <row r="935" spans="6:6">
      <c r="F935" s="261"/>
    </row>
    <row r="936" spans="6:6">
      <c r="F936" s="261"/>
    </row>
    <row r="937" spans="6:6">
      <c r="F937" s="261"/>
    </row>
    <row r="938" spans="6:6">
      <c r="F938" s="261"/>
    </row>
    <row r="939" spans="6:6">
      <c r="F939" s="261"/>
    </row>
    <row r="940" spans="6:6">
      <c r="F940" s="261"/>
    </row>
    <row r="941" spans="6:6">
      <c r="F941" s="261"/>
    </row>
    <row r="942" spans="6:6">
      <c r="F942" s="261"/>
    </row>
    <row r="943" spans="6:6">
      <c r="F943" s="261"/>
    </row>
    <row r="944" spans="6:6">
      <c r="F944" s="261"/>
    </row>
    <row r="945" spans="6:6">
      <c r="F945" s="261"/>
    </row>
    <row r="946" spans="6:6">
      <c r="F946" s="261"/>
    </row>
    <row r="947" spans="6:6">
      <c r="F947" s="261"/>
    </row>
    <row r="948" spans="6:6">
      <c r="F948" s="261"/>
    </row>
    <row r="949" spans="6:6">
      <c r="F949" s="261"/>
    </row>
    <row r="950" spans="6:6">
      <c r="F950" s="261"/>
    </row>
    <row r="951" spans="6:6">
      <c r="F951" s="261"/>
    </row>
    <row r="952" spans="6:6">
      <c r="F952" s="261"/>
    </row>
    <row r="953" spans="6:6">
      <c r="F953" s="261"/>
    </row>
    <row r="954" spans="6:6">
      <c r="F954" s="261"/>
    </row>
    <row r="955" spans="6:6">
      <c r="F955" s="261"/>
    </row>
    <row r="956" spans="6:6">
      <c r="F956" s="261"/>
    </row>
    <row r="957" spans="6:6">
      <c r="F957" s="261"/>
    </row>
    <row r="958" spans="6:6">
      <c r="F958" s="261"/>
    </row>
    <row r="959" spans="6:6">
      <c r="F959" s="261"/>
    </row>
    <row r="960" spans="6:6">
      <c r="F960" s="261"/>
    </row>
    <row r="961" spans="6:6">
      <c r="F961" s="261"/>
    </row>
    <row r="962" spans="6:6">
      <c r="F962" s="261"/>
    </row>
    <row r="963" spans="6:6">
      <c r="F963" s="261"/>
    </row>
    <row r="964" spans="6:6">
      <c r="F964" s="261"/>
    </row>
    <row r="965" spans="6:6">
      <c r="F965" s="261"/>
    </row>
    <row r="966" spans="6:6">
      <c r="F966" s="261"/>
    </row>
    <row r="967" spans="6:6">
      <c r="F967" s="261"/>
    </row>
    <row r="968" spans="6:6">
      <c r="F968" s="261"/>
    </row>
    <row r="969" spans="6:6">
      <c r="F969" s="261"/>
    </row>
    <row r="970" spans="6:6">
      <c r="F970" s="261"/>
    </row>
    <row r="971" spans="6:6">
      <c r="F971" s="261"/>
    </row>
    <row r="972" spans="6:6">
      <c r="F972" s="261"/>
    </row>
    <row r="973" spans="6:6">
      <c r="F973" s="261"/>
    </row>
    <row r="974" spans="6:6">
      <c r="F974" s="261"/>
    </row>
    <row r="975" spans="6:6">
      <c r="F975" s="261"/>
    </row>
    <row r="976" spans="6:6">
      <c r="F976" s="261"/>
    </row>
    <row r="977" spans="6:6">
      <c r="F977" s="261"/>
    </row>
    <row r="978" spans="6:6">
      <c r="F978" s="261"/>
    </row>
    <row r="979" spans="6:6">
      <c r="F979" s="261"/>
    </row>
    <row r="980" spans="6:6">
      <c r="F980" s="261"/>
    </row>
    <row r="981" spans="6:6">
      <c r="F981" s="261"/>
    </row>
    <row r="982" spans="6:6">
      <c r="F982" s="261"/>
    </row>
    <row r="983" spans="6:6">
      <c r="F983" s="261"/>
    </row>
    <row r="984" spans="6:6">
      <c r="F984" s="261"/>
    </row>
    <row r="985" spans="6:6">
      <c r="F985" s="261"/>
    </row>
    <row r="986" spans="6:6">
      <c r="F986" s="261"/>
    </row>
    <row r="987" spans="6:6">
      <c r="F987" s="261"/>
    </row>
    <row r="988" spans="6:6">
      <c r="F988" s="261"/>
    </row>
    <row r="989" spans="6:6">
      <c r="F989" s="261"/>
    </row>
    <row r="990" spans="6:6">
      <c r="F990" s="261"/>
    </row>
    <row r="991" spans="6:6">
      <c r="F991" s="261"/>
    </row>
    <row r="992" spans="6:6">
      <c r="F992" s="261"/>
    </row>
    <row r="993" spans="6:6">
      <c r="F993" s="261"/>
    </row>
    <row r="994" spans="6:6">
      <c r="F994" s="261"/>
    </row>
    <row r="995" spans="6:6">
      <c r="F995" s="261"/>
    </row>
    <row r="996" spans="6:6">
      <c r="F996" s="261"/>
    </row>
    <row r="997" spans="6:6">
      <c r="F997" s="261"/>
    </row>
    <row r="998" spans="6:6">
      <c r="F998" s="261"/>
    </row>
    <row r="999" spans="6:6">
      <c r="F999" s="261"/>
    </row>
    <row r="1000" spans="6:6">
      <c r="F1000" s="261"/>
    </row>
    <row r="1001" spans="6:6">
      <c r="F1001" s="261"/>
    </row>
    <row r="1002" spans="6:6">
      <c r="F1002" s="261"/>
    </row>
    <row r="1003" spans="6:6">
      <c r="F1003" s="261"/>
    </row>
    <row r="1004" spans="6:6">
      <c r="F1004" s="261"/>
    </row>
    <row r="1005" spans="6:6">
      <c r="F1005" s="261"/>
    </row>
    <row r="1006" spans="6:6">
      <c r="F1006" s="261"/>
    </row>
    <row r="1007" spans="6:6">
      <c r="F1007" s="261"/>
    </row>
    <row r="1008" spans="6:6">
      <c r="F1008" s="261"/>
    </row>
    <row r="1009" spans="6:6">
      <c r="F1009" s="261"/>
    </row>
    <row r="1010" spans="6:6">
      <c r="F1010" s="261"/>
    </row>
    <row r="1011" spans="6:6">
      <c r="F1011" s="261"/>
    </row>
    <row r="1012" spans="6:6">
      <c r="F1012" s="261"/>
    </row>
    <row r="1013" spans="6:6">
      <c r="F1013" s="261"/>
    </row>
    <row r="1014" spans="6:6">
      <c r="F1014" s="261"/>
    </row>
    <row r="1015" spans="6:6">
      <c r="F1015" s="261"/>
    </row>
    <row r="1016" spans="6:6">
      <c r="F1016" s="261"/>
    </row>
    <row r="1017" spans="6:6">
      <c r="F1017" s="261"/>
    </row>
    <row r="1018" spans="6:6">
      <c r="F1018" s="261"/>
    </row>
    <row r="1019" spans="6:6">
      <c r="F1019" s="261"/>
    </row>
    <row r="1020" spans="6:6">
      <c r="F1020" s="261"/>
    </row>
    <row r="1021" spans="6:6">
      <c r="F1021" s="261"/>
    </row>
    <row r="1022" spans="6:6">
      <c r="F1022" s="261"/>
    </row>
    <row r="1023" spans="6:6">
      <c r="F1023" s="261"/>
    </row>
    <row r="1024" spans="6:6">
      <c r="F1024" s="261"/>
    </row>
    <row r="1025" spans="6:6">
      <c r="F1025" s="261"/>
    </row>
    <row r="1026" spans="6:6">
      <c r="F1026" s="261"/>
    </row>
    <row r="1027" spans="6:6">
      <c r="F1027" s="261"/>
    </row>
    <row r="1028" spans="6:6">
      <c r="F1028" s="261"/>
    </row>
    <row r="1029" spans="6:6">
      <c r="F1029" s="261"/>
    </row>
    <row r="1030" spans="6:6">
      <c r="F1030" s="261"/>
    </row>
    <row r="1031" spans="6:6">
      <c r="F1031" s="261"/>
    </row>
    <row r="1032" spans="6:6">
      <c r="F1032" s="261"/>
    </row>
    <row r="1033" spans="6:6">
      <c r="F1033" s="261"/>
    </row>
    <row r="1034" spans="6:6">
      <c r="F1034" s="261"/>
    </row>
    <row r="1035" spans="6:6">
      <c r="F1035" s="261"/>
    </row>
    <row r="1036" spans="6:6">
      <c r="F1036" s="261"/>
    </row>
    <row r="1037" spans="6:6">
      <c r="F1037" s="261"/>
    </row>
    <row r="1038" spans="6:6">
      <c r="F1038" s="261"/>
    </row>
    <row r="1039" spans="6:6">
      <c r="F1039" s="261"/>
    </row>
    <row r="1040" spans="6:6">
      <c r="F1040" s="261"/>
    </row>
    <row r="1041" spans="6:6">
      <c r="F1041" s="261"/>
    </row>
    <row r="1042" spans="6:6">
      <c r="F1042" s="261"/>
    </row>
    <row r="1043" spans="6:6">
      <c r="F1043" s="261"/>
    </row>
    <row r="1044" spans="6:6">
      <c r="F1044" s="261"/>
    </row>
    <row r="1045" spans="6:6">
      <c r="F1045" s="261"/>
    </row>
    <row r="1046" spans="6:6">
      <c r="F1046" s="261"/>
    </row>
    <row r="1047" spans="6:6">
      <c r="F1047" s="261"/>
    </row>
    <row r="1048" spans="6:6">
      <c r="F1048" s="261"/>
    </row>
    <row r="1049" spans="6:6">
      <c r="F1049" s="261"/>
    </row>
    <row r="1050" spans="6:6">
      <c r="F1050" s="261"/>
    </row>
    <row r="1051" spans="6:6">
      <c r="F1051" s="261"/>
    </row>
    <row r="1052" spans="6:6">
      <c r="F1052" s="261"/>
    </row>
    <row r="1053" spans="6:6">
      <c r="F1053" s="261"/>
    </row>
    <row r="1054" spans="6:6">
      <c r="F1054" s="261"/>
    </row>
    <row r="1055" spans="6:6">
      <c r="F1055" s="261"/>
    </row>
    <row r="1056" spans="6:6">
      <c r="F1056" s="261"/>
    </row>
    <row r="1057" spans="6:6">
      <c r="F1057" s="261"/>
    </row>
    <row r="1058" spans="6:6">
      <c r="F1058" s="261"/>
    </row>
    <row r="1059" spans="6:6">
      <c r="F1059" s="261"/>
    </row>
    <row r="1060" spans="6:6">
      <c r="F1060" s="261"/>
    </row>
    <row r="1061" spans="6:6">
      <c r="F1061" s="261"/>
    </row>
    <row r="1062" spans="6:6">
      <c r="F1062" s="261"/>
    </row>
    <row r="1063" spans="6:6">
      <c r="F1063" s="261"/>
    </row>
    <row r="1064" spans="6:6">
      <c r="F1064" s="261"/>
    </row>
    <row r="1065" spans="6:6">
      <c r="F1065" s="261"/>
    </row>
    <row r="1066" spans="6:6">
      <c r="F1066" s="261"/>
    </row>
    <row r="1067" spans="6:6">
      <c r="F1067" s="261"/>
    </row>
    <row r="1068" spans="6:6">
      <c r="F1068" s="261"/>
    </row>
    <row r="1069" spans="6:6">
      <c r="F1069" s="261"/>
    </row>
    <row r="1070" spans="6:6">
      <c r="F1070" s="261"/>
    </row>
    <row r="1071" spans="6:6">
      <c r="F1071" s="261"/>
    </row>
    <row r="1072" spans="6:6">
      <c r="F1072" s="261"/>
    </row>
    <row r="1073" spans="6:6">
      <c r="F1073" s="261"/>
    </row>
    <row r="1074" spans="6:6">
      <c r="F1074" s="261"/>
    </row>
    <row r="1075" spans="6:6">
      <c r="F1075" s="261"/>
    </row>
    <row r="1076" spans="6:6">
      <c r="F1076" s="261"/>
    </row>
    <row r="1077" spans="6:6">
      <c r="F1077" s="261"/>
    </row>
    <row r="1078" spans="6:6">
      <c r="F1078" s="261"/>
    </row>
    <row r="1079" spans="6:6">
      <c r="F1079" s="261"/>
    </row>
    <row r="1080" spans="6:6">
      <c r="F1080" s="261"/>
    </row>
    <row r="1081" spans="6:6">
      <c r="F1081" s="261"/>
    </row>
    <row r="1082" spans="6:6">
      <c r="F1082" s="261"/>
    </row>
    <row r="1083" spans="6:6">
      <c r="F1083" s="261"/>
    </row>
    <row r="1084" spans="6:6">
      <c r="F1084" s="261"/>
    </row>
    <row r="1085" spans="6:6">
      <c r="F1085" s="261"/>
    </row>
    <row r="1086" spans="6:6">
      <c r="F1086" s="261"/>
    </row>
    <row r="1087" spans="6:6">
      <c r="F1087" s="261"/>
    </row>
    <row r="1088" spans="6:6">
      <c r="F1088" s="261"/>
    </row>
    <row r="1089" spans="6:6">
      <c r="F1089" s="261"/>
    </row>
    <row r="1090" spans="6:6">
      <c r="F1090" s="261"/>
    </row>
    <row r="1091" spans="6:6">
      <c r="F1091" s="261"/>
    </row>
    <row r="1092" spans="6:6">
      <c r="F1092" s="261"/>
    </row>
    <row r="1093" spans="6:6">
      <c r="F1093" s="261"/>
    </row>
    <row r="1094" spans="6:6">
      <c r="F1094" s="261"/>
    </row>
    <row r="1095" spans="6:6">
      <c r="F1095" s="261"/>
    </row>
    <row r="1096" spans="6:6">
      <c r="F1096" s="261"/>
    </row>
    <row r="1097" spans="6:6">
      <c r="F1097" s="261"/>
    </row>
    <row r="1098" spans="6:6">
      <c r="F1098" s="261"/>
    </row>
    <row r="1099" spans="6:6">
      <c r="F1099" s="261"/>
    </row>
    <row r="1100" spans="6:6">
      <c r="F1100" s="261"/>
    </row>
    <row r="1101" spans="6:6">
      <c r="F1101" s="261"/>
    </row>
    <row r="1102" spans="6:6">
      <c r="F1102" s="261"/>
    </row>
    <row r="1103" spans="6:6">
      <c r="F1103" s="261"/>
    </row>
    <row r="1104" spans="6:6">
      <c r="F1104" s="261"/>
    </row>
    <row r="1105" spans="6:6">
      <c r="F1105" s="261"/>
    </row>
    <row r="1106" spans="6:6">
      <c r="F1106" s="261"/>
    </row>
    <row r="1107" spans="6:6">
      <c r="F1107" s="261"/>
    </row>
    <row r="1108" spans="6:6">
      <c r="F1108" s="261"/>
    </row>
    <row r="1109" spans="6:6">
      <c r="F1109" s="261"/>
    </row>
    <row r="1110" spans="6:6">
      <c r="F1110" s="261"/>
    </row>
    <row r="1111" spans="6:6">
      <c r="F1111" s="261"/>
    </row>
    <row r="1112" spans="6:6">
      <c r="F1112" s="261"/>
    </row>
    <row r="1113" spans="6:6">
      <c r="F1113" s="261"/>
    </row>
    <row r="1114" spans="6:6">
      <c r="F1114" s="261"/>
    </row>
    <row r="1115" spans="6:6">
      <c r="F1115" s="261"/>
    </row>
    <row r="1116" spans="6:6">
      <c r="F1116" s="261"/>
    </row>
    <row r="1117" spans="6:6">
      <c r="F1117" s="261"/>
    </row>
    <row r="1118" spans="6:6">
      <c r="F1118" s="261"/>
    </row>
    <row r="1119" spans="6:6">
      <c r="F1119" s="261"/>
    </row>
    <row r="1120" spans="6:6">
      <c r="F1120" s="261"/>
    </row>
    <row r="1121" spans="6:6">
      <c r="F1121" s="261"/>
    </row>
    <row r="1122" spans="6:6">
      <c r="F1122" s="261"/>
    </row>
    <row r="1123" spans="6:6">
      <c r="F1123" s="261"/>
    </row>
    <row r="1124" spans="6:6">
      <c r="F1124" s="261"/>
    </row>
    <row r="1125" spans="6:6">
      <c r="F1125" s="261"/>
    </row>
    <row r="1126" spans="6:6">
      <c r="F1126" s="261"/>
    </row>
    <row r="1127" spans="6:6">
      <c r="F1127" s="261"/>
    </row>
    <row r="1128" spans="6:6">
      <c r="F1128" s="261"/>
    </row>
    <row r="1129" spans="6:6">
      <c r="F1129" s="261"/>
    </row>
    <row r="1130" spans="6:6">
      <c r="F1130" s="261"/>
    </row>
    <row r="1131" spans="6:6">
      <c r="F1131" s="261"/>
    </row>
    <row r="1132" spans="6:6">
      <c r="F1132" s="261"/>
    </row>
    <row r="1133" spans="6:6">
      <c r="F1133" s="261"/>
    </row>
    <row r="1134" spans="6:6">
      <c r="F1134" s="261"/>
    </row>
    <row r="1135" spans="6:6">
      <c r="F1135" s="261"/>
    </row>
    <row r="1136" spans="6:6">
      <c r="F1136" s="261"/>
    </row>
    <row r="1137" spans="6:6">
      <c r="F1137" s="261"/>
    </row>
    <row r="1138" spans="6:6">
      <c r="F1138" s="261"/>
    </row>
    <row r="1139" spans="6:6">
      <c r="F1139" s="261"/>
    </row>
    <row r="1140" spans="6:6">
      <c r="F1140" s="261"/>
    </row>
    <row r="1141" spans="6:6">
      <c r="F1141" s="261"/>
    </row>
    <row r="1142" spans="6:6">
      <c r="F1142" s="261"/>
    </row>
    <row r="1143" spans="6:6">
      <c r="F1143" s="261"/>
    </row>
    <row r="1144" spans="6:6">
      <c r="F1144" s="261"/>
    </row>
    <row r="1145" spans="6:6">
      <c r="F1145" s="261"/>
    </row>
    <row r="1146" spans="6:6">
      <c r="F1146" s="261"/>
    </row>
    <row r="1147" spans="6:6">
      <c r="F1147" s="261"/>
    </row>
    <row r="1148" spans="6:6">
      <c r="F1148" s="261"/>
    </row>
    <row r="1149" spans="6:6">
      <c r="F1149" s="261"/>
    </row>
    <row r="1150" spans="6:6">
      <c r="F1150" s="261"/>
    </row>
    <row r="1151" spans="6:6">
      <c r="F1151" s="261"/>
    </row>
    <row r="1152" spans="6:6">
      <c r="F1152" s="261"/>
    </row>
    <row r="1153" spans="6:6">
      <c r="F1153" s="261"/>
    </row>
    <row r="1154" spans="6:6">
      <c r="F1154" s="261"/>
    </row>
    <row r="1155" spans="6:6">
      <c r="F1155" s="261"/>
    </row>
    <row r="1156" spans="6:6">
      <c r="F1156" s="261"/>
    </row>
    <row r="1157" spans="6:6">
      <c r="F1157" s="261"/>
    </row>
    <row r="1158" spans="6:6">
      <c r="F1158" s="261"/>
    </row>
    <row r="1159" spans="6:6">
      <c r="F1159" s="261"/>
    </row>
    <row r="1160" spans="6:6">
      <c r="F1160" s="261"/>
    </row>
    <row r="1161" spans="6:6">
      <c r="F1161" s="261"/>
    </row>
    <row r="1162" spans="6:6">
      <c r="F1162" s="261"/>
    </row>
    <row r="1163" spans="6:6">
      <c r="F1163" s="261"/>
    </row>
    <row r="1164" spans="6:6">
      <c r="F1164" s="261"/>
    </row>
    <row r="1165" spans="6:6">
      <c r="F1165" s="261"/>
    </row>
    <row r="1166" spans="6:6">
      <c r="F1166" s="261"/>
    </row>
    <row r="1167" spans="6:6">
      <c r="F1167" s="261"/>
    </row>
    <row r="1168" spans="6:6">
      <c r="F1168" s="261"/>
    </row>
    <row r="1169" spans="6:6">
      <c r="F1169" s="261"/>
    </row>
    <row r="1170" spans="6:6">
      <c r="F1170" s="261"/>
    </row>
    <row r="1171" spans="6:6">
      <c r="F1171" s="261"/>
    </row>
    <row r="1172" spans="6:6">
      <c r="F1172" s="261"/>
    </row>
    <row r="1173" spans="6:6">
      <c r="F1173" s="261"/>
    </row>
    <row r="1174" spans="6:6">
      <c r="F1174" s="261"/>
    </row>
    <row r="1175" spans="6:6">
      <c r="F1175" s="261"/>
    </row>
    <row r="1176" spans="6:6">
      <c r="F1176" s="261"/>
    </row>
    <row r="1177" spans="6:6">
      <c r="F1177" s="261"/>
    </row>
    <row r="1178" spans="6:6">
      <c r="F1178" s="261"/>
    </row>
    <row r="1179" spans="6:6">
      <c r="F1179" s="261"/>
    </row>
    <row r="1180" spans="6:6">
      <c r="F1180" s="261"/>
    </row>
    <row r="1181" spans="6:6">
      <c r="F1181" s="261"/>
    </row>
    <row r="1182" spans="6:6">
      <c r="F1182" s="261"/>
    </row>
    <row r="1183" spans="6:6">
      <c r="F1183" s="261"/>
    </row>
    <row r="1184" spans="6:6">
      <c r="F1184" s="261"/>
    </row>
    <row r="1185" spans="6:6">
      <c r="F1185" s="261"/>
    </row>
    <row r="1186" spans="6:6">
      <c r="F1186" s="261"/>
    </row>
    <row r="1187" spans="6:6">
      <c r="F1187" s="261"/>
    </row>
    <row r="1188" spans="6:6">
      <c r="F1188" s="261"/>
    </row>
    <row r="1189" spans="6:6">
      <c r="F1189" s="261"/>
    </row>
    <row r="1190" spans="6:6">
      <c r="F1190" s="261"/>
    </row>
    <row r="1191" spans="6:6">
      <c r="F1191" s="261"/>
    </row>
    <row r="1192" spans="6:6">
      <c r="F1192" s="261"/>
    </row>
    <row r="1193" spans="6:6">
      <c r="F1193" s="261"/>
    </row>
    <row r="1194" spans="6:6">
      <c r="F1194" s="261"/>
    </row>
    <row r="1195" spans="6:6">
      <c r="F1195" s="261"/>
    </row>
    <row r="1196" spans="6:6">
      <c r="F1196" s="261"/>
    </row>
    <row r="1197" spans="6:6">
      <c r="F1197" s="261"/>
    </row>
    <row r="1198" spans="6:6">
      <c r="F1198" s="261"/>
    </row>
    <row r="1199" spans="6:6">
      <c r="F1199" s="261"/>
    </row>
    <row r="1200" spans="6:6">
      <c r="F1200" s="261"/>
    </row>
    <row r="1201" spans="6:6">
      <c r="F1201" s="261"/>
    </row>
    <row r="1202" spans="6:6">
      <c r="F1202" s="261"/>
    </row>
    <row r="1203" spans="6:6">
      <c r="F1203" s="261"/>
    </row>
    <row r="1204" spans="6:6">
      <c r="F1204" s="261"/>
    </row>
    <row r="1205" spans="6:6">
      <c r="F1205" s="261"/>
    </row>
    <row r="1206" spans="6:6">
      <c r="F1206" s="261"/>
    </row>
  </sheetData>
  <sheetProtection algorithmName="SHA-512" hashValue="iRAxeOTU6JDrEReeJQ+QoCJLK/TZ/z1rlZaf9wavfSecu8j6U+c6N0wH0aHguE0p1rarFim+gA0Vc3s3xYS/0A==" saltValue="4ZA1YMYPe272F2jo5gGq0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10" zoomScale="70" zoomScaleNormal="70" zoomScaleSheetLayoutView="90" zoomScalePageLayoutView="70" workbookViewId="0"/>
  </sheetViews>
  <sheetFormatPr defaultColWidth="9.140625" defaultRowHeight="15.75"/>
  <cols>
    <col min="1" max="1" width="5.28515625" style="282" customWidth="1"/>
    <col min="2" max="2" width="84.42578125" style="282" customWidth="1"/>
    <col min="3" max="3" width="14.85546875" style="282" customWidth="1"/>
    <col min="4" max="4" width="14" style="282" customWidth="1"/>
    <col min="5" max="5" width="15.42578125" style="282" customWidth="1"/>
    <col min="6" max="6" width="9.140625" style="282"/>
    <col min="7" max="7" width="10.85546875" style="282" customWidth="1"/>
    <col min="8" max="16384" width="9.140625" style="282"/>
  </cols>
  <sheetData>
    <row r="1" spans="2:7" ht="26.25">
      <c r="B1" s="843" t="s">
        <v>10</v>
      </c>
      <c r="C1" s="843"/>
      <c r="D1" s="843"/>
      <c r="E1" s="843"/>
      <c r="F1" s="281"/>
      <c r="G1" s="281"/>
    </row>
    <row r="2" spans="2:7" ht="26.25">
      <c r="B2" s="843" t="s">
        <v>750</v>
      </c>
      <c r="C2" s="843"/>
      <c r="D2" s="843"/>
      <c r="E2" s="843"/>
      <c r="F2" s="281"/>
      <c r="G2" s="281"/>
    </row>
    <row r="3" spans="2:7" ht="21">
      <c r="B3" s="832"/>
      <c r="C3" s="832"/>
      <c r="D3" s="832"/>
      <c r="E3" s="832"/>
      <c r="F3" s="281"/>
      <c r="G3" s="281"/>
    </row>
    <row r="4" spans="2:7" ht="21.75" thickBot="1">
      <c r="B4" s="944"/>
      <c r="C4" s="944"/>
      <c r="D4" s="944"/>
      <c r="E4" s="944"/>
      <c r="F4" s="281"/>
      <c r="G4" s="281"/>
    </row>
    <row r="5" spans="2:7" ht="48" customHeight="1">
      <c r="B5" s="827" t="s">
        <v>751</v>
      </c>
      <c r="C5" s="924" t="s">
        <v>752</v>
      </c>
      <c r="D5" s="925"/>
      <c r="E5" s="926"/>
    </row>
    <row r="6" spans="2:7">
      <c r="B6" s="828"/>
      <c r="C6" s="817" t="s">
        <v>753</v>
      </c>
      <c r="D6" s="685" t="s">
        <v>754</v>
      </c>
      <c r="E6" s="686" t="s">
        <v>755</v>
      </c>
    </row>
    <row r="7" spans="2:7" ht="29.25" customHeight="1">
      <c r="B7" s="1140"/>
      <c r="C7" s="818"/>
      <c r="D7" s="687">
        <v>-0.1</v>
      </c>
      <c r="E7" s="688">
        <v>0.15</v>
      </c>
    </row>
    <row r="8" spans="2:7" ht="15" customHeight="1">
      <c r="B8" s="689" t="s">
        <v>269</v>
      </c>
      <c r="C8" s="690">
        <v>71.975999999999999</v>
      </c>
      <c r="D8" s="690">
        <v>64.78</v>
      </c>
      <c r="E8" s="691">
        <v>82.78</v>
      </c>
    </row>
    <row r="9" spans="2:7" ht="15" customHeight="1">
      <c r="B9" s="692" t="s">
        <v>756</v>
      </c>
      <c r="C9" s="693">
        <v>3.6</v>
      </c>
      <c r="D9" s="693">
        <v>3.24</v>
      </c>
      <c r="E9" s="694">
        <v>4.1399999999999997</v>
      </c>
    </row>
    <row r="10" spans="2:7" ht="15" customHeight="1">
      <c r="B10" s="692" t="s">
        <v>757</v>
      </c>
      <c r="C10" s="693">
        <v>3.6</v>
      </c>
      <c r="D10" s="693">
        <v>3.24</v>
      </c>
      <c r="E10" s="694">
        <v>4.1399999999999997</v>
      </c>
    </row>
    <row r="11" spans="2:7" ht="15" customHeight="1">
      <c r="B11" s="695" t="s">
        <v>758</v>
      </c>
      <c r="C11" s="693">
        <v>7.2</v>
      </c>
      <c r="D11" s="693">
        <v>6.48</v>
      </c>
      <c r="E11" s="694">
        <v>8.2799999999999994</v>
      </c>
      <c r="F11" s="181"/>
    </row>
    <row r="12" spans="2:7" ht="15" customHeight="1">
      <c r="B12" s="696" t="s">
        <v>759</v>
      </c>
      <c r="C12" s="697"/>
      <c r="D12" s="697"/>
      <c r="E12" s="698"/>
    </row>
    <row r="13" spans="2:7" ht="42.6" customHeight="1">
      <c r="B13" s="829" t="s">
        <v>760</v>
      </c>
      <c r="C13" s="921" t="s">
        <v>752</v>
      </c>
      <c r="D13" s="922"/>
      <c r="E13" s="923"/>
    </row>
    <row r="14" spans="2:7">
      <c r="B14" s="828"/>
      <c r="C14" s="817" t="s">
        <v>753</v>
      </c>
      <c r="D14" s="699" t="s">
        <v>754</v>
      </c>
      <c r="E14" s="700" t="s">
        <v>755</v>
      </c>
    </row>
    <row r="15" spans="2:7">
      <c r="B15" s="1140"/>
      <c r="C15" s="818"/>
      <c r="D15" s="687">
        <f>D7</f>
        <v>-0.1</v>
      </c>
      <c r="E15" s="688">
        <f>E7</f>
        <v>0.15</v>
      </c>
    </row>
    <row r="16" spans="2:7" ht="15" customHeight="1">
      <c r="B16" s="701" t="s">
        <v>269</v>
      </c>
      <c r="C16" s="693">
        <v>71.975999999999999</v>
      </c>
      <c r="D16" s="693">
        <v>64.78</v>
      </c>
      <c r="E16" s="694">
        <v>82.78</v>
      </c>
    </row>
    <row r="17" spans="2:5" ht="15" customHeight="1">
      <c r="B17" s="701" t="s">
        <v>761</v>
      </c>
      <c r="C17" s="693">
        <v>215.93799999999999</v>
      </c>
      <c r="D17" s="693">
        <v>194.35</v>
      </c>
      <c r="E17" s="694">
        <v>248.33</v>
      </c>
    </row>
    <row r="18" spans="2:5" ht="15" customHeight="1">
      <c r="B18" s="696" t="s">
        <v>762</v>
      </c>
      <c r="C18" s="693">
        <v>14.4</v>
      </c>
      <c r="D18" s="693">
        <v>12.96</v>
      </c>
      <c r="E18" s="694">
        <v>16.559999999999999</v>
      </c>
    </row>
    <row r="19" spans="2:5" ht="15" customHeight="1">
      <c r="B19" s="696" t="s">
        <v>763</v>
      </c>
      <c r="C19" s="693">
        <v>14.4</v>
      </c>
      <c r="D19" s="693">
        <v>12.96</v>
      </c>
      <c r="E19" s="694">
        <v>16.559999999999999</v>
      </c>
    </row>
    <row r="20" spans="2:5" ht="15" customHeight="1">
      <c r="B20" s="702" t="s">
        <v>764</v>
      </c>
      <c r="C20" s="693">
        <v>7.2</v>
      </c>
      <c r="D20" s="693">
        <v>6.48</v>
      </c>
      <c r="E20" s="694">
        <v>8.2799999999999994</v>
      </c>
    </row>
    <row r="21" spans="2:5" ht="15" customHeight="1" thickBot="1">
      <c r="B21" s="703" t="s">
        <v>765</v>
      </c>
      <c r="C21" s="704">
        <v>57.58</v>
      </c>
      <c r="D21" s="704">
        <v>51.83</v>
      </c>
      <c r="E21" s="705">
        <v>66.22</v>
      </c>
    </row>
    <row r="22" spans="2:5" ht="16.5" thickBot="1">
      <c r="B22" s="283"/>
    </row>
    <row r="23" spans="2:5" ht="34.35" customHeight="1">
      <c r="B23" s="830" t="s">
        <v>766</v>
      </c>
      <c r="C23" s="927" t="s">
        <v>752</v>
      </c>
      <c r="D23" s="928"/>
      <c r="E23" s="929"/>
    </row>
    <row r="24" spans="2:5">
      <c r="B24" s="831"/>
      <c r="C24" s="817" t="s">
        <v>753</v>
      </c>
      <c r="D24" s="685" t="s">
        <v>754</v>
      </c>
      <c r="E24" s="706" t="s">
        <v>755</v>
      </c>
    </row>
    <row r="25" spans="2:5">
      <c r="B25" s="1141"/>
      <c r="C25" s="818"/>
      <c r="D25" s="687">
        <v>0</v>
      </c>
      <c r="E25" s="707">
        <v>0</v>
      </c>
    </row>
    <row r="26" spans="2:5" ht="15" customHeight="1">
      <c r="B26" s="708" t="s">
        <v>269</v>
      </c>
      <c r="C26" s="693">
        <v>91.79</v>
      </c>
      <c r="D26" s="693">
        <f>ROUND(C26*(1+D25),2)</f>
        <v>91.79</v>
      </c>
      <c r="E26" s="709">
        <f>ROUND(C26*(1+E25),2)</f>
        <v>91.79</v>
      </c>
    </row>
    <row r="27" spans="2:5" ht="15" customHeight="1">
      <c r="B27" s="710" t="s">
        <v>756</v>
      </c>
      <c r="C27" s="693">
        <v>4.59</v>
      </c>
      <c r="D27" s="693">
        <v>4.59</v>
      </c>
      <c r="E27" s="709">
        <v>4.59</v>
      </c>
    </row>
    <row r="28" spans="2:5" ht="15" customHeight="1">
      <c r="B28" s="710" t="s">
        <v>757</v>
      </c>
      <c r="C28" s="693">
        <v>4.59</v>
      </c>
      <c r="D28" s="693">
        <v>4.59</v>
      </c>
      <c r="E28" s="709">
        <v>4.59</v>
      </c>
    </row>
    <row r="29" spans="2:5" ht="15" customHeight="1">
      <c r="B29" s="711" t="s">
        <v>758</v>
      </c>
      <c r="C29" s="693">
        <v>9.18</v>
      </c>
      <c r="D29" s="693">
        <v>9.18</v>
      </c>
      <c r="E29" s="709">
        <v>9.18</v>
      </c>
    </row>
    <row r="30" spans="2:5" ht="15" customHeight="1">
      <c r="B30" s="710" t="s">
        <v>767</v>
      </c>
      <c r="C30" s="697"/>
      <c r="D30" s="697"/>
      <c r="E30" s="712"/>
    </row>
    <row r="31" spans="2:5" ht="41.45" customHeight="1">
      <c r="B31" s="823" t="s">
        <v>768</v>
      </c>
      <c r="C31" s="921" t="s">
        <v>752</v>
      </c>
      <c r="D31" s="922"/>
      <c r="E31" s="930"/>
    </row>
    <row r="32" spans="2:5">
      <c r="B32" s="824"/>
      <c r="C32" s="817" t="s">
        <v>753</v>
      </c>
      <c r="D32" s="685" t="s">
        <v>754</v>
      </c>
      <c r="E32" s="706" t="s">
        <v>755</v>
      </c>
    </row>
    <row r="33" spans="2:7">
      <c r="B33" s="1142"/>
      <c r="C33" s="818"/>
      <c r="D33" s="687">
        <f>D25</f>
        <v>0</v>
      </c>
      <c r="E33" s="707">
        <f>E25</f>
        <v>0</v>
      </c>
    </row>
    <row r="34" spans="2:7" ht="15" customHeight="1">
      <c r="B34" s="708" t="s">
        <v>269</v>
      </c>
      <c r="C34" s="693">
        <v>91.79</v>
      </c>
      <c r="D34" s="693">
        <f>ROUND(C34*(1+D33),2)</f>
        <v>91.79</v>
      </c>
      <c r="E34" s="709">
        <f>ROUND(C34*(1+E33),2)</f>
        <v>91.79</v>
      </c>
    </row>
    <row r="35" spans="2:7" ht="15" customHeight="1">
      <c r="B35" s="708" t="s">
        <v>761</v>
      </c>
      <c r="C35" s="713" t="s">
        <v>769</v>
      </c>
      <c r="D35" s="713" t="s">
        <v>769</v>
      </c>
      <c r="E35" s="714" t="s">
        <v>769</v>
      </c>
    </row>
    <row r="36" spans="2:7" ht="15" customHeight="1">
      <c r="B36" s="710" t="s">
        <v>762</v>
      </c>
      <c r="C36" s="713" t="s">
        <v>769</v>
      </c>
      <c r="D36" s="713" t="s">
        <v>769</v>
      </c>
      <c r="E36" s="714" t="s">
        <v>769</v>
      </c>
    </row>
    <row r="37" spans="2:7" ht="15" customHeight="1">
      <c r="B37" s="710" t="s">
        <v>763</v>
      </c>
      <c r="C37" s="713" t="s">
        <v>769</v>
      </c>
      <c r="D37" s="713" t="s">
        <v>769</v>
      </c>
      <c r="E37" s="714" t="s">
        <v>769</v>
      </c>
    </row>
    <row r="38" spans="2:7" ht="15" customHeight="1">
      <c r="B38" s="711" t="s">
        <v>764</v>
      </c>
      <c r="C38" s="693">
        <f>C29</f>
        <v>9.18</v>
      </c>
      <c r="D38" s="693">
        <f>D29</f>
        <v>9.18</v>
      </c>
      <c r="E38" s="709">
        <f>E29</f>
        <v>9.18</v>
      </c>
    </row>
    <row r="39" spans="2:7" ht="15" customHeight="1" thickBot="1">
      <c r="B39" s="715" t="s">
        <v>765</v>
      </c>
      <c r="C39" s="716" t="s">
        <v>769</v>
      </c>
      <c r="D39" s="716" t="s">
        <v>769</v>
      </c>
      <c r="E39" s="717" t="s">
        <v>769</v>
      </c>
    </row>
    <row r="40" spans="2:7">
      <c r="B40" s="283"/>
      <c r="C40" s="284"/>
      <c r="D40" s="284"/>
      <c r="E40" s="284"/>
    </row>
    <row r="41" spans="2:7">
      <c r="B41" s="285" t="s">
        <v>770</v>
      </c>
      <c r="C41" s="286"/>
      <c r="D41" s="286"/>
      <c r="E41" s="286"/>
    </row>
    <row r="42" spans="2:7" ht="48" customHeight="1">
      <c r="B42" s="825" t="s">
        <v>771</v>
      </c>
      <c r="C42" s="825"/>
      <c r="D42" s="825"/>
      <c r="E42" s="825"/>
    </row>
    <row r="43" spans="2:7">
      <c r="B43" s="825"/>
      <c r="C43" s="825"/>
      <c r="D43" s="825"/>
      <c r="E43" s="825"/>
    </row>
    <row r="44" spans="2:7">
      <c r="B44" s="287"/>
      <c r="C44" s="287"/>
      <c r="D44" s="287"/>
      <c r="E44" s="287"/>
    </row>
    <row r="45" spans="2:7">
      <c r="B45" s="282" t="s">
        <v>772</v>
      </c>
      <c r="C45" s="287"/>
      <c r="D45" s="287"/>
      <c r="E45" s="287"/>
    </row>
    <row r="46" spans="2:7">
      <c r="B46" s="288" t="str">
        <f>"the maximum tuition rate.  Maximum credit tuition rate = "&amp;TEXT(E16,"$0.00")</f>
        <v>the maximum tuition rate.  Maximum credit tuition rate = $82.78</v>
      </c>
      <c r="C46" s="866"/>
    </row>
    <row r="47" spans="2:7">
      <c r="B47" s="288" t="s">
        <v>773</v>
      </c>
      <c r="G47" s="867"/>
    </row>
    <row r="49" spans="2:5" ht="15" customHeight="1">
      <c r="B49" s="825"/>
      <c r="C49" s="825"/>
      <c r="D49" s="825"/>
      <c r="E49" s="825"/>
    </row>
    <row r="50" spans="2:5">
      <c r="B50" s="825"/>
      <c r="C50" s="825"/>
      <c r="D50" s="825"/>
      <c r="E50" s="825"/>
    </row>
    <row r="51" spans="2:5">
      <c r="B51" s="825"/>
      <c r="C51" s="825"/>
      <c r="D51" s="825"/>
      <c r="E51" s="825"/>
    </row>
    <row r="52" spans="2:5" ht="21">
      <c r="B52" s="832" t="str">
        <f>B1</f>
        <v>THE FLORIDA COLLEGE SYSTEM</v>
      </c>
      <c r="C52" s="832"/>
      <c r="D52" s="832"/>
      <c r="E52" s="832"/>
    </row>
    <row r="53" spans="2:5" ht="21">
      <c r="B53" s="832" t="str">
        <f>B2&amp;" , cont."</f>
        <v>FALL 2022-23 TUITION INCREASED BY 0% , cont.</v>
      </c>
      <c r="C53" s="832"/>
      <c r="D53" s="832"/>
      <c r="E53" s="832"/>
    </row>
    <row r="54" spans="2:5" ht="21">
      <c r="B54" s="832"/>
      <c r="C54" s="832"/>
      <c r="D54" s="832"/>
      <c r="E54" s="832"/>
    </row>
    <row r="55" spans="2:5" ht="16.5" thickBot="1">
      <c r="B55" s="283"/>
      <c r="C55" s="284"/>
      <c r="D55" s="284"/>
      <c r="E55" s="284"/>
    </row>
    <row r="56" spans="2:5" ht="33" customHeight="1">
      <c r="B56" s="819" t="s">
        <v>774</v>
      </c>
      <c r="C56" s="927" t="s">
        <v>752</v>
      </c>
      <c r="D56" s="928"/>
      <c r="E56" s="929"/>
    </row>
    <row r="57" spans="2:5">
      <c r="B57" s="820"/>
      <c r="C57" s="817" t="s">
        <v>753</v>
      </c>
      <c r="D57" s="685" t="s">
        <v>754</v>
      </c>
      <c r="E57" s="706" t="s">
        <v>755</v>
      </c>
    </row>
    <row r="58" spans="2:5">
      <c r="B58" s="1171"/>
      <c r="C58" s="818"/>
      <c r="D58" s="687">
        <v>-0.05</v>
      </c>
      <c r="E58" s="707">
        <v>0.05</v>
      </c>
    </row>
    <row r="59" spans="2:5" ht="15" customHeight="1">
      <c r="B59" s="708" t="s">
        <v>269</v>
      </c>
      <c r="C59" s="693">
        <v>69.900000000000006</v>
      </c>
      <c r="D59" s="693">
        <f>ROUND(C59*(1+D58),2)</f>
        <v>66.41</v>
      </c>
      <c r="E59" s="709">
        <f>ROUND(C59*(1+E58),2)</f>
        <v>73.400000000000006</v>
      </c>
    </row>
    <row r="60" spans="2:5" ht="15" customHeight="1">
      <c r="B60" s="710" t="s">
        <v>775</v>
      </c>
      <c r="C60" s="693">
        <v>6.99</v>
      </c>
      <c r="D60" s="718">
        <f>ROUND(D59*'DISCRETIONARY FEE PERCENTAGES'!$B$6,2)</f>
        <v>6.64</v>
      </c>
      <c r="E60" s="709">
        <f>ROUND(E59*'DISCRETIONARY FEE PERCENTAGES'!$B$6,2)</f>
        <v>7.34</v>
      </c>
    </row>
    <row r="61" spans="2:5" ht="15" customHeight="1">
      <c r="B61" s="710" t="s">
        <v>757</v>
      </c>
      <c r="C61" s="693">
        <v>3.5</v>
      </c>
      <c r="D61" s="718">
        <f>ROUND(D59*'DISCRETIONARY FEE PERCENTAGES'!$B$25,2)</f>
        <v>3.32</v>
      </c>
      <c r="E61" s="709">
        <f>ROUND(E59*'DISCRETIONARY FEE PERCENTAGES'!$B$25,2)</f>
        <v>3.67</v>
      </c>
    </row>
    <row r="62" spans="2:5" ht="15" customHeight="1">
      <c r="B62" s="710" t="s">
        <v>776</v>
      </c>
      <c r="C62" s="693">
        <v>3.5</v>
      </c>
      <c r="D62" s="718">
        <f>ROUND(D59*'DISCRETIONARY FEE PERCENTAGES'!$B$19,2)</f>
        <v>3.32</v>
      </c>
      <c r="E62" s="709">
        <f>ROUND(E59*'DISCRETIONARY FEE PERCENTAGES'!$B$19,2)</f>
        <v>3.67</v>
      </c>
    </row>
    <row r="63" spans="2:5" ht="33" customHeight="1">
      <c r="B63" s="821" t="s">
        <v>777</v>
      </c>
      <c r="C63" s="921" t="s">
        <v>752</v>
      </c>
      <c r="D63" s="922"/>
      <c r="E63" s="930"/>
    </row>
    <row r="64" spans="2:5">
      <c r="B64" s="820"/>
      <c r="C64" s="817" t="s">
        <v>753</v>
      </c>
      <c r="D64" s="685" t="s">
        <v>754</v>
      </c>
      <c r="E64" s="706" t="s">
        <v>755</v>
      </c>
    </row>
    <row r="65" spans="2:16">
      <c r="B65" s="1171"/>
      <c r="C65" s="818"/>
      <c r="D65" s="687">
        <f>D58</f>
        <v>-0.05</v>
      </c>
      <c r="E65" s="707">
        <f>E58</f>
        <v>0.05</v>
      </c>
    </row>
    <row r="66" spans="2:16" ht="15" customHeight="1">
      <c r="B66" s="708" t="s">
        <v>269</v>
      </c>
      <c r="C66" s="693">
        <v>69.900000000000006</v>
      </c>
      <c r="D66" s="693">
        <f>ROUND(C66*(1+D65),2)</f>
        <v>66.41</v>
      </c>
      <c r="E66" s="709">
        <f>ROUND(C66*(1+E65),2)</f>
        <v>73.400000000000006</v>
      </c>
    </row>
    <row r="67" spans="2:16" ht="15" customHeight="1">
      <c r="B67" s="708" t="s">
        <v>761</v>
      </c>
      <c r="C67" s="693">
        <v>209.70000000000002</v>
      </c>
      <c r="D67" s="693">
        <f>ROUND(C67*(1+D65),2)</f>
        <v>199.22</v>
      </c>
      <c r="E67" s="709">
        <f>ROUND(C67*(1+E65),2)</f>
        <v>220.19</v>
      </c>
    </row>
    <row r="68" spans="2:16" ht="15" customHeight="1">
      <c r="B68" s="710" t="s">
        <v>778</v>
      </c>
      <c r="C68" s="693">
        <v>27.96</v>
      </c>
      <c r="D68" s="718">
        <f>ROUND((D66+D67)*'DISCRETIONARY FEE PERCENTAGES'!$B$10,2)</f>
        <v>26.56</v>
      </c>
      <c r="E68" s="709">
        <f>ROUND((E66+E67)*'DISCRETIONARY FEE PERCENTAGES'!$B$10,2)</f>
        <v>29.36</v>
      </c>
    </row>
    <row r="69" spans="2:16" ht="15" customHeight="1">
      <c r="B69" s="710" t="s">
        <v>763</v>
      </c>
      <c r="C69" s="693">
        <v>13.98</v>
      </c>
      <c r="D69" s="718">
        <f>ROUND((D66+D67)*'DISCRETIONARY FEE PERCENTAGES'!$B$28,2)</f>
        <v>13.28</v>
      </c>
      <c r="E69" s="709">
        <f>ROUND((E66+E67)*'DISCRETIONARY FEE PERCENTAGES'!$B$28,2)</f>
        <v>14.68</v>
      </c>
    </row>
    <row r="70" spans="2:16" ht="15" customHeight="1" thickBot="1">
      <c r="B70" s="715" t="s">
        <v>779</v>
      </c>
      <c r="C70" s="719">
        <v>13.98</v>
      </c>
      <c r="D70" s="720">
        <f>ROUND((D66+D67)*'DISCRETIONARY FEE PERCENTAGES'!$B$22,2)</f>
        <v>13.28</v>
      </c>
      <c r="E70" s="721">
        <f>ROUND((E66+E67)*'DISCRETIONARY FEE PERCENTAGES'!$B$22,2)</f>
        <v>14.68</v>
      </c>
    </row>
    <row r="71" spans="2:16" ht="16.5" thickBot="1">
      <c r="B71" s="283"/>
      <c r="C71" s="289"/>
      <c r="D71" s="289"/>
      <c r="E71" s="289"/>
    </row>
    <row r="72" spans="2:16" ht="32.25" customHeight="1">
      <c r="B72" s="815" t="s">
        <v>780</v>
      </c>
      <c r="C72" s="927" t="s">
        <v>781</v>
      </c>
      <c r="D72" s="928"/>
      <c r="E72" s="929"/>
    </row>
    <row r="73" spans="2:16">
      <c r="B73" s="816"/>
      <c r="C73" s="817" t="s">
        <v>753</v>
      </c>
      <c r="D73" s="685" t="s">
        <v>754</v>
      </c>
      <c r="E73" s="706" t="s">
        <v>755</v>
      </c>
    </row>
    <row r="74" spans="2:16">
      <c r="B74" s="1143"/>
      <c r="C74" s="818"/>
      <c r="D74" s="687">
        <v>-0.05</v>
      </c>
      <c r="E74" s="707">
        <v>0.05</v>
      </c>
    </row>
    <row r="75" spans="2:16" ht="15" customHeight="1">
      <c r="B75" s="708" t="s">
        <v>782</v>
      </c>
      <c r="C75" s="693">
        <v>30</v>
      </c>
      <c r="D75" s="693">
        <f>ROUND(C75*(1+D74),2)</f>
        <v>28.5</v>
      </c>
      <c r="E75" s="709">
        <f>ROUND(C75*(1+E74),2)</f>
        <v>31.5</v>
      </c>
    </row>
    <row r="76" spans="2:16" ht="15" customHeight="1">
      <c r="B76" s="708"/>
      <c r="C76" s="693"/>
      <c r="D76" s="693"/>
      <c r="E76" s="709"/>
      <c r="F76" s="826"/>
      <c r="G76" s="826"/>
      <c r="H76" s="826"/>
      <c r="I76" s="826"/>
      <c r="J76" s="826"/>
      <c r="K76" s="826"/>
      <c r="L76" s="826"/>
      <c r="M76" s="826"/>
      <c r="N76" s="826"/>
      <c r="O76" s="826"/>
      <c r="P76" s="826"/>
    </row>
    <row r="77" spans="2:16" ht="15" customHeight="1">
      <c r="B77" s="708" t="s">
        <v>783</v>
      </c>
      <c r="C77" s="693">
        <v>45</v>
      </c>
      <c r="D77" s="693">
        <f>ROUND(C77*(1+D74),2)</f>
        <v>42.75</v>
      </c>
      <c r="E77" s="722">
        <f>ROUND(C77*(1+E74),2)</f>
        <v>47.25</v>
      </c>
    </row>
    <row r="78" spans="2:16" ht="15" customHeight="1">
      <c r="C78" s="289"/>
      <c r="D78" s="289"/>
      <c r="E78" s="289"/>
      <c r="F78" s="826"/>
      <c r="G78" s="826"/>
      <c r="H78" s="826"/>
      <c r="I78" s="826"/>
      <c r="J78" s="826"/>
      <c r="K78" s="826"/>
      <c r="L78" s="826"/>
      <c r="M78" s="826"/>
      <c r="N78" s="826"/>
      <c r="O78" s="826"/>
      <c r="P78" s="826"/>
    </row>
    <row r="79" spans="2:16" ht="15" customHeight="1">
      <c r="B79" s="285" t="s">
        <v>784</v>
      </c>
      <c r="C79" s="286"/>
      <c r="D79" s="286"/>
      <c r="E79" s="286"/>
    </row>
    <row r="80" spans="2:16" ht="15" customHeight="1">
      <c r="B80" s="285"/>
      <c r="C80" s="286"/>
      <c r="D80" s="286"/>
      <c r="E80" s="286"/>
    </row>
    <row r="81" spans="2:5" ht="30.6" customHeight="1">
      <c r="B81" s="822" t="s">
        <v>785</v>
      </c>
      <c r="C81" s="822"/>
      <c r="D81" s="822"/>
      <c r="E81" s="822"/>
    </row>
    <row r="83" spans="2:5" ht="15" customHeight="1"/>
    <row r="85" spans="2:5">
      <c r="C85" s="868"/>
      <c r="D85" s="868"/>
      <c r="E85" s="868"/>
    </row>
    <row r="86" spans="2:5">
      <c r="C86" s="287"/>
      <c r="D86" s="287"/>
      <c r="E86" s="287"/>
    </row>
    <row r="87" spans="2:5">
      <c r="C87" s="866"/>
    </row>
    <row r="88" spans="2:5">
      <c r="C88" s="866"/>
    </row>
    <row r="91" spans="2:5">
      <c r="B91" s="181"/>
      <c r="C91" s="181"/>
      <c r="D91" s="181"/>
      <c r="E91" s="181"/>
    </row>
    <row r="92" spans="2:5">
      <c r="B92" s="181"/>
      <c r="C92" s="181"/>
      <c r="D92" s="181"/>
      <c r="E92" s="181"/>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colorId="22" zoomScale="70" zoomScaleNormal="70" zoomScaleSheetLayoutView="80" zoomScalePageLayoutView="70" workbookViewId="0"/>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843" t="s">
        <v>10</v>
      </c>
      <c r="B1" s="843"/>
      <c r="C1" s="843"/>
    </row>
    <row r="2" spans="1:3" s="85" customFormat="1" ht="21" customHeight="1" thickBot="1">
      <c r="A2" s="843" t="s">
        <v>786</v>
      </c>
      <c r="B2" s="843"/>
      <c r="C2" s="843"/>
    </row>
    <row r="3" spans="1:3" s="85" customFormat="1" ht="26.45" customHeight="1">
      <c r="A3" s="943" t="s">
        <v>787</v>
      </c>
      <c r="B3" s="931"/>
      <c r="C3" s="932"/>
    </row>
    <row r="4" spans="1:3" s="85" customFormat="1" ht="42">
      <c r="A4" s="723" t="s">
        <v>788</v>
      </c>
      <c r="B4" s="724">
        <v>7.0000000000000007E-2</v>
      </c>
      <c r="C4" s="725" t="s">
        <v>789</v>
      </c>
    </row>
    <row r="5" spans="1:3" s="85" customFormat="1" ht="42">
      <c r="A5" s="723" t="s">
        <v>790</v>
      </c>
      <c r="B5" s="724">
        <v>0.05</v>
      </c>
      <c r="C5" s="725" t="s">
        <v>789</v>
      </c>
    </row>
    <row r="6" spans="1:3" s="85" customFormat="1" ht="30.95" customHeight="1">
      <c r="A6" s="726" t="s">
        <v>791</v>
      </c>
      <c r="B6" s="727">
        <v>0.1</v>
      </c>
      <c r="C6" s="728" t="s">
        <v>789</v>
      </c>
    </row>
    <row r="7" spans="1:3" s="85" customFormat="1" ht="26.45" customHeight="1">
      <c r="A7" s="937" t="s">
        <v>792</v>
      </c>
      <c r="B7" s="938"/>
      <c r="C7" s="939"/>
    </row>
    <row r="8" spans="1:3" s="85" customFormat="1" ht="42">
      <c r="A8" s="723" t="s">
        <v>788</v>
      </c>
      <c r="B8" s="724">
        <v>7.0000000000000007E-2</v>
      </c>
      <c r="C8" s="725" t="s">
        <v>793</v>
      </c>
    </row>
    <row r="9" spans="1:3" s="85" customFormat="1" ht="42">
      <c r="A9" s="723" t="s">
        <v>790</v>
      </c>
      <c r="B9" s="724">
        <v>0.05</v>
      </c>
      <c r="C9" s="725" t="s">
        <v>793</v>
      </c>
    </row>
    <row r="10" spans="1:3" s="85" customFormat="1" ht="29.1" customHeight="1">
      <c r="A10" s="726" t="str">
        <f>A6</f>
        <v>CCATD</v>
      </c>
      <c r="B10" s="727">
        <v>0.1</v>
      </c>
      <c r="C10" s="728" t="s">
        <v>793</v>
      </c>
    </row>
    <row r="11" spans="1:3" s="85" customFormat="1" ht="26.45" customHeight="1">
      <c r="A11" s="937" t="s">
        <v>794</v>
      </c>
      <c r="B11" s="938"/>
      <c r="C11" s="939"/>
    </row>
    <row r="12" spans="1:3" s="85" customFormat="1" ht="29.1" customHeight="1">
      <c r="A12" s="723" t="s">
        <v>795</v>
      </c>
      <c r="B12" s="724">
        <v>0.1</v>
      </c>
      <c r="C12" s="725" t="s">
        <v>796</v>
      </c>
    </row>
    <row r="13" spans="1:3" s="85" customFormat="1" ht="30" customHeight="1">
      <c r="A13" s="726" t="str">
        <f>A6</f>
        <v>CCATD</v>
      </c>
      <c r="B13" s="727">
        <v>0</v>
      </c>
      <c r="C13" s="728" t="s">
        <v>797</v>
      </c>
    </row>
    <row r="14" spans="1:3" s="85" customFormat="1" ht="26.45" customHeight="1">
      <c r="A14" s="940" t="s">
        <v>798</v>
      </c>
      <c r="B14" s="941"/>
      <c r="C14" s="942"/>
    </row>
    <row r="15" spans="1:3" s="85" customFormat="1" ht="27.95" customHeight="1">
      <c r="A15" s="723" t="s">
        <v>795</v>
      </c>
      <c r="B15" s="724">
        <v>0.1</v>
      </c>
      <c r="C15" s="725" t="s">
        <v>799</v>
      </c>
    </row>
    <row r="16" spans="1:3" s="85" customFormat="1" ht="27.95" customHeight="1">
      <c r="A16" s="726" t="str">
        <f>A6</f>
        <v>CCATD</v>
      </c>
      <c r="B16" s="727">
        <v>0</v>
      </c>
      <c r="C16" s="728" t="s">
        <v>797</v>
      </c>
    </row>
    <row r="17" spans="1:3" s="85" customFormat="1" ht="26.45" customHeight="1">
      <c r="A17" s="937" t="s">
        <v>800</v>
      </c>
      <c r="B17" s="938"/>
      <c r="C17" s="939"/>
    </row>
    <row r="18" spans="1:3" s="85" customFormat="1" ht="42">
      <c r="A18" s="729" t="s">
        <v>795</v>
      </c>
      <c r="B18" s="724">
        <v>0.2</v>
      </c>
      <c r="C18" s="730" t="s">
        <v>801</v>
      </c>
    </row>
    <row r="19" spans="1:3" s="85" customFormat="1" ht="30.95" customHeight="1">
      <c r="A19" s="726" t="str">
        <f>A6</f>
        <v>CCATD</v>
      </c>
      <c r="B19" s="727">
        <v>0.05</v>
      </c>
      <c r="C19" s="728" t="s">
        <v>802</v>
      </c>
    </row>
    <row r="20" spans="1:3" s="85" customFormat="1" ht="26.45" customHeight="1">
      <c r="A20" s="937" t="s">
        <v>803</v>
      </c>
      <c r="B20" s="938"/>
      <c r="C20" s="939"/>
    </row>
    <row r="21" spans="1:3" s="85" customFormat="1" ht="21">
      <c r="A21" s="729" t="s">
        <v>795</v>
      </c>
      <c r="B21" s="724">
        <v>0.2</v>
      </c>
      <c r="C21" s="725" t="s">
        <v>793</v>
      </c>
    </row>
    <row r="22" spans="1:3" s="85" customFormat="1" ht="27.95" customHeight="1">
      <c r="A22" s="726" t="str">
        <f>A6</f>
        <v>CCATD</v>
      </c>
      <c r="B22" s="727">
        <v>0.05</v>
      </c>
      <c r="C22" s="728" t="s">
        <v>793</v>
      </c>
    </row>
    <row r="23" spans="1:3" s="85" customFormat="1" ht="26.45" customHeight="1">
      <c r="A23" s="937" t="s">
        <v>804</v>
      </c>
      <c r="B23" s="938"/>
      <c r="C23" s="939"/>
    </row>
    <row r="24" spans="1:3" s="85" customFormat="1" ht="21">
      <c r="A24" s="729" t="s">
        <v>795</v>
      </c>
      <c r="B24" s="724">
        <v>0.05</v>
      </c>
      <c r="C24" s="725" t="s">
        <v>796</v>
      </c>
    </row>
    <row r="25" spans="1:3" s="85" customFormat="1" ht="27.95" customHeight="1">
      <c r="A25" s="726" t="str">
        <f>A6</f>
        <v>CCATD</v>
      </c>
      <c r="B25" s="727">
        <v>0.05</v>
      </c>
      <c r="C25" s="731" t="s">
        <v>796</v>
      </c>
    </row>
    <row r="26" spans="1:3" s="85" customFormat="1" ht="26.45" customHeight="1">
      <c r="A26" s="937" t="s">
        <v>805</v>
      </c>
      <c r="B26" s="938"/>
      <c r="C26" s="939"/>
    </row>
    <row r="27" spans="1:3" s="85" customFormat="1" ht="21">
      <c r="A27" s="729" t="s">
        <v>795</v>
      </c>
      <c r="B27" s="724">
        <v>0.05</v>
      </c>
      <c r="C27" s="725" t="s">
        <v>793</v>
      </c>
    </row>
    <row r="28" spans="1:3" s="85" customFormat="1" ht="27.95" customHeight="1" thickBot="1">
      <c r="A28" s="732" t="str">
        <f>A6</f>
        <v>CCATD</v>
      </c>
      <c r="B28" s="733">
        <v>0.05</v>
      </c>
      <c r="C28" s="734" t="s">
        <v>793</v>
      </c>
    </row>
    <row r="30" spans="1:3" ht="61.35" customHeight="1">
      <c r="A30" s="933" t="s">
        <v>806</v>
      </c>
      <c r="B30" s="933"/>
      <c r="C30" s="933"/>
    </row>
    <row r="31" spans="1:3" ht="14.45" customHeight="1">
      <c r="A31" s="934"/>
      <c r="B31" s="934"/>
      <c r="C31" s="934"/>
    </row>
    <row r="32" spans="1:3" ht="31.35" customHeight="1">
      <c r="A32" s="933" t="s">
        <v>807</v>
      </c>
      <c r="B32" s="933"/>
      <c r="C32" s="933"/>
    </row>
    <row r="33" spans="1:3" ht="14.45" customHeight="1">
      <c r="A33" s="934"/>
      <c r="B33" s="934"/>
      <c r="C33" s="934"/>
    </row>
    <row r="34" spans="1:3" ht="30" customHeight="1">
      <c r="A34" s="933" t="s">
        <v>808</v>
      </c>
      <c r="B34" s="933"/>
      <c r="C34" s="933"/>
    </row>
    <row r="35" spans="1:3" ht="14.45" customHeight="1">
      <c r="A35" s="934"/>
      <c r="B35" s="934"/>
      <c r="C35" s="934"/>
    </row>
    <row r="36" spans="1:3" ht="15" customHeight="1">
      <c r="A36" s="935" t="s">
        <v>809</v>
      </c>
      <c r="B36" s="934"/>
      <c r="C36" s="934"/>
    </row>
    <row r="37" spans="1:3" ht="15" customHeight="1">
      <c r="A37" s="83"/>
    </row>
    <row r="38" spans="1:3" ht="15" customHeight="1">
      <c r="A38" s="84"/>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20" t="s">
        <v>810</v>
      </c>
    </row>
    <row r="2" spans="1:1">
      <c r="A2" s="620" t="s">
        <v>811</v>
      </c>
    </row>
    <row r="3" spans="1:1">
      <c r="A3" s="620" t="s">
        <v>812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625" t="s">
        <v>10</v>
      </c>
      <c r="B1" s="622"/>
      <c r="C1" s="622"/>
      <c r="D1" s="622"/>
      <c r="E1" s="622"/>
      <c r="F1" s="622"/>
      <c r="G1" s="622"/>
      <c r="H1" s="622"/>
      <c r="I1" s="622"/>
      <c r="J1" s="622"/>
    </row>
    <row r="2" spans="1:10" ht="22.35" customHeight="1">
      <c r="A2" s="625" t="s">
        <v>11</v>
      </c>
      <c r="B2" s="622"/>
      <c r="C2" s="622"/>
      <c r="D2" s="622"/>
      <c r="E2" s="622"/>
      <c r="F2" s="622"/>
      <c r="G2" s="622"/>
      <c r="H2" s="622"/>
      <c r="I2" s="622"/>
      <c r="J2" s="622"/>
    </row>
    <row r="3" spans="1:10" ht="22.35" customHeight="1">
      <c r="A3" s="625" t="s">
        <v>12</v>
      </c>
      <c r="B3" s="622"/>
      <c r="C3" s="622"/>
      <c r="D3" s="622"/>
      <c r="E3" s="622"/>
      <c r="F3" s="622"/>
      <c r="G3" s="622"/>
      <c r="H3" s="622"/>
      <c r="I3" s="622"/>
      <c r="J3" s="622"/>
    </row>
    <row r="4" spans="1:10" ht="26.45" customHeight="1">
      <c r="A4" s="626" t="s">
        <v>13</v>
      </c>
      <c r="B4" s="627"/>
      <c r="C4" s="627"/>
      <c r="D4" s="627"/>
      <c r="E4" s="627"/>
      <c r="F4" s="627"/>
      <c r="G4" s="627"/>
      <c r="H4" s="627"/>
      <c r="I4" s="627"/>
      <c r="J4" s="627"/>
    </row>
    <row r="11" spans="1:10" ht="34.5">
      <c r="E11" s="446"/>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155"/>
  <sheetViews>
    <sheetView showGridLines="0" zoomScale="60" zoomScaleNormal="60" zoomScalePageLayoutView="80" workbookViewId="0">
      <selection activeCell="G25" sqref="G25:G26"/>
    </sheetView>
  </sheetViews>
  <sheetFormatPr defaultColWidth="8.85546875" defaultRowHeight="21"/>
  <cols>
    <col min="1" max="1" width="56"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16.28515625" style="17" customWidth="1"/>
    <col min="8" max="8" width="17.5703125" style="17" customWidth="1"/>
    <col min="9" max="9" width="14.28515625" style="17" customWidth="1"/>
    <col min="10" max="10" width="16.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1.42578125" style="17" customWidth="1"/>
    <col min="41" max="41" width="19.140625" style="17" customWidth="1"/>
    <col min="42" max="42" width="2.7109375" style="17" customWidth="1"/>
    <col min="43" max="44" width="20.140625" style="17" customWidth="1"/>
    <col min="45" max="16384" width="8.85546875" style="17"/>
  </cols>
  <sheetData>
    <row r="1" spans="1:10" ht="25.35" customHeight="1">
      <c r="A1" s="953" t="s">
        <v>14</v>
      </c>
      <c r="B1" s="953"/>
      <c r="C1" s="953"/>
      <c r="D1" s="953"/>
      <c r="E1" s="16"/>
    </row>
    <row r="2" spans="1:10" ht="33.6" customHeight="1" thickBot="1">
      <c r="A2" s="960" t="s">
        <v>15</v>
      </c>
      <c r="B2" s="960"/>
      <c r="C2" s="960"/>
      <c r="D2" s="960"/>
    </row>
    <row r="3" spans="1:10" ht="25.35" customHeight="1" thickBot="1">
      <c r="A3" s="62"/>
      <c r="B3" s="63" t="s">
        <v>16</v>
      </c>
      <c r="C3" s="64"/>
      <c r="D3" s="73"/>
      <c r="E3" s="72"/>
    </row>
    <row r="4" spans="1:10" ht="25.35" customHeight="1" thickBot="1">
      <c r="A4" s="62">
        <v>1</v>
      </c>
      <c r="B4" s="52">
        <v>2</v>
      </c>
      <c r="C4" s="52">
        <v>3</v>
      </c>
      <c r="D4" s="52">
        <v>4</v>
      </c>
      <c r="E4" s="19"/>
    </row>
    <row r="5" spans="1:10" ht="44.1" customHeight="1" thickBot="1">
      <c r="A5" s="38" t="s">
        <v>17</v>
      </c>
      <c r="B5" s="1004" t="s">
        <v>18</v>
      </c>
      <c r="C5" s="1005"/>
      <c r="D5" s="1006"/>
      <c r="E5" s="602"/>
      <c r="F5" s="19"/>
    </row>
    <row r="6" spans="1:10" ht="89.1" customHeight="1" thickBot="1">
      <c r="A6" s="297" t="s">
        <v>19</v>
      </c>
      <c r="B6" s="61" t="s">
        <v>20</v>
      </c>
      <c r="C6" s="23" t="s">
        <v>21</v>
      </c>
      <c r="D6" s="76" t="s">
        <v>22</v>
      </c>
      <c r="F6" s="19"/>
    </row>
    <row r="7" spans="1:10" ht="25.35" customHeight="1">
      <c r="A7" s="415" t="s">
        <v>23</v>
      </c>
      <c r="B7" s="1144">
        <v>39410676.032799996</v>
      </c>
      <c r="C7" s="1041">
        <v>9012111</v>
      </c>
      <c r="D7" s="81">
        <f t="shared" ref="D7:D34" si="0">SUM(B7:C7)</f>
        <v>48422787.032799996</v>
      </c>
      <c r="E7" s="443"/>
      <c r="F7" s="444"/>
      <c r="G7" s="48"/>
      <c r="I7" s="48"/>
      <c r="J7" s="48"/>
    </row>
    <row r="8" spans="1:10" ht="25.35" customHeight="1">
      <c r="A8" s="395" t="s">
        <v>24</v>
      </c>
      <c r="B8" s="873">
        <v>78888612.198300004</v>
      </c>
      <c r="C8" s="1042">
        <v>18061799</v>
      </c>
      <c r="D8" s="74">
        <f t="shared" si="0"/>
        <v>96950411.198300004</v>
      </c>
      <c r="E8" s="419"/>
      <c r="F8" s="48"/>
      <c r="G8" s="48"/>
      <c r="I8" s="48"/>
      <c r="J8" s="48"/>
    </row>
    <row r="9" spans="1:10" ht="25.35" customHeight="1">
      <c r="A9" s="395" t="s">
        <v>25</v>
      </c>
      <c r="B9" s="873">
        <v>33122473.964400001</v>
      </c>
      <c r="C9" s="1042">
        <v>5159428</v>
      </c>
      <c r="D9" s="74">
        <f t="shared" si="0"/>
        <v>38281901.964400001</v>
      </c>
      <c r="E9" s="419"/>
      <c r="F9" s="48"/>
      <c r="G9" s="48"/>
      <c r="I9" s="48"/>
      <c r="J9" s="48"/>
    </row>
    <row r="10" spans="1:10" ht="25.35" customHeight="1">
      <c r="A10" s="395" t="s">
        <v>26</v>
      </c>
      <c r="B10" s="873">
        <v>10140122.1391</v>
      </c>
      <c r="C10" s="1042">
        <v>2837892</v>
      </c>
      <c r="D10" s="74">
        <f t="shared" si="0"/>
        <v>12978014.1391</v>
      </c>
      <c r="E10" s="419"/>
      <c r="F10" s="48"/>
      <c r="G10" s="48"/>
      <c r="I10" s="48"/>
      <c r="J10" s="48"/>
    </row>
    <row r="11" spans="1:10" ht="25.35" customHeight="1">
      <c r="A11" s="395" t="s">
        <v>27</v>
      </c>
      <c r="B11" s="873">
        <v>43596058.663999997</v>
      </c>
      <c r="C11" s="1042">
        <v>10843888</v>
      </c>
      <c r="D11" s="74">
        <f t="shared" si="0"/>
        <v>54439946.663999997</v>
      </c>
      <c r="E11" s="419"/>
      <c r="F11" s="48"/>
      <c r="G11" s="48"/>
      <c r="I11" s="48"/>
      <c r="J11" s="48"/>
    </row>
    <row r="12" spans="1:10" ht="25.35" customHeight="1">
      <c r="A12" s="395" t="s">
        <v>28</v>
      </c>
      <c r="B12" s="873">
        <v>31716135.217799999</v>
      </c>
      <c r="C12" s="1042">
        <v>6909047</v>
      </c>
      <c r="D12" s="74">
        <f t="shared" si="0"/>
        <v>38625182.217799999</v>
      </c>
      <c r="E12" s="419"/>
      <c r="F12" s="48"/>
      <c r="G12" s="48"/>
      <c r="I12" s="48"/>
      <c r="J12" s="48"/>
    </row>
    <row r="13" spans="1:10" ht="25.35" customHeight="1">
      <c r="A13" s="395" t="s">
        <v>29</v>
      </c>
      <c r="B13" s="873">
        <v>65338110.648300007</v>
      </c>
      <c r="C13" s="1042">
        <v>16235011</v>
      </c>
      <c r="D13" s="74">
        <f t="shared" si="0"/>
        <v>81573121.648300007</v>
      </c>
      <c r="E13" s="419"/>
      <c r="F13" s="48"/>
      <c r="G13" s="48"/>
      <c r="I13" s="48"/>
      <c r="J13" s="48"/>
    </row>
    <row r="14" spans="1:10" ht="25.35" customHeight="1">
      <c r="A14" s="395" t="s">
        <v>30</v>
      </c>
      <c r="B14" s="873">
        <v>7222490.6436999999</v>
      </c>
      <c r="C14" s="1042">
        <v>1462858</v>
      </c>
      <c r="D14" s="74">
        <f t="shared" si="0"/>
        <v>8685348.6436999999</v>
      </c>
      <c r="E14" s="419"/>
      <c r="F14" s="48"/>
      <c r="G14" s="48"/>
      <c r="I14" s="48"/>
      <c r="J14" s="48"/>
    </row>
    <row r="15" spans="1:10" ht="25.35" customHeight="1">
      <c r="A15" s="395" t="s">
        <v>31</v>
      </c>
      <c r="B15" s="873">
        <v>20557563.359499998</v>
      </c>
      <c r="C15" s="1042">
        <v>4625762</v>
      </c>
      <c r="D15" s="74">
        <f t="shared" si="0"/>
        <v>25183325.359499998</v>
      </c>
      <c r="E15" s="419"/>
      <c r="F15" s="48"/>
      <c r="G15" s="48"/>
      <c r="I15" s="48"/>
      <c r="J15" s="48"/>
    </row>
    <row r="16" spans="1:10" ht="25.35" customHeight="1">
      <c r="A16" s="395" t="s">
        <v>32</v>
      </c>
      <c r="B16" s="873">
        <v>62210734.112299994</v>
      </c>
      <c r="C16" s="1042">
        <v>12266869</v>
      </c>
      <c r="D16" s="74">
        <f t="shared" si="0"/>
        <v>74477603.112299994</v>
      </c>
      <c r="E16" s="419"/>
      <c r="F16" s="48"/>
      <c r="G16" s="48"/>
      <c r="I16" s="48"/>
      <c r="J16" s="48"/>
    </row>
    <row r="17" spans="1:10" ht="25.35" customHeight="1">
      <c r="A17" s="395" t="s">
        <v>33</v>
      </c>
      <c r="B17" s="873">
        <v>43473852.9881</v>
      </c>
      <c r="C17" s="1042">
        <v>9941113</v>
      </c>
      <c r="D17" s="74">
        <f t="shared" si="0"/>
        <v>53414965.9881</v>
      </c>
      <c r="E17" s="419"/>
      <c r="F17" s="48"/>
      <c r="G17" s="48"/>
      <c r="I17" s="48"/>
      <c r="J17" s="48"/>
    </row>
    <row r="18" spans="1:10" ht="25.35" customHeight="1">
      <c r="A18" s="395" t="s">
        <v>34</v>
      </c>
      <c r="B18" s="873">
        <v>12328495.215399999</v>
      </c>
      <c r="C18" s="1042">
        <v>2894280</v>
      </c>
      <c r="D18" s="74">
        <f t="shared" si="0"/>
        <v>15222775.215399999</v>
      </c>
      <c r="E18" s="419"/>
      <c r="F18" s="48"/>
      <c r="G18" s="48"/>
      <c r="I18" s="48"/>
      <c r="J18" s="48"/>
    </row>
    <row r="19" spans="1:10" ht="25.35" customHeight="1">
      <c r="A19" s="395" t="s">
        <v>35</v>
      </c>
      <c r="B19" s="873">
        <v>18725936.7663</v>
      </c>
      <c r="C19" s="1042">
        <v>2843909</v>
      </c>
      <c r="D19" s="74">
        <f t="shared" si="0"/>
        <v>21569845.7663</v>
      </c>
      <c r="E19" s="419"/>
      <c r="F19" s="48"/>
      <c r="G19" s="48"/>
      <c r="I19" s="48"/>
      <c r="J19" s="48"/>
    </row>
    <row r="20" spans="1:10" ht="25.35" customHeight="1">
      <c r="A20" s="395" t="s">
        <v>36</v>
      </c>
      <c r="B20" s="873">
        <v>24920093.315499999</v>
      </c>
      <c r="C20" s="1042">
        <v>4791952</v>
      </c>
      <c r="D20" s="74">
        <f t="shared" si="0"/>
        <v>29712045.315499999</v>
      </c>
      <c r="E20" s="419"/>
      <c r="F20" s="48"/>
      <c r="G20" s="48"/>
      <c r="I20" s="48"/>
      <c r="J20" s="48"/>
    </row>
    <row r="21" spans="1:10" ht="25.35" customHeight="1">
      <c r="A21" s="395" t="s">
        <v>37</v>
      </c>
      <c r="B21" s="873">
        <v>151429109.92829999</v>
      </c>
      <c r="C21" s="1042">
        <v>36629438</v>
      </c>
      <c r="D21" s="74">
        <f t="shared" si="0"/>
        <v>188058547.92829999</v>
      </c>
      <c r="E21" s="419"/>
      <c r="F21" s="48"/>
      <c r="G21" s="48"/>
      <c r="I21" s="48"/>
      <c r="J21" s="48"/>
    </row>
    <row r="22" spans="1:10" ht="25.35" customHeight="1">
      <c r="A22" s="395" t="s">
        <v>38</v>
      </c>
      <c r="B22" s="873">
        <v>7283864.2276000008</v>
      </c>
      <c r="C22" s="1042">
        <v>1541928</v>
      </c>
      <c r="D22" s="74">
        <f t="shared" si="0"/>
        <v>8825792.2276000008</v>
      </c>
      <c r="E22" s="419"/>
      <c r="F22" s="48"/>
      <c r="G22" s="48"/>
      <c r="I22" s="48"/>
      <c r="J22" s="48"/>
    </row>
    <row r="23" spans="1:10" ht="25.35" customHeight="1">
      <c r="A23" s="395" t="s">
        <v>39</v>
      </c>
      <c r="B23" s="873">
        <v>17597037.0526</v>
      </c>
      <c r="C23" s="1042">
        <v>4074354</v>
      </c>
      <c r="D23" s="74">
        <f t="shared" si="0"/>
        <v>21671391.0526</v>
      </c>
      <c r="E23" s="419"/>
      <c r="F23" s="48"/>
      <c r="G23" s="48"/>
      <c r="I23" s="48"/>
      <c r="J23" s="48"/>
    </row>
    <row r="24" spans="1:10" ht="25.35" customHeight="1">
      <c r="A24" s="395" t="s">
        <v>40</v>
      </c>
      <c r="B24" s="873">
        <v>58747439.630400002</v>
      </c>
      <c r="C24" s="1042">
        <v>12285532</v>
      </c>
      <c r="D24" s="74">
        <f t="shared" si="0"/>
        <v>71032971.630400002</v>
      </c>
      <c r="E24" s="419"/>
      <c r="F24" s="48"/>
      <c r="G24" s="48"/>
      <c r="I24" s="48"/>
      <c r="J24" s="48"/>
    </row>
    <row r="25" spans="1:10" ht="25.35" customHeight="1">
      <c r="A25" s="395" t="s">
        <v>41</v>
      </c>
      <c r="B25" s="873">
        <v>40593262.803199999</v>
      </c>
      <c r="C25" s="1042">
        <v>5931856</v>
      </c>
      <c r="D25" s="74">
        <f t="shared" si="0"/>
        <v>46525118.803199999</v>
      </c>
      <c r="E25" s="419"/>
      <c r="F25" s="48"/>
      <c r="G25" s="48"/>
      <c r="I25" s="48"/>
      <c r="J25" s="48"/>
    </row>
    <row r="26" spans="1:10" ht="25.35" customHeight="1">
      <c r="A26" s="395" t="s">
        <v>42</v>
      </c>
      <c r="B26" s="873">
        <v>32670984.101199999</v>
      </c>
      <c r="C26" s="1042">
        <v>7356570</v>
      </c>
      <c r="D26" s="74">
        <f t="shared" si="0"/>
        <v>40027554.101199999</v>
      </c>
      <c r="E26" s="419"/>
      <c r="F26" s="48"/>
      <c r="G26" s="48"/>
      <c r="I26" s="48"/>
      <c r="J26" s="48"/>
    </row>
    <row r="27" spans="1:10" ht="25.35" customHeight="1">
      <c r="A27" s="395" t="s">
        <v>43</v>
      </c>
      <c r="B27" s="873">
        <v>46191757.493199997</v>
      </c>
      <c r="C27" s="1042">
        <v>6030014</v>
      </c>
      <c r="D27" s="74">
        <f t="shared" si="0"/>
        <v>52221771.493199997</v>
      </c>
      <c r="E27" s="419"/>
      <c r="F27" s="48"/>
      <c r="G27" s="48"/>
      <c r="I27" s="48"/>
      <c r="J27" s="48"/>
    </row>
    <row r="28" spans="1:10" ht="25.35" customHeight="1">
      <c r="A28" s="395" t="s">
        <v>44</v>
      </c>
      <c r="B28" s="873">
        <v>21709062.337499999</v>
      </c>
      <c r="C28" s="1042">
        <v>4113436</v>
      </c>
      <c r="D28" s="74">
        <f t="shared" si="0"/>
        <v>25822498.337499999</v>
      </c>
      <c r="E28" s="419"/>
      <c r="F28" s="48"/>
      <c r="G28" s="48"/>
      <c r="I28" s="48"/>
      <c r="J28" s="48"/>
    </row>
    <row r="29" spans="1:10" ht="25.35" customHeight="1">
      <c r="A29" s="395" t="s">
        <v>45</v>
      </c>
      <c r="B29" s="873">
        <v>71617032.119900003</v>
      </c>
      <c r="C29" s="1042">
        <v>14743060</v>
      </c>
      <c r="D29" s="74">
        <f t="shared" si="0"/>
        <v>86360092.119900003</v>
      </c>
      <c r="E29" s="419"/>
      <c r="F29" s="48"/>
      <c r="G29" s="48"/>
      <c r="I29" s="48"/>
      <c r="J29" s="48"/>
    </row>
    <row r="30" spans="1:10" ht="25.35" customHeight="1">
      <c r="A30" s="395" t="s">
        <v>46</v>
      </c>
      <c r="B30" s="873">
        <v>38953794.723999999</v>
      </c>
      <c r="C30" s="1042">
        <v>7484787</v>
      </c>
      <c r="D30" s="74">
        <f t="shared" si="0"/>
        <v>46438581.723999999</v>
      </c>
      <c r="E30" s="419"/>
      <c r="F30" s="48"/>
      <c r="G30" s="48"/>
      <c r="I30" s="48"/>
      <c r="J30" s="48"/>
    </row>
    <row r="31" spans="1:10" ht="25.35" customHeight="1">
      <c r="A31" s="395" t="s">
        <v>47</v>
      </c>
      <c r="B31" s="873">
        <v>41670946.726499997</v>
      </c>
      <c r="C31" s="1042">
        <v>8063557</v>
      </c>
      <c r="D31" s="74">
        <f t="shared" si="0"/>
        <v>49734503.726499997</v>
      </c>
      <c r="E31" s="419"/>
      <c r="F31" s="48"/>
      <c r="G31" s="48"/>
      <c r="I31" s="48"/>
      <c r="J31" s="48"/>
    </row>
    <row r="32" spans="1:10" ht="25.35" customHeight="1">
      <c r="A32" s="395" t="s">
        <v>48</v>
      </c>
      <c r="B32" s="873">
        <v>17675458.982799999</v>
      </c>
      <c r="C32" s="1042">
        <v>3461595</v>
      </c>
      <c r="D32" s="74">
        <f t="shared" si="0"/>
        <v>21137053.982799999</v>
      </c>
      <c r="E32" s="419"/>
      <c r="F32" s="48"/>
      <c r="G32" s="48"/>
      <c r="I32" s="48" t="s">
        <v>49</v>
      </c>
      <c r="J32" s="48"/>
    </row>
    <row r="33" spans="1:12" ht="25.35" customHeight="1">
      <c r="A33" s="395" t="s">
        <v>50</v>
      </c>
      <c r="B33" s="873">
        <v>29636356.845799997</v>
      </c>
      <c r="C33" s="1042">
        <v>6733218</v>
      </c>
      <c r="D33" s="74">
        <f t="shared" si="0"/>
        <v>36369574.845799997</v>
      </c>
      <c r="E33" s="419"/>
      <c r="F33" s="48"/>
      <c r="G33" s="48"/>
      <c r="I33" s="419"/>
      <c r="J33" s="48"/>
      <c r="K33" s="419"/>
    </row>
    <row r="34" spans="1:12" ht="25.35" customHeight="1" thickBot="1">
      <c r="A34" s="396" t="s">
        <v>51</v>
      </c>
      <c r="B34" s="873">
        <v>88194296.761600003</v>
      </c>
      <c r="C34" s="1042">
        <v>14647340</v>
      </c>
      <c r="D34" s="75">
        <f t="shared" si="0"/>
        <v>102841636.7616</v>
      </c>
      <c r="E34" s="419"/>
      <c r="F34" s="48"/>
      <c r="G34" s="48"/>
      <c r="I34" s="419"/>
      <c r="J34" s="48"/>
      <c r="K34" s="419"/>
    </row>
    <row r="35" spans="1:12" ht="25.35" customHeight="1" thickBot="1">
      <c r="A35" s="397" t="s">
        <v>52</v>
      </c>
      <c r="B35" s="439">
        <f>SUM(B7:B34)</f>
        <v>1155621759.0000999</v>
      </c>
      <c r="C35" s="440">
        <f>SUM(C7:C34)</f>
        <v>240982604</v>
      </c>
      <c r="D35" s="409">
        <f>SUM(D7:D34)</f>
        <v>1396604363.0000999</v>
      </c>
      <c r="E35" s="441"/>
      <c r="F35" s="48"/>
      <c r="G35" s="48"/>
      <c r="H35" s="48"/>
      <c r="I35" s="419"/>
      <c r="J35" s="48"/>
      <c r="K35" s="419"/>
      <c r="L35" s="420"/>
    </row>
    <row r="36" spans="1:12" ht="19.350000000000001" customHeight="1">
      <c r="A36" s="1007" t="s">
        <v>53</v>
      </c>
      <c r="B36" s="1007"/>
      <c r="C36" s="1007"/>
      <c r="D36" s="1007"/>
      <c r="E36" s="491"/>
      <c r="K36" s="419"/>
    </row>
    <row r="37" spans="1:12" ht="44.45" customHeight="1">
      <c r="A37" s="1008" t="s">
        <v>54</v>
      </c>
      <c r="B37" s="1008"/>
      <c r="C37" s="1008"/>
      <c r="D37" s="1008"/>
      <c r="E37" s="490"/>
      <c r="K37" s="419"/>
    </row>
    <row r="38" spans="1:12" ht="26.45" customHeight="1">
      <c r="A38" s="973"/>
      <c r="B38" s="973"/>
      <c r="C38" s="973"/>
      <c r="D38" s="973"/>
      <c r="E38" s="490"/>
      <c r="K38" s="419"/>
    </row>
    <row r="39" spans="1:12" ht="36.6" customHeight="1" thickBot="1">
      <c r="A39" s="485" t="s">
        <v>15</v>
      </c>
      <c r="B39" s="486"/>
      <c r="C39" s="486"/>
      <c r="K39" s="172"/>
    </row>
    <row r="40" spans="1:12" ht="24" customHeight="1" thickBot="1">
      <c r="A40" s="44" t="s">
        <v>55</v>
      </c>
      <c r="B40" s="869" t="s">
        <v>56</v>
      </c>
      <c r="C40" s="870"/>
      <c r="D40" s="870"/>
      <c r="E40" s="871"/>
      <c r="F40" s="17" t="s">
        <v>9</v>
      </c>
      <c r="K40" s="172"/>
    </row>
    <row r="41" spans="1:12" ht="22.35" customHeight="1" thickBot="1">
      <c r="A41" s="45">
        <v>1</v>
      </c>
      <c r="B41" s="52">
        <v>2</v>
      </c>
      <c r="C41" s="52">
        <v>3</v>
      </c>
      <c r="D41" s="52">
        <v>4</v>
      </c>
      <c r="E41" s="52">
        <v>5</v>
      </c>
    </row>
    <row r="42" spans="1:12" ht="24.6" customHeight="1" thickBot="1">
      <c r="A42" s="40" t="s">
        <v>19</v>
      </c>
      <c r="B42" s="49" t="s">
        <v>57</v>
      </c>
      <c r="C42" s="50" t="s">
        <v>58</v>
      </c>
      <c r="D42" s="51" t="s">
        <v>59</v>
      </c>
      <c r="E42" s="398" t="s">
        <v>60</v>
      </c>
    </row>
    <row r="43" spans="1:12" ht="42">
      <c r="A43" s="875" t="str">
        <f>A10</f>
        <v>Chipola College</v>
      </c>
      <c r="B43" s="1145" t="s">
        <v>61</v>
      </c>
      <c r="C43" s="950">
        <v>200000</v>
      </c>
      <c r="D43" s="950"/>
      <c r="E43" s="1043">
        <f t="shared" ref="E43:E62" si="1">C43+D43</f>
        <v>200000</v>
      </c>
    </row>
    <row r="44" spans="1:12" ht="42">
      <c r="A44" s="1044" t="s">
        <v>25</v>
      </c>
      <c r="B44" s="1145" t="s">
        <v>62</v>
      </c>
      <c r="C44" s="950"/>
      <c r="D44" s="950">
        <v>375000</v>
      </c>
      <c r="E44" s="1043">
        <f t="shared" si="1"/>
        <v>375000</v>
      </c>
    </row>
    <row r="45" spans="1:12" ht="42">
      <c r="A45" s="1044" t="str">
        <f>A11</f>
        <v>Daytona State College</v>
      </c>
      <c r="B45" s="949" t="s">
        <v>63</v>
      </c>
      <c r="C45" s="950">
        <v>500000</v>
      </c>
      <c r="D45" s="950"/>
      <c r="E45" s="1043">
        <f t="shared" si="1"/>
        <v>500000</v>
      </c>
    </row>
    <row r="46" spans="1:12" ht="84.75" customHeight="1">
      <c r="A46" s="874" t="s">
        <v>27</v>
      </c>
      <c r="B46" s="949" t="s">
        <v>64</v>
      </c>
      <c r="C46" s="950"/>
      <c r="D46" s="950">
        <v>315500</v>
      </c>
      <c r="E46" s="1043">
        <f t="shared" si="1"/>
        <v>315500</v>
      </c>
    </row>
    <row r="47" spans="1:12" ht="84.75" customHeight="1">
      <c r="A47" s="874" t="s">
        <v>27</v>
      </c>
      <c r="B47" s="949" t="s">
        <v>65</v>
      </c>
      <c r="C47" s="950"/>
      <c r="D47" s="950">
        <v>447123</v>
      </c>
      <c r="E47" s="1043">
        <f t="shared" si="1"/>
        <v>447123</v>
      </c>
    </row>
    <row r="48" spans="1:12" ht="84.75" customHeight="1">
      <c r="A48" s="874" t="s">
        <v>23</v>
      </c>
      <c r="B48" s="949" t="s">
        <v>66</v>
      </c>
      <c r="C48" s="950"/>
      <c r="D48" s="950">
        <v>1200000</v>
      </c>
      <c r="E48" s="1043">
        <f t="shared" si="1"/>
        <v>1200000</v>
      </c>
    </row>
    <row r="49" spans="1:5" ht="62.45" customHeight="1">
      <c r="A49" s="874" t="s">
        <v>32</v>
      </c>
      <c r="B49" s="949" t="s">
        <v>67</v>
      </c>
      <c r="C49" s="950">
        <v>2500000</v>
      </c>
      <c r="D49" s="950"/>
      <c r="E49" s="1043">
        <f t="shared" si="1"/>
        <v>2500000</v>
      </c>
    </row>
    <row r="50" spans="1:5" ht="62.45" customHeight="1">
      <c r="A50" s="874" t="s">
        <v>37</v>
      </c>
      <c r="B50" s="949" t="s">
        <v>68</v>
      </c>
      <c r="C50" s="950"/>
      <c r="D50" s="950">
        <v>1000000</v>
      </c>
      <c r="E50" s="1043">
        <f t="shared" si="1"/>
        <v>1000000</v>
      </c>
    </row>
    <row r="51" spans="1:5" ht="62.45" customHeight="1">
      <c r="A51" s="874" t="s">
        <v>37</v>
      </c>
      <c r="B51" s="949" t="s">
        <v>69</v>
      </c>
      <c r="C51" s="950"/>
      <c r="D51" s="950">
        <v>600050</v>
      </c>
      <c r="E51" s="1043">
        <f t="shared" si="1"/>
        <v>600050</v>
      </c>
    </row>
    <row r="52" spans="1:5" ht="62.45" customHeight="1">
      <c r="A52" s="874" t="s">
        <v>38</v>
      </c>
      <c r="B52" s="949" t="s">
        <v>70</v>
      </c>
      <c r="C52" s="950"/>
      <c r="D52" s="950">
        <v>400000</v>
      </c>
      <c r="E52" s="1043">
        <f t="shared" si="1"/>
        <v>400000</v>
      </c>
    </row>
    <row r="53" spans="1:5" ht="62.45" customHeight="1">
      <c r="A53" s="874" t="s">
        <v>39</v>
      </c>
      <c r="B53" s="949" t="s">
        <v>71</v>
      </c>
      <c r="C53" s="950"/>
      <c r="D53" s="950">
        <v>500000</v>
      </c>
      <c r="E53" s="1043">
        <f t="shared" si="1"/>
        <v>500000</v>
      </c>
    </row>
    <row r="54" spans="1:5" ht="62.45" customHeight="1">
      <c r="A54" s="874" t="s">
        <v>41</v>
      </c>
      <c r="B54" s="949" t="s">
        <v>72</v>
      </c>
      <c r="C54" s="950"/>
      <c r="D54" s="950">
        <v>400000</v>
      </c>
      <c r="E54" s="1043">
        <f t="shared" si="1"/>
        <v>400000</v>
      </c>
    </row>
    <row r="55" spans="1:5">
      <c r="A55" s="874" t="str">
        <f>A25</f>
        <v>Pasco-Hernando State College</v>
      </c>
      <c r="B55" s="949" t="s">
        <v>73</v>
      </c>
      <c r="C55" s="950">
        <v>2306271</v>
      </c>
      <c r="D55" s="950"/>
      <c r="E55" s="1043">
        <f t="shared" si="1"/>
        <v>2306271</v>
      </c>
    </row>
    <row r="56" spans="1:5">
      <c r="A56" s="1012" t="s">
        <v>74</v>
      </c>
      <c r="B56" s="949" t="s">
        <v>75</v>
      </c>
      <c r="C56" s="950"/>
      <c r="D56" s="950">
        <v>765645</v>
      </c>
      <c r="E56" s="1043">
        <f t="shared" si="1"/>
        <v>765645</v>
      </c>
    </row>
    <row r="57" spans="1:5" ht="42">
      <c r="A57" s="1010" t="s">
        <v>76</v>
      </c>
      <c r="B57" s="949" t="s">
        <v>77</v>
      </c>
      <c r="C57" s="950"/>
      <c r="D57" s="950">
        <v>5000000</v>
      </c>
      <c r="E57" s="1043">
        <f t="shared" si="1"/>
        <v>5000000</v>
      </c>
    </row>
    <row r="58" spans="1:5" ht="42">
      <c r="A58" s="1009" t="s">
        <v>78</v>
      </c>
      <c r="B58" s="949" t="s">
        <v>79</v>
      </c>
      <c r="C58" s="950"/>
      <c r="D58" s="950">
        <v>756722</v>
      </c>
      <c r="E58" s="1043">
        <f t="shared" si="1"/>
        <v>756722</v>
      </c>
    </row>
    <row r="59" spans="1:5" ht="63">
      <c r="A59" s="876" t="s">
        <v>45</v>
      </c>
      <c r="B59" s="949" t="s">
        <v>80</v>
      </c>
      <c r="C59" s="950"/>
      <c r="D59" s="950">
        <v>955600</v>
      </c>
      <c r="E59" s="1043">
        <f t="shared" si="1"/>
        <v>955600</v>
      </c>
    </row>
    <row r="60" spans="1:5" ht="62.45" customHeight="1">
      <c r="A60" s="876" t="s">
        <v>48</v>
      </c>
      <c r="B60" s="949" t="s">
        <v>81</v>
      </c>
      <c r="C60" s="950"/>
      <c r="D60" s="950">
        <v>1400000</v>
      </c>
      <c r="E60" s="1043">
        <f t="shared" si="1"/>
        <v>1400000</v>
      </c>
    </row>
    <row r="61" spans="1:5" ht="86.25" customHeight="1">
      <c r="A61" s="876" t="s">
        <v>82</v>
      </c>
      <c r="B61" s="949" t="s">
        <v>83</v>
      </c>
      <c r="C61" s="950"/>
      <c r="D61" s="950">
        <v>50000</v>
      </c>
      <c r="E61" s="1043">
        <f t="shared" si="1"/>
        <v>50000</v>
      </c>
    </row>
    <row r="62" spans="1:5" ht="86.25" customHeight="1" thickBot="1">
      <c r="A62" s="1009" t="s">
        <v>51</v>
      </c>
      <c r="B62" s="604" t="s">
        <v>84</v>
      </c>
      <c r="C62" s="605"/>
      <c r="D62" s="605">
        <v>1000000</v>
      </c>
      <c r="E62" s="1011">
        <f t="shared" si="1"/>
        <v>1000000</v>
      </c>
    </row>
    <row r="63" spans="1:5" ht="24.6" customHeight="1" thickBot="1">
      <c r="A63" s="65" t="s">
        <v>60</v>
      </c>
      <c r="B63" s="394"/>
      <c r="C63" s="437">
        <f>SUM(C43:C62)</f>
        <v>5506271</v>
      </c>
      <c r="D63" s="437">
        <f>SUM(D43:D62)</f>
        <v>15165640</v>
      </c>
      <c r="E63" s="438">
        <f>SUM(E43:E62)</f>
        <v>20671911</v>
      </c>
    </row>
    <row r="64" spans="1:5" ht="25.35" customHeight="1">
      <c r="A64" s="17" t="s">
        <v>85</v>
      </c>
    </row>
    <row r="65" spans="1:7" ht="25.35" customHeight="1">
      <c r="D65" s="48"/>
    </row>
    <row r="66" spans="1:7" ht="30.6" customHeight="1" thickBot="1">
      <c r="A66" s="485" t="s">
        <v>15</v>
      </c>
      <c r="B66" s="486"/>
      <c r="C66" s="486"/>
    </row>
    <row r="67" spans="1:7" ht="41.1" customHeight="1" thickBot="1">
      <c r="A67" s="45" t="s">
        <v>86</v>
      </c>
      <c r="B67" s="399" t="str">
        <f>B3</f>
        <v>Date Updated:   05.03.22    BY:  EN</v>
      </c>
      <c r="C67" s="16" t="s">
        <v>9</v>
      </c>
      <c r="D67" s="16"/>
    </row>
    <row r="68" spans="1:7" ht="45" customHeight="1" thickBot="1">
      <c r="A68" s="968" t="s">
        <v>87</v>
      </c>
      <c r="B68" s="969"/>
      <c r="C68" s="149"/>
    </row>
    <row r="69" spans="1:7" ht="37.35" customHeight="1" thickBot="1">
      <c r="A69" s="364" t="s">
        <v>19</v>
      </c>
      <c r="B69" s="469" t="s">
        <v>52</v>
      </c>
      <c r="D69" s="22"/>
    </row>
    <row r="70" spans="1:7" ht="25.35" customHeight="1">
      <c r="A70" s="416" t="str">
        <f>A11</f>
        <v>Daytona State College</v>
      </c>
      <c r="B70" s="1146">
        <v>70000</v>
      </c>
      <c r="C70" s="164"/>
    </row>
    <row r="71" spans="1:7" ht="25.35" customHeight="1" thickBot="1">
      <c r="A71" s="418" t="str">
        <f>A33</f>
        <v>Tallahassee Community College</v>
      </c>
      <c r="B71" s="487">
        <v>25000</v>
      </c>
      <c r="C71" s="164"/>
    </row>
    <row r="72" spans="1:7" ht="25.35" customHeight="1" thickBot="1">
      <c r="A72" s="386" t="s">
        <v>52</v>
      </c>
      <c r="B72" s="488">
        <f>SUM(B70:B71)</f>
        <v>95000</v>
      </c>
      <c r="C72" s="400"/>
    </row>
    <row r="73" spans="1:7" ht="24.6" customHeight="1">
      <c r="A73" s="493"/>
      <c r="B73" s="492"/>
      <c r="C73" s="492"/>
    </row>
    <row r="74" spans="1:7" ht="32.1" customHeight="1" thickBot="1">
      <c r="A74" s="485" t="s">
        <v>88</v>
      </c>
      <c r="B74" s="486"/>
      <c r="C74" s="486"/>
    </row>
    <row r="75" spans="1:7" ht="44.45" customHeight="1" thickBot="1">
      <c r="A75" s="38" t="s">
        <v>89</v>
      </c>
      <c r="B75" s="970" t="s">
        <v>90</v>
      </c>
      <c r="C75" s="971"/>
      <c r="D75" s="971"/>
      <c r="E75" s="972"/>
      <c r="F75" s="18"/>
      <c r="G75" s="16"/>
    </row>
    <row r="76" spans="1:7" ht="87.6" customHeight="1" thickBot="1">
      <c r="A76" s="40" t="s">
        <v>19</v>
      </c>
      <c r="B76" s="24" t="s">
        <v>91</v>
      </c>
      <c r="C76" s="39" t="s">
        <v>92</v>
      </c>
      <c r="D76" s="25" t="s">
        <v>93</v>
      </c>
      <c r="E76" s="26" t="s">
        <v>94</v>
      </c>
      <c r="F76" s="24" t="s">
        <v>95</v>
      </c>
    </row>
    <row r="77" spans="1:7" ht="25.35" customHeight="1">
      <c r="A77" s="1045" t="str">
        <f t="shared" ref="A77:A104" si="2">A7</f>
        <v>Eastern Florida State College</v>
      </c>
      <c r="B77" s="421">
        <v>18754321.203717429</v>
      </c>
      <c r="C77" s="421">
        <f t="shared" ref="C77:C104" si="3">B77*0.05</f>
        <v>937716.06018587155</v>
      </c>
      <c r="D77" s="1017">
        <f t="shared" ref="D77:D104" si="4">IF(C77&gt;500000,0,1)</f>
        <v>0</v>
      </c>
      <c r="E77" s="422">
        <f t="shared" ref="E77:E104" si="5">IF(D77&lt;1,0,B77*0.02)</f>
        <v>0</v>
      </c>
      <c r="F77" s="421">
        <f>C77+E77</f>
        <v>937716.06018587155</v>
      </c>
    </row>
    <row r="78" spans="1:7" ht="25.35" customHeight="1">
      <c r="A78" s="630" t="str">
        <f t="shared" si="2"/>
        <v>Broward College</v>
      </c>
      <c r="B78" s="20">
        <v>57082109.275807865</v>
      </c>
      <c r="C78" s="20">
        <f t="shared" si="3"/>
        <v>2854105.4637903934</v>
      </c>
      <c r="D78" s="20">
        <f t="shared" si="4"/>
        <v>0</v>
      </c>
      <c r="E78" s="20">
        <f t="shared" si="5"/>
        <v>0</v>
      </c>
      <c r="F78" s="20">
        <f t="shared" ref="F78:F104" si="6">C78+E78</f>
        <v>2854105.4637903934</v>
      </c>
    </row>
    <row r="79" spans="1:7" ht="25.35" customHeight="1">
      <c r="A79" s="631" t="str">
        <f t="shared" si="2"/>
        <v>College of Central Florida</v>
      </c>
      <c r="B79" s="384">
        <v>9635316.4218895882</v>
      </c>
      <c r="C79" s="384">
        <f t="shared" si="3"/>
        <v>481765.82109447941</v>
      </c>
      <c r="D79" s="384">
        <f t="shared" si="4"/>
        <v>1</v>
      </c>
      <c r="E79" s="384">
        <f t="shared" si="5"/>
        <v>192706.32843779176</v>
      </c>
      <c r="F79" s="384">
        <f t="shared" si="6"/>
        <v>674472.1495322712</v>
      </c>
    </row>
    <row r="80" spans="1:7" ht="25.35" customHeight="1">
      <c r="A80" s="631" t="str">
        <f t="shared" si="2"/>
        <v>Chipola College</v>
      </c>
      <c r="B80" s="384">
        <v>2461771.6820194745</v>
      </c>
      <c r="C80" s="384">
        <f t="shared" si="3"/>
        <v>123088.58410097373</v>
      </c>
      <c r="D80" s="384">
        <f t="shared" si="4"/>
        <v>1</v>
      </c>
      <c r="E80" s="384">
        <f t="shared" si="5"/>
        <v>49235.433640389492</v>
      </c>
      <c r="F80" s="384">
        <f t="shared" si="6"/>
        <v>172324.01774136323</v>
      </c>
    </row>
    <row r="81" spans="1:6" ht="25.35" customHeight="1">
      <c r="A81" s="630" t="str">
        <f t="shared" si="2"/>
        <v>Daytona State College</v>
      </c>
      <c r="B81" s="20">
        <v>20841091.271509238</v>
      </c>
      <c r="C81" s="20">
        <f t="shared" si="3"/>
        <v>1042054.563575462</v>
      </c>
      <c r="D81" s="20">
        <f t="shared" si="4"/>
        <v>0</v>
      </c>
      <c r="E81" s="20">
        <f t="shared" si="5"/>
        <v>0</v>
      </c>
      <c r="F81" s="20">
        <f t="shared" si="6"/>
        <v>1042054.563575462</v>
      </c>
    </row>
    <row r="82" spans="1:6" ht="25.35" customHeight="1">
      <c r="A82" s="630" t="str">
        <f t="shared" si="2"/>
        <v>Florida SouthWestern State College</v>
      </c>
      <c r="B82" s="20">
        <v>21755122.882908776</v>
      </c>
      <c r="C82" s="20">
        <f t="shared" si="3"/>
        <v>1087756.1441454389</v>
      </c>
      <c r="D82" s="20">
        <f t="shared" si="4"/>
        <v>0</v>
      </c>
      <c r="E82" s="20">
        <f t="shared" si="5"/>
        <v>0</v>
      </c>
      <c r="F82" s="20">
        <f t="shared" si="6"/>
        <v>1087756.1441454389</v>
      </c>
    </row>
    <row r="83" spans="1:6" ht="25.35" customHeight="1">
      <c r="A83" s="630" t="str">
        <f t="shared" si="2"/>
        <v>Florida State College at Jacksonville</v>
      </c>
      <c r="B83" s="20">
        <v>36829828.530741408</v>
      </c>
      <c r="C83" s="20">
        <f t="shared" si="3"/>
        <v>1841491.4265370704</v>
      </c>
      <c r="D83" s="20">
        <f t="shared" si="4"/>
        <v>0</v>
      </c>
      <c r="E83" s="20">
        <f t="shared" si="5"/>
        <v>0</v>
      </c>
      <c r="F83" s="20">
        <f t="shared" si="6"/>
        <v>1841491.4265370704</v>
      </c>
    </row>
    <row r="84" spans="1:6" ht="25.35" customHeight="1">
      <c r="A84" s="631" t="str">
        <f t="shared" si="2"/>
        <v>College of the Florida Keys</v>
      </c>
      <c r="B84" s="384">
        <v>2195173.2319543269</v>
      </c>
      <c r="C84" s="384">
        <f t="shared" si="3"/>
        <v>109758.66159771635</v>
      </c>
      <c r="D84" s="384">
        <f t="shared" si="4"/>
        <v>1</v>
      </c>
      <c r="E84" s="384">
        <f t="shared" si="5"/>
        <v>43903.464639086538</v>
      </c>
      <c r="F84" s="384">
        <f t="shared" si="6"/>
        <v>153662.1262368029</v>
      </c>
    </row>
    <row r="85" spans="1:6" ht="25.35" customHeight="1">
      <c r="A85" s="631" t="str">
        <f t="shared" si="2"/>
        <v>Gulf Coast State College</v>
      </c>
      <c r="B85" s="384">
        <v>6374363.5463055251</v>
      </c>
      <c r="C85" s="384">
        <f t="shared" si="3"/>
        <v>318718.17731527629</v>
      </c>
      <c r="D85" s="384">
        <f t="shared" si="4"/>
        <v>1</v>
      </c>
      <c r="E85" s="384">
        <f t="shared" si="5"/>
        <v>127487.2709261105</v>
      </c>
      <c r="F85" s="384">
        <f t="shared" si="6"/>
        <v>446205.4482413868</v>
      </c>
    </row>
    <row r="86" spans="1:6" ht="25.35" customHeight="1">
      <c r="A86" s="630" t="str">
        <f t="shared" si="2"/>
        <v>Hillsborough Community College</v>
      </c>
      <c r="B86" s="20">
        <v>42737456.225127794</v>
      </c>
      <c r="C86" s="20">
        <f>B86*0.05</f>
        <v>2136872.8112563896</v>
      </c>
      <c r="D86" s="20">
        <f t="shared" si="4"/>
        <v>0</v>
      </c>
      <c r="E86" s="20">
        <f t="shared" si="5"/>
        <v>0</v>
      </c>
      <c r="F86" s="20">
        <f t="shared" si="6"/>
        <v>2136872.8112563896</v>
      </c>
    </row>
    <row r="87" spans="1:6" ht="25.35" customHeight="1">
      <c r="A87" s="630" t="str">
        <f t="shared" si="2"/>
        <v>Indian River State College</v>
      </c>
      <c r="B87" s="20">
        <v>20321745.203665521</v>
      </c>
      <c r="C87" s="20">
        <f t="shared" si="3"/>
        <v>1016087.2601832761</v>
      </c>
      <c r="D87" s="20">
        <f t="shared" si="4"/>
        <v>0</v>
      </c>
      <c r="E87" s="20">
        <f t="shared" si="5"/>
        <v>0</v>
      </c>
      <c r="F87" s="20">
        <f t="shared" si="6"/>
        <v>1016087.2601832761</v>
      </c>
    </row>
    <row r="88" spans="1:6" ht="25.35" customHeight="1">
      <c r="A88" s="631" t="str">
        <f t="shared" si="2"/>
        <v>Florida Gateway College</v>
      </c>
      <c r="B88" s="384">
        <v>4220333.93198564</v>
      </c>
      <c r="C88" s="384">
        <f t="shared" si="3"/>
        <v>211016.696599282</v>
      </c>
      <c r="D88" s="384">
        <f t="shared" si="4"/>
        <v>1</v>
      </c>
      <c r="E88" s="384">
        <f t="shared" si="5"/>
        <v>84406.678639712802</v>
      </c>
      <c r="F88" s="384">
        <f t="shared" si="6"/>
        <v>295423.37523899483</v>
      </c>
    </row>
    <row r="89" spans="1:6" ht="25.35" customHeight="1">
      <c r="A89" s="631" t="str">
        <f t="shared" si="2"/>
        <v>Lake-Sumter State College</v>
      </c>
      <c r="B89" s="384">
        <v>5599600.4085113974</v>
      </c>
      <c r="C89" s="384">
        <f t="shared" si="3"/>
        <v>279980.02042556991</v>
      </c>
      <c r="D89" s="384">
        <f t="shared" si="4"/>
        <v>1</v>
      </c>
      <c r="E89" s="384">
        <f t="shared" si="5"/>
        <v>111992.00817022796</v>
      </c>
      <c r="F89" s="384">
        <f t="shared" si="6"/>
        <v>391972.02859579783</v>
      </c>
    </row>
    <row r="90" spans="1:6" ht="25.35" customHeight="1">
      <c r="A90" s="630" t="str">
        <f t="shared" si="2"/>
        <v>State College of Florida, Manatee-Sarasota</v>
      </c>
      <c r="B90" s="20">
        <v>14811805.5304447</v>
      </c>
      <c r="C90" s="20">
        <f t="shared" si="3"/>
        <v>740590.27652223501</v>
      </c>
      <c r="D90" s="20">
        <f t="shared" si="4"/>
        <v>0</v>
      </c>
      <c r="E90" s="20">
        <f t="shared" si="5"/>
        <v>0</v>
      </c>
      <c r="F90" s="20">
        <f t="shared" si="6"/>
        <v>740590.27652223501</v>
      </c>
    </row>
    <row r="91" spans="1:6" ht="25.35" customHeight="1">
      <c r="A91" s="630" t="str">
        <f t="shared" si="2"/>
        <v>Miami Dade College</v>
      </c>
      <c r="B91" s="20">
        <v>109569589.93785974</v>
      </c>
      <c r="C91" s="20">
        <f t="shared" si="3"/>
        <v>5478479.4968929878</v>
      </c>
      <c r="D91" s="20">
        <f t="shared" si="4"/>
        <v>0</v>
      </c>
      <c r="E91" s="20">
        <f t="shared" si="5"/>
        <v>0</v>
      </c>
      <c r="F91" s="20">
        <f t="shared" si="6"/>
        <v>5478479.4968929878</v>
      </c>
    </row>
    <row r="92" spans="1:6" ht="25.35" customHeight="1">
      <c r="A92" s="631" t="str">
        <f t="shared" si="2"/>
        <v>North Florida College</v>
      </c>
      <c r="B92" s="384">
        <v>1653627.4099611794</v>
      </c>
      <c r="C92" s="384">
        <f t="shared" si="3"/>
        <v>82681.370498058968</v>
      </c>
      <c r="D92" s="384">
        <f t="shared" si="4"/>
        <v>1</v>
      </c>
      <c r="E92" s="384">
        <f t="shared" si="5"/>
        <v>33072.548199223587</v>
      </c>
      <c r="F92" s="384">
        <f t="shared" si="6"/>
        <v>115753.91869728256</v>
      </c>
    </row>
    <row r="93" spans="1:6" ht="25.35" customHeight="1">
      <c r="A93" s="631" t="str">
        <f t="shared" si="2"/>
        <v>Northwest Florida State College</v>
      </c>
      <c r="B93" s="384">
        <v>7519859.7248121575</v>
      </c>
      <c r="C93" s="384">
        <f t="shared" si="3"/>
        <v>375992.98624060792</v>
      </c>
      <c r="D93" s="384">
        <f t="shared" si="4"/>
        <v>1</v>
      </c>
      <c r="E93" s="384">
        <f t="shared" si="5"/>
        <v>150397.19449624314</v>
      </c>
      <c r="F93" s="384">
        <f t="shared" si="6"/>
        <v>526390.18073685106</v>
      </c>
    </row>
    <row r="94" spans="1:6" ht="25.35" customHeight="1">
      <c r="A94" s="630" t="str">
        <f t="shared" si="2"/>
        <v>Palm Beach State College</v>
      </c>
      <c r="B94" s="20">
        <v>40081373.800047539</v>
      </c>
      <c r="C94" s="20">
        <f t="shared" si="3"/>
        <v>2004068.6900023771</v>
      </c>
      <c r="D94" s="20">
        <f t="shared" si="4"/>
        <v>0</v>
      </c>
      <c r="E94" s="20">
        <f t="shared" si="5"/>
        <v>0</v>
      </c>
      <c r="F94" s="20">
        <f t="shared" si="6"/>
        <v>2004068.6900023771</v>
      </c>
    </row>
    <row r="95" spans="1:6" ht="25.35" customHeight="1">
      <c r="A95" s="630" t="str">
        <f t="shared" si="2"/>
        <v>Pasco-Hernando State College</v>
      </c>
      <c r="B95" s="20">
        <v>12406378.358614044</v>
      </c>
      <c r="C95" s="20">
        <f t="shared" si="3"/>
        <v>620318.91793070221</v>
      </c>
      <c r="D95" s="20">
        <f t="shared" si="4"/>
        <v>0</v>
      </c>
      <c r="E95" s="20">
        <f t="shared" si="5"/>
        <v>0</v>
      </c>
      <c r="F95" s="20">
        <f t="shared" si="6"/>
        <v>620318.91793070221</v>
      </c>
    </row>
    <row r="96" spans="1:6" ht="25.35" customHeight="1">
      <c r="A96" s="630" t="str">
        <f t="shared" si="2"/>
        <v>Pensacola State College</v>
      </c>
      <c r="B96" s="20">
        <v>13324588.535707574</v>
      </c>
      <c r="C96" s="20">
        <f t="shared" si="3"/>
        <v>666229.42678537872</v>
      </c>
      <c r="D96" s="20">
        <f t="shared" si="4"/>
        <v>0</v>
      </c>
      <c r="E96" s="20">
        <f t="shared" si="5"/>
        <v>0</v>
      </c>
      <c r="F96" s="20">
        <f t="shared" si="6"/>
        <v>666229.42678537872</v>
      </c>
    </row>
    <row r="97" spans="1:19" ht="25.35" customHeight="1">
      <c r="A97" s="630" t="str">
        <f t="shared" si="2"/>
        <v>Polk State College</v>
      </c>
      <c r="B97" s="20">
        <v>14911442.916654805</v>
      </c>
      <c r="C97" s="20">
        <f t="shared" si="3"/>
        <v>745572.14583274024</v>
      </c>
      <c r="D97" s="20">
        <f t="shared" si="4"/>
        <v>0</v>
      </c>
      <c r="E97" s="20">
        <f t="shared" si="5"/>
        <v>0</v>
      </c>
      <c r="F97" s="20">
        <f t="shared" si="6"/>
        <v>745572.14583274024</v>
      </c>
    </row>
    <row r="98" spans="1:19" ht="25.35" customHeight="1">
      <c r="A98" s="631" t="str">
        <f t="shared" si="2"/>
        <v>St. Johns River State College</v>
      </c>
      <c r="B98" s="384">
        <v>7159583.3574319668</v>
      </c>
      <c r="C98" s="384">
        <f t="shared" si="3"/>
        <v>357979.16787159839</v>
      </c>
      <c r="D98" s="384">
        <f t="shared" si="4"/>
        <v>1</v>
      </c>
      <c r="E98" s="384">
        <f t="shared" si="5"/>
        <v>143191.66714863933</v>
      </c>
      <c r="F98" s="384">
        <f t="shared" si="6"/>
        <v>501170.83502023772</v>
      </c>
    </row>
    <row r="99" spans="1:19" ht="25.35" customHeight="1">
      <c r="A99" s="630" t="str">
        <f t="shared" si="2"/>
        <v>St. Petersburg College</v>
      </c>
      <c r="B99" s="20">
        <v>39459782.78939224</v>
      </c>
      <c r="C99" s="20">
        <f t="shared" si="3"/>
        <v>1972989.1394696122</v>
      </c>
      <c r="D99" s="20">
        <f t="shared" si="4"/>
        <v>0</v>
      </c>
      <c r="E99" s="20">
        <f t="shared" si="5"/>
        <v>0</v>
      </c>
      <c r="F99" s="20">
        <f t="shared" si="6"/>
        <v>1972989.1394696122</v>
      </c>
    </row>
    <row r="100" spans="1:19" ht="25.35" customHeight="1">
      <c r="A100" s="630" t="str">
        <f t="shared" si="2"/>
        <v>Santa Fe College</v>
      </c>
      <c r="B100" s="20">
        <v>25246333.398366518</v>
      </c>
      <c r="C100" s="20">
        <f t="shared" si="3"/>
        <v>1262316.669918326</v>
      </c>
      <c r="D100" s="20">
        <f t="shared" si="4"/>
        <v>0</v>
      </c>
      <c r="E100" s="20">
        <f t="shared" si="5"/>
        <v>0</v>
      </c>
      <c r="F100" s="20">
        <f t="shared" si="6"/>
        <v>1262316.669918326</v>
      </c>
    </row>
    <row r="101" spans="1:19" ht="25.35" customHeight="1">
      <c r="A101" s="630" t="str">
        <f t="shared" si="2"/>
        <v>Seminole State College of Florida</v>
      </c>
      <c r="B101" s="20">
        <v>25435446.17922904</v>
      </c>
      <c r="C101" s="20">
        <f t="shared" si="3"/>
        <v>1271772.308961452</v>
      </c>
      <c r="D101" s="20">
        <f t="shared" si="4"/>
        <v>0</v>
      </c>
      <c r="E101" s="20">
        <f t="shared" si="5"/>
        <v>0</v>
      </c>
      <c r="F101" s="20">
        <f t="shared" si="6"/>
        <v>1271772.308961452</v>
      </c>
    </row>
    <row r="102" spans="1:19" ht="25.35" customHeight="1">
      <c r="A102" s="631" t="str">
        <f t="shared" si="2"/>
        <v>South Florida State College</v>
      </c>
      <c r="B102" s="384">
        <v>3747512.9799156897</v>
      </c>
      <c r="C102" s="384">
        <f t="shared" si="3"/>
        <v>187375.64899578449</v>
      </c>
      <c r="D102" s="384">
        <f t="shared" si="4"/>
        <v>1</v>
      </c>
      <c r="E102" s="384">
        <f t="shared" si="5"/>
        <v>74950.259598313802</v>
      </c>
      <c r="F102" s="384">
        <f t="shared" si="6"/>
        <v>262325.90859409829</v>
      </c>
    </row>
    <row r="103" spans="1:19" ht="25.35" customHeight="1">
      <c r="A103" s="630" t="str">
        <f t="shared" si="2"/>
        <v>Tallahassee Community College</v>
      </c>
      <c r="B103" s="20">
        <v>23371179.638824776</v>
      </c>
      <c r="C103" s="20">
        <f t="shared" si="3"/>
        <v>1168558.9819412387</v>
      </c>
      <c r="D103" s="20">
        <f t="shared" si="4"/>
        <v>0</v>
      </c>
      <c r="E103" s="20">
        <f t="shared" si="5"/>
        <v>0</v>
      </c>
      <c r="F103" s="20">
        <f t="shared" si="6"/>
        <v>1168558.9819412387</v>
      </c>
    </row>
    <row r="104" spans="1:19" ht="25.35" customHeight="1" thickBot="1">
      <c r="A104" s="630" t="str">
        <f t="shared" si="2"/>
        <v>Valencia College</v>
      </c>
      <c r="B104" s="27">
        <v>83424788.506694824</v>
      </c>
      <c r="C104" s="27">
        <f t="shared" si="3"/>
        <v>4171239.4253347414</v>
      </c>
      <c r="D104" s="27">
        <f t="shared" si="4"/>
        <v>0</v>
      </c>
      <c r="E104" s="27">
        <f t="shared" si="5"/>
        <v>0</v>
      </c>
      <c r="F104" s="27">
        <f t="shared" si="6"/>
        <v>4171239.4253347414</v>
      </c>
    </row>
    <row r="105" spans="1:19" ht="25.35" customHeight="1" thickBot="1">
      <c r="A105" s="65" t="s">
        <v>52</v>
      </c>
      <c r="B105" s="423">
        <f>SUM(B77:B104)</f>
        <v>670931526.88010085</v>
      </c>
      <c r="C105" s="423">
        <f>SUM(C77:C104)</f>
        <v>33546576.344005037</v>
      </c>
      <c r="D105" s="66">
        <f>SUM(D77:D104)</f>
        <v>10</v>
      </c>
      <c r="E105" s="423">
        <f>SUM(E77:E104)</f>
        <v>1011342.853895739</v>
      </c>
      <c r="F105" s="424">
        <f>SUM(C77:E104)</f>
        <v>34557929.19790078</v>
      </c>
    </row>
    <row r="106" spans="1:19" ht="25.35" customHeight="1">
      <c r="A106" s="77"/>
    </row>
    <row r="107" spans="1:19" ht="25.35" customHeight="1">
      <c r="A107" s="78" t="s">
        <v>96</v>
      </c>
    </row>
    <row r="108" spans="1:19" ht="25.35" customHeight="1">
      <c r="A108" s="961" t="s">
        <v>97</v>
      </c>
      <c r="B108" s="961"/>
      <c r="C108" s="961"/>
      <c r="D108" s="961"/>
      <c r="E108" s="961"/>
      <c r="F108" s="961"/>
      <c r="G108" s="961"/>
      <c r="H108" s="961"/>
      <c r="I108" s="961"/>
      <c r="J108" s="961"/>
      <c r="K108" s="961"/>
      <c r="L108" s="961"/>
      <c r="M108" s="961"/>
      <c r="N108" s="961"/>
      <c r="O108" s="961"/>
      <c r="P108" s="961"/>
      <c r="Q108" s="961"/>
      <c r="R108" s="961"/>
    </row>
    <row r="109" spans="1:19" ht="20.100000000000001" customHeight="1">
      <c r="A109" s="959" t="s">
        <v>98</v>
      </c>
      <c r="B109" s="959"/>
      <c r="C109" s="959"/>
      <c r="D109" s="959"/>
      <c r="E109" s="959"/>
      <c r="F109" s="959"/>
      <c r="G109" s="959"/>
      <c r="H109" s="959"/>
      <c r="I109" s="959"/>
      <c r="J109" s="959"/>
      <c r="K109" s="959"/>
      <c r="L109" s="959"/>
      <c r="M109" s="959"/>
      <c r="N109" s="959"/>
      <c r="O109" s="959"/>
      <c r="P109" s="959"/>
      <c r="Q109" s="959"/>
      <c r="R109" s="959"/>
      <c r="S109" s="489"/>
    </row>
    <row r="110" spans="1:19" ht="20.100000000000001" customHeight="1">
      <c r="A110" s="471" t="s">
        <v>99</v>
      </c>
      <c r="B110" s="471"/>
      <c r="C110" s="471"/>
      <c r="D110" s="471"/>
      <c r="E110" s="471"/>
      <c r="F110" s="471"/>
      <c r="G110" s="471"/>
      <c r="H110" s="471"/>
      <c r="I110" s="471"/>
      <c r="J110" s="471"/>
      <c r="K110" s="471"/>
      <c r="L110" s="471"/>
      <c r="M110" s="471"/>
      <c r="N110" s="471"/>
      <c r="O110" s="471"/>
      <c r="P110" s="471"/>
      <c r="Q110" s="471"/>
      <c r="R110" s="471"/>
    </row>
    <row r="111" spans="1:19" ht="20.100000000000001" customHeight="1">
      <c r="A111" s="959" t="s">
        <v>100</v>
      </c>
      <c r="B111" s="959"/>
      <c r="C111" s="959"/>
      <c r="D111" s="959"/>
      <c r="E111" s="959"/>
      <c r="F111" s="959"/>
      <c r="G111" s="959"/>
      <c r="H111" s="959"/>
      <c r="I111" s="959"/>
      <c r="J111" s="959"/>
      <c r="K111" s="959"/>
      <c r="L111" s="959"/>
      <c r="M111" s="959"/>
      <c r="N111" s="959"/>
      <c r="O111" s="959"/>
      <c r="P111" s="959"/>
      <c r="Q111" s="959"/>
      <c r="R111" s="959"/>
    </row>
    <row r="112" spans="1:19" ht="20.100000000000001" customHeight="1">
      <c r="A112" s="959"/>
      <c r="B112" s="959"/>
      <c r="C112" s="959"/>
      <c r="D112" s="959"/>
      <c r="E112" s="959"/>
      <c r="F112" s="959"/>
      <c r="G112" s="959"/>
    </row>
    <row r="113" spans="1:50" ht="32.450000000000003" customHeight="1" thickBot="1">
      <c r="E113" s="484"/>
      <c r="F113" s="484"/>
      <c r="G113" s="484"/>
    </row>
    <row r="114" spans="1:50" ht="43.35" customHeight="1" thickBot="1">
      <c r="A114" s="47" t="s">
        <v>101</v>
      </c>
      <c r="B114" s="954" t="s">
        <v>102</v>
      </c>
      <c r="C114" s="955"/>
      <c r="D114" s="956"/>
      <c r="E114" s="957" t="s">
        <v>103</v>
      </c>
      <c r="F114" s="957"/>
      <c r="G114" s="957"/>
      <c r="H114" s="957"/>
      <c r="I114" s="957"/>
      <c r="J114" s="957"/>
      <c r="K114" s="957"/>
      <c r="L114" s="957"/>
      <c r="M114" s="957"/>
      <c r="N114" s="957"/>
      <c r="O114" s="957"/>
      <c r="P114" s="957"/>
      <c r="Q114" s="957"/>
      <c r="R114" s="957"/>
      <c r="S114" s="958"/>
      <c r="T114" s="19"/>
      <c r="U114" s="19"/>
      <c r="AC114" s="19"/>
      <c r="AK114" s="391"/>
    </row>
    <row r="115" spans="1:50" ht="39" customHeight="1" thickBot="1">
      <c r="A115" s="46">
        <v>1</v>
      </c>
      <c r="B115" s="44">
        <v>2</v>
      </c>
      <c r="C115" s="957">
        <v>3</v>
      </c>
      <c r="D115" s="958">
        <v>4</v>
      </c>
      <c r="E115" s="957">
        <v>5</v>
      </c>
      <c r="F115" s="957">
        <v>6</v>
      </c>
      <c r="G115" s="957">
        <v>7</v>
      </c>
      <c r="H115" s="957">
        <v>8</v>
      </c>
      <c r="I115" s="957">
        <v>9</v>
      </c>
      <c r="J115" s="957">
        <v>10</v>
      </c>
      <c r="K115" s="957">
        <v>11</v>
      </c>
      <c r="L115" s="957">
        <v>12</v>
      </c>
      <c r="M115" s="957">
        <v>13</v>
      </c>
      <c r="N115" s="957">
        <v>14</v>
      </c>
      <c r="O115" s="957">
        <v>15</v>
      </c>
      <c r="P115" s="957">
        <v>16</v>
      </c>
      <c r="Q115" s="957">
        <v>17</v>
      </c>
      <c r="R115" s="957">
        <v>18</v>
      </c>
      <c r="S115" s="958">
        <v>19</v>
      </c>
      <c r="T115" s="1000" t="s">
        <v>52</v>
      </c>
      <c r="U115" s="28"/>
      <c r="V115" s="44">
        <v>20</v>
      </c>
      <c r="W115" s="957">
        <v>21</v>
      </c>
      <c r="X115" s="957">
        <v>22</v>
      </c>
      <c r="Y115" s="58"/>
      <c r="Z115" s="957">
        <v>23</v>
      </c>
      <c r="AA115" s="957">
        <v>24</v>
      </c>
      <c r="AB115" s="958">
        <v>25</v>
      </c>
      <c r="AC115" s="31"/>
    </row>
    <row r="116" spans="1:50" ht="29.45" customHeight="1" thickBot="1">
      <c r="A116" s="55" t="s">
        <v>104</v>
      </c>
      <c r="B116" s="1013" t="s">
        <v>105</v>
      </c>
      <c r="C116" s="1014"/>
      <c r="D116" s="1015"/>
      <c r="E116" s="30"/>
      <c r="G116" s="976"/>
      <c r="H116" s="976"/>
      <c r="I116" s="976"/>
      <c r="J116" s="976" t="s">
        <v>106</v>
      </c>
      <c r="K116" s="976"/>
      <c r="L116" s="976"/>
      <c r="M116" s="976"/>
      <c r="N116" s="976"/>
      <c r="O116" s="976"/>
      <c r="P116" s="976"/>
      <c r="Q116" s="994" t="s">
        <v>107</v>
      </c>
      <c r="R116" s="995"/>
      <c r="S116" s="996"/>
      <c r="T116" s="1001" t="s">
        <v>108</v>
      </c>
      <c r="U116" s="32"/>
      <c r="V116" s="33"/>
      <c r="W116" s="34"/>
      <c r="X116" s="35"/>
      <c r="Y116" s="59"/>
      <c r="Z116" s="978"/>
      <c r="AA116" s="979"/>
      <c r="AB116" s="980"/>
      <c r="AC116" s="19"/>
      <c r="AD116" s="603" t="s">
        <v>109</v>
      </c>
      <c r="AF116" s="29"/>
    </row>
    <row r="117" spans="1:50" ht="66" customHeight="1" thickBot="1">
      <c r="A117" s="36"/>
      <c r="B117" s="44" t="s">
        <v>110</v>
      </c>
      <c r="C117" s="957"/>
      <c r="D117" s="958"/>
      <c r="E117" s="44" t="s">
        <v>111</v>
      </c>
      <c r="F117" s="957"/>
      <c r="G117" s="958"/>
      <c r="H117" s="44" t="s">
        <v>112</v>
      </c>
      <c r="I117" s="957"/>
      <c r="J117" s="958"/>
      <c r="K117" s="965" t="s">
        <v>113</v>
      </c>
      <c r="L117" s="965"/>
      <c r="M117" s="965"/>
      <c r="N117" s="38" t="s">
        <v>114</v>
      </c>
      <c r="O117" s="966"/>
      <c r="P117" s="39"/>
      <c r="Q117" s="997" t="s">
        <v>115</v>
      </c>
      <c r="R117" s="998"/>
      <c r="S117" s="999"/>
      <c r="T117" s="977" t="s">
        <v>116</v>
      </c>
      <c r="U117" s="21"/>
      <c r="V117" s="962" t="s">
        <v>117</v>
      </c>
      <c r="W117" s="963"/>
      <c r="X117" s="967"/>
      <c r="Y117" s="1002"/>
      <c r="Z117" s="962" t="s">
        <v>118</v>
      </c>
      <c r="AA117" s="963"/>
      <c r="AB117" s="964"/>
      <c r="AD117" s="43" t="s">
        <v>119</v>
      </c>
      <c r="AF117" s="19"/>
      <c r="AI117" s="1003" t="s">
        <v>120</v>
      </c>
      <c r="AJ117" s="1003"/>
      <c r="AK117" s="1003"/>
      <c r="AL117" s="1003"/>
      <c r="AM117" s="1003"/>
      <c r="AN117" s="1003"/>
      <c r="AO117" s="1003"/>
    </row>
    <row r="118" spans="1:50" ht="87" customHeight="1" thickBot="1">
      <c r="A118" s="40" t="s">
        <v>19</v>
      </c>
      <c r="B118" s="883" t="s">
        <v>121</v>
      </c>
      <c r="C118" s="389"/>
      <c r="D118" s="578" t="s">
        <v>60</v>
      </c>
      <c r="E118" s="882" t="s">
        <v>121</v>
      </c>
      <c r="F118" s="881" t="s">
        <v>122</v>
      </c>
      <c r="G118" s="19" t="s">
        <v>60</v>
      </c>
      <c r="H118" s="884" t="s">
        <v>121</v>
      </c>
      <c r="I118" s="885" t="s">
        <v>122</v>
      </c>
      <c r="J118" s="57" t="s">
        <v>60</v>
      </c>
      <c r="K118" s="886" t="s">
        <v>121</v>
      </c>
      <c r="L118" s="887" t="s">
        <v>122</v>
      </c>
      <c r="M118" s="1046" t="s">
        <v>60</v>
      </c>
      <c r="N118" s="888" t="s">
        <v>121</v>
      </c>
      <c r="O118" s="887" t="s">
        <v>122</v>
      </c>
      <c r="P118" s="548" t="s">
        <v>60</v>
      </c>
      <c r="Q118" s="888" t="s">
        <v>121</v>
      </c>
      <c r="R118" s="881" t="s">
        <v>122</v>
      </c>
      <c r="S118" s="57" t="s">
        <v>60</v>
      </c>
      <c r="T118" s="24"/>
      <c r="V118" s="889" t="s">
        <v>121</v>
      </c>
      <c r="W118" s="890" t="s">
        <v>122</v>
      </c>
      <c r="X118" s="1047" t="s">
        <v>60</v>
      </c>
      <c r="Y118" s="56"/>
      <c r="Z118" s="37" t="s">
        <v>121</v>
      </c>
      <c r="AA118" s="891" t="s">
        <v>122</v>
      </c>
      <c r="AB118" s="80" t="s">
        <v>60</v>
      </c>
      <c r="AD118" s="40" t="s">
        <v>19</v>
      </c>
      <c r="AE118" s="892" t="s">
        <v>123</v>
      </c>
      <c r="AF118" s="893" t="s">
        <v>124</v>
      </c>
      <c r="AG118" s="23" t="s">
        <v>125</v>
      </c>
      <c r="AR118" s="28"/>
      <c r="AS118" s="28"/>
      <c r="AT118" s="28"/>
    </row>
    <row r="119" spans="1:50" ht="24.6" customHeight="1">
      <c r="A119" s="385" t="str">
        <f t="shared" ref="A119:A146" si="7">A7</f>
        <v>Eastern Florida State College</v>
      </c>
      <c r="B119" s="472">
        <v>1010</v>
      </c>
      <c r="C119" s="1016"/>
      <c r="D119" s="877">
        <f t="shared" ref="D119:D146" si="8">B119+C119</f>
        <v>1010</v>
      </c>
      <c r="E119" s="981">
        <v>3979.2172605029245</v>
      </c>
      <c r="F119" s="473">
        <v>136.91228443363974</v>
      </c>
      <c r="G119" s="401">
        <f t="shared" ref="G119:G146" si="9">E119+F119</f>
        <v>4116.1295449365643</v>
      </c>
      <c r="H119" s="474">
        <v>1504.3618637220577</v>
      </c>
      <c r="I119" s="475">
        <v>33.968273633180715</v>
      </c>
      <c r="J119" s="401">
        <f>H119+I119</f>
        <v>1538.3301373552383</v>
      </c>
      <c r="K119" s="476">
        <v>161.90897755610973</v>
      </c>
      <c r="L119" s="477">
        <v>16.091022443890271</v>
      </c>
      <c r="M119" s="54">
        <f t="shared" ref="M119:M146" si="10">K119+L119</f>
        <v>178</v>
      </c>
      <c r="N119" s="476">
        <v>0</v>
      </c>
      <c r="O119" s="477">
        <v>0</v>
      </c>
      <c r="P119" s="54">
        <f t="shared" ref="P119:P146" si="11">N119+O119</f>
        <v>0</v>
      </c>
      <c r="Q119" s="476">
        <v>278.67892503536069</v>
      </c>
      <c r="R119" s="478">
        <v>13.185289957567184</v>
      </c>
      <c r="S119" s="401">
        <f t="shared" ref="S119:S146" si="12">Q119+R119</f>
        <v>291.86421499292788</v>
      </c>
      <c r="T119" s="54">
        <f t="shared" ref="T119:T146" si="13">D119+G119+J119+M119+P119+S119</f>
        <v>7134.3238972847312</v>
      </c>
      <c r="V119" s="1147">
        <f>X119-W119</f>
        <v>0</v>
      </c>
      <c r="W119" s="479">
        <v>0</v>
      </c>
      <c r="X119" s="480">
        <v>0</v>
      </c>
      <c r="Y119" s="79"/>
      <c r="Z119" s="406">
        <f>AB119-AA119</f>
        <v>0</v>
      </c>
      <c r="AA119" s="481">
        <v>0</v>
      </c>
      <c r="AB119" s="1148">
        <f t="shared" ref="AB119:AB146" si="14">AG119</f>
        <v>0</v>
      </c>
      <c r="AD119" s="385" t="str">
        <f t="shared" ref="AD119:AD146" si="15">A119</f>
        <v>Eastern Florida State College</v>
      </c>
      <c r="AE119" s="482">
        <v>0</v>
      </c>
      <c r="AF119" s="482">
        <v>0</v>
      </c>
      <c r="AG119" s="408">
        <f t="shared" ref="AG119:AG146" si="16">AE119+AF119</f>
        <v>0</v>
      </c>
      <c r="AI119" s="975" t="s">
        <v>126</v>
      </c>
      <c r="AJ119" s="975"/>
      <c r="AK119" s="975"/>
      <c r="AL119" s="975"/>
      <c r="AM119" s="975"/>
      <c r="AN119" s="975"/>
      <c r="AO119" s="42">
        <f>X147+AB147</f>
        <v>2336</v>
      </c>
      <c r="AR119" s="28"/>
      <c r="AS119" s="28"/>
      <c r="AT119" s="28"/>
    </row>
    <row r="120" spans="1:50" ht="25.35" customHeight="1">
      <c r="A120" s="1134" t="str">
        <f t="shared" si="7"/>
        <v>Broward College</v>
      </c>
      <c r="B120" s="623">
        <v>1229</v>
      </c>
      <c r="C120" s="1048"/>
      <c r="D120" s="878">
        <f t="shared" si="8"/>
        <v>1229</v>
      </c>
      <c r="E120" s="982">
        <v>11325.675030771134</v>
      </c>
      <c r="F120" s="1049">
        <v>442.79317238998919</v>
      </c>
      <c r="G120" s="1050">
        <f t="shared" si="9"/>
        <v>11768.468203161123</v>
      </c>
      <c r="H120" s="1051">
        <v>5988.4864936950826</v>
      </c>
      <c r="I120" s="1052">
        <v>277.12786166224606</v>
      </c>
      <c r="J120" s="1050">
        <f t="shared" ref="J120:J146" si="17">H120+I120</f>
        <v>6265.6143553573283</v>
      </c>
      <c r="K120" s="632">
        <v>569.30135093644458</v>
      </c>
      <c r="L120" s="624">
        <v>49.698649063555415</v>
      </c>
      <c r="M120" s="1053">
        <f t="shared" si="10"/>
        <v>619</v>
      </c>
      <c r="N120" s="632">
        <v>24.317406143344709</v>
      </c>
      <c r="O120" s="624">
        <v>0.68259385665529015</v>
      </c>
      <c r="P120" s="1053">
        <f t="shared" si="11"/>
        <v>25</v>
      </c>
      <c r="Q120" s="632">
        <v>181.93151417870519</v>
      </c>
      <c r="R120" s="1054">
        <v>3.0684858212948103</v>
      </c>
      <c r="S120" s="1050">
        <f t="shared" si="12"/>
        <v>185</v>
      </c>
      <c r="T120" s="1053">
        <f t="shared" si="13"/>
        <v>20092.08255851845</v>
      </c>
      <c r="V120" s="1147">
        <f t="shared" ref="V120:V146" si="18">X120-W120</f>
        <v>0</v>
      </c>
      <c r="W120" s="1054">
        <v>0</v>
      </c>
      <c r="X120" s="1055">
        <v>0</v>
      </c>
      <c r="Y120" s="79"/>
      <c r="Z120" s="1056">
        <f t="shared" ref="Z120:Z146" si="19">AB120-AA120</f>
        <v>0</v>
      </c>
      <c r="AA120" s="1057">
        <v>0</v>
      </c>
      <c r="AB120" s="1148">
        <f t="shared" si="14"/>
        <v>0</v>
      </c>
      <c r="AD120" s="390" t="str">
        <f t="shared" si="15"/>
        <v>Broward College</v>
      </c>
      <c r="AE120" s="1058">
        <v>0</v>
      </c>
      <c r="AF120" s="1058">
        <v>0</v>
      </c>
      <c r="AG120" s="1050">
        <f t="shared" si="16"/>
        <v>0</v>
      </c>
      <c r="AI120" s="975" t="s">
        <v>127</v>
      </c>
      <c r="AJ120" s="975"/>
      <c r="AK120" s="975"/>
      <c r="AL120" s="975"/>
      <c r="AM120" s="975"/>
      <c r="AN120" s="975"/>
      <c r="AO120" s="483">
        <v>28840.787736365251</v>
      </c>
      <c r="AR120" s="159"/>
      <c r="AS120" s="159"/>
      <c r="AT120" s="159"/>
      <c r="AU120" s="159"/>
      <c r="AV120" s="159"/>
      <c r="AW120" s="159"/>
      <c r="AX120" s="159"/>
    </row>
    <row r="121" spans="1:50" ht="25.35" customHeight="1">
      <c r="A121" s="985" t="str">
        <f t="shared" si="7"/>
        <v>College of Central Florida</v>
      </c>
      <c r="B121" s="623">
        <v>294</v>
      </c>
      <c r="C121" s="1048"/>
      <c r="D121" s="878">
        <f t="shared" si="8"/>
        <v>294</v>
      </c>
      <c r="E121" s="982">
        <v>1761.0190991507509</v>
      </c>
      <c r="F121" s="1049">
        <v>69.368402192998175</v>
      </c>
      <c r="G121" s="1050">
        <f t="shared" si="9"/>
        <v>1830.3875013437491</v>
      </c>
      <c r="H121" s="1051">
        <v>1056.3229402397117</v>
      </c>
      <c r="I121" s="1052">
        <v>34.978878551672125</v>
      </c>
      <c r="J121" s="1050">
        <f t="shared" si="17"/>
        <v>1091.3018187913838</v>
      </c>
      <c r="K121" s="632">
        <v>77.036312849162016</v>
      </c>
      <c r="L121" s="624">
        <v>9.9636871508379876</v>
      </c>
      <c r="M121" s="1053">
        <f t="shared" si="10"/>
        <v>87</v>
      </c>
      <c r="N121" s="632">
        <v>0</v>
      </c>
      <c r="O121" s="624">
        <v>0</v>
      </c>
      <c r="P121" s="1053">
        <f t="shared" si="11"/>
        <v>0</v>
      </c>
      <c r="Q121" s="632">
        <v>123.00681302043905</v>
      </c>
      <c r="R121" s="1054">
        <v>1.5987887963663894</v>
      </c>
      <c r="S121" s="1050">
        <f t="shared" si="12"/>
        <v>124.60560181680545</v>
      </c>
      <c r="T121" s="1053">
        <f t="shared" si="13"/>
        <v>3427.2949219519387</v>
      </c>
      <c r="V121" s="1147">
        <f t="shared" si="18"/>
        <v>0</v>
      </c>
      <c r="W121" s="1054">
        <v>0</v>
      </c>
      <c r="X121" s="1055">
        <v>0</v>
      </c>
      <c r="Y121" s="79"/>
      <c r="Z121" s="1056">
        <f t="shared" si="19"/>
        <v>2.6666666666666661</v>
      </c>
      <c r="AA121" s="1057">
        <v>13.333333333333334</v>
      </c>
      <c r="AB121" s="1148">
        <f t="shared" si="14"/>
        <v>16</v>
      </c>
      <c r="AD121" s="985" t="str">
        <f t="shared" si="15"/>
        <v>College of Central Florida</v>
      </c>
      <c r="AE121" s="1058">
        <v>10</v>
      </c>
      <c r="AF121" s="1058">
        <v>6</v>
      </c>
      <c r="AG121" s="1050">
        <f t="shared" si="16"/>
        <v>16</v>
      </c>
      <c r="AI121" s="975" t="s">
        <v>128</v>
      </c>
      <c r="AJ121" s="975"/>
      <c r="AK121" s="975"/>
      <c r="AL121" s="975"/>
      <c r="AM121" s="975"/>
      <c r="AN121" s="975"/>
      <c r="AO121" s="590">
        <f>4262-0</f>
        <v>4262</v>
      </c>
    </row>
    <row r="122" spans="1:50" ht="25.35" customHeight="1">
      <c r="A122" s="985" t="str">
        <f t="shared" si="7"/>
        <v>Chipola College</v>
      </c>
      <c r="B122" s="623">
        <v>153</v>
      </c>
      <c r="C122" s="1048"/>
      <c r="D122" s="878">
        <f t="shared" si="8"/>
        <v>153</v>
      </c>
      <c r="E122" s="982">
        <v>503.02262443438917</v>
      </c>
      <c r="F122" s="1049">
        <v>36.862586330078592</v>
      </c>
      <c r="G122" s="1050">
        <f t="shared" si="9"/>
        <v>539.88521076446773</v>
      </c>
      <c r="H122" s="1051">
        <v>186.51497005988023</v>
      </c>
      <c r="I122" s="1052">
        <v>6.8502994011976037</v>
      </c>
      <c r="J122" s="1050">
        <f t="shared" si="17"/>
        <v>193.36526946107784</v>
      </c>
      <c r="K122" s="632">
        <v>3.0909090909090904</v>
      </c>
      <c r="L122" s="624">
        <v>2.9090909090909096</v>
      </c>
      <c r="M122" s="1053">
        <f t="shared" si="10"/>
        <v>6</v>
      </c>
      <c r="N122" s="632">
        <v>0</v>
      </c>
      <c r="O122" s="624">
        <v>0</v>
      </c>
      <c r="P122" s="1053">
        <f t="shared" si="11"/>
        <v>0</v>
      </c>
      <c r="Q122" s="632">
        <v>144.78765759787657</v>
      </c>
      <c r="R122" s="1054">
        <v>0.50099535500995362</v>
      </c>
      <c r="S122" s="1050">
        <f t="shared" si="12"/>
        <v>145.28865295288654</v>
      </c>
      <c r="T122" s="1053">
        <f t="shared" si="13"/>
        <v>1037.5391331784322</v>
      </c>
      <c r="V122" s="1147">
        <f t="shared" si="18"/>
        <v>0</v>
      </c>
      <c r="W122" s="1054">
        <v>0</v>
      </c>
      <c r="X122" s="1055">
        <v>0</v>
      </c>
      <c r="Y122" s="79"/>
      <c r="Z122" s="1056">
        <f t="shared" si="19"/>
        <v>0</v>
      </c>
      <c r="AA122" s="1057">
        <v>0</v>
      </c>
      <c r="AB122" s="1148">
        <f t="shared" si="14"/>
        <v>0</v>
      </c>
      <c r="AD122" s="985" t="str">
        <f t="shared" si="15"/>
        <v>Chipola College</v>
      </c>
      <c r="AE122" s="1058">
        <v>0</v>
      </c>
      <c r="AF122" s="1058">
        <v>0</v>
      </c>
      <c r="AG122" s="1050">
        <f t="shared" si="16"/>
        <v>0</v>
      </c>
      <c r="AI122" s="28" t="s">
        <v>60</v>
      </c>
      <c r="AJ122" s="28"/>
      <c r="AK122" s="28"/>
      <c r="AL122" s="28"/>
      <c r="AM122" s="28"/>
      <c r="AN122" s="28"/>
      <c r="AO122" s="41">
        <f>SUM(AO119:AO121)</f>
        <v>35438.787736365251</v>
      </c>
      <c r="AR122" s="159"/>
      <c r="AS122" s="159"/>
      <c r="AT122" s="159"/>
      <c r="AU122" s="159"/>
      <c r="AV122" s="159"/>
      <c r="AW122" s="159"/>
      <c r="AX122" s="159"/>
    </row>
    <row r="123" spans="1:50" ht="25.35" customHeight="1">
      <c r="A123" s="985" t="str">
        <f t="shared" si="7"/>
        <v>Daytona State College</v>
      </c>
      <c r="B123" s="623">
        <v>912</v>
      </c>
      <c r="C123" s="1048"/>
      <c r="D123" s="878">
        <f t="shared" si="8"/>
        <v>912</v>
      </c>
      <c r="E123" s="982">
        <v>3827.3958581492702</v>
      </c>
      <c r="F123" s="1049">
        <v>190.36340741244936</v>
      </c>
      <c r="G123" s="1050">
        <f t="shared" si="9"/>
        <v>4017.7592655617195</v>
      </c>
      <c r="H123" s="1051">
        <v>2034.9891108891109</v>
      </c>
      <c r="I123" s="1052">
        <v>87.8986013986014</v>
      </c>
      <c r="J123" s="1050">
        <f t="shared" si="17"/>
        <v>2122.8877122877125</v>
      </c>
      <c r="K123" s="632">
        <v>80.90220385674931</v>
      </c>
      <c r="L123" s="624">
        <v>4.0977961432506884</v>
      </c>
      <c r="M123" s="1053">
        <f t="shared" si="10"/>
        <v>85</v>
      </c>
      <c r="N123" s="632">
        <v>1</v>
      </c>
      <c r="O123" s="624">
        <v>0</v>
      </c>
      <c r="P123" s="1053">
        <f t="shared" si="11"/>
        <v>1</v>
      </c>
      <c r="Q123" s="632">
        <v>627.18478439088381</v>
      </c>
      <c r="R123" s="1054">
        <v>16.216592884079358</v>
      </c>
      <c r="S123" s="1050">
        <f t="shared" si="12"/>
        <v>643.40137727496312</v>
      </c>
      <c r="T123" s="1053">
        <f t="shared" si="13"/>
        <v>7782.0483551243951</v>
      </c>
      <c r="V123" s="1147">
        <f t="shared" si="18"/>
        <v>0</v>
      </c>
      <c r="W123" s="1054">
        <v>0</v>
      </c>
      <c r="X123" s="1055">
        <v>0</v>
      </c>
      <c r="Y123" s="79"/>
      <c r="Z123" s="1056">
        <f t="shared" si="19"/>
        <v>132.60534124629081</v>
      </c>
      <c r="AA123" s="1057">
        <v>0.3946587537091989</v>
      </c>
      <c r="AB123" s="1148">
        <f t="shared" si="14"/>
        <v>133</v>
      </c>
      <c r="AD123" s="985" t="str">
        <f t="shared" si="15"/>
        <v>Daytona State College</v>
      </c>
      <c r="AE123" s="1058">
        <v>106</v>
      </c>
      <c r="AF123" s="1058">
        <v>27</v>
      </c>
      <c r="AG123" s="1050">
        <f t="shared" si="16"/>
        <v>133</v>
      </c>
      <c r="AS123" s="28"/>
    </row>
    <row r="124" spans="1:50" ht="25.35" customHeight="1">
      <c r="A124" s="985" t="str">
        <f t="shared" si="7"/>
        <v>Florida SouthWestern State College</v>
      </c>
      <c r="B124" s="623">
        <v>594</v>
      </c>
      <c r="C124" s="1048"/>
      <c r="D124" s="878">
        <f t="shared" si="8"/>
        <v>594</v>
      </c>
      <c r="E124" s="982">
        <v>6586.4047820720707</v>
      </c>
      <c r="F124" s="1049">
        <v>226.89092713148278</v>
      </c>
      <c r="G124" s="1050">
        <f t="shared" si="9"/>
        <v>6813.2957092035531</v>
      </c>
      <c r="H124" s="1051">
        <v>519.39398240136245</v>
      </c>
      <c r="I124" s="1052">
        <v>7.9733181947204077</v>
      </c>
      <c r="J124" s="1050">
        <f t="shared" si="17"/>
        <v>527.36730059608283</v>
      </c>
      <c r="K124" s="632">
        <v>99.049773755656105</v>
      </c>
      <c r="L124" s="624">
        <v>10.95022624434389</v>
      </c>
      <c r="M124" s="1053">
        <f t="shared" si="10"/>
        <v>110</v>
      </c>
      <c r="N124" s="632">
        <v>0</v>
      </c>
      <c r="O124" s="624">
        <v>0</v>
      </c>
      <c r="P124" s="1053">
        <f t="shared" si="11"/>
        <v>0</v>
      </c>
      <c r="Q124" s="632">
        <v>35</v>
      </c>
      <c r="R124" s="1054">
        <v>0</v>
      </c>
      <c r="S124" s="1050">
        <f t="shared" si="12"/>
        <v>35</v>
      </c>
      <c r="T124" s="1053">
        <f t="shared" si="13"/>
        <v>8079.6630097996358</v>
      </c>
      <c r="V124" s="1147">
        <f t="shared" si="18"/>
        <v>0</v>
      </c>
      <c r="W124" s="1054">
        <v>0</v>
      </c>
      <c r="X124" s="1055">
        <v>0</v>
      </c>
      <c r="Y124" s="79"/>
      <c r="Z124" s="1056">
        <f t="shared" si="19"/>
        <v>0</v>
      </c>
      <c r="AA124" s="1057">
        <v>0</v>
      </c>
      <c r="AB124" s="1148">
        <f t="shared" si="14"/>
        <v>0</v>
      </c>
      <c r="AD124" s="985" t="str">
        <f t="shared" si="15"/>
        <v>Florida SouthWestern State College</v>
      </c>
      <c r="AE124" s="1058">
        <v>0</v>
      </c>
      <c r="AF124" s="1058">
        <v>0</v>
      </c>
      <c r="AG124" s="1050">
        <f t="shared" si="16"/>
        <v>0</v>
      </c>
      <c r="AI124" s="28" t="s">
        <v>129</v>
      </c>
      <c r="AO124" s="483">
        <v>275644</v>
      </c>
      <c r="AR124" s="28"/>
      <c r="AS124" s="28"/>
    </row>
    <row r="125" spans="1:50" ht="25.35" customHeight="1">
      <c r="A125" s="985" t="str">
        <f t="shared" si="7"/>
        <v>Florida State College at Jacksonville</v>
      </c>
      <c r="B125" s="623">
        <v>1626</v>
      </c>
      <c r="C125" s="1048"/>
      <c r="D125" s="878">
        <f t="shared" si="8"/>
        <v>1626</v>
      </c>
      <c r="E125" s="982">
        <v>6954.1670372676326</v>
      </c>
      <c r="F125" s="1049">
        <v>224.04357155563463</v>
      </c>
      <c r="G125" s="1050">
        <f t="shared" si="9"/>
        <v>7178.2106088232676</v>
      </c>
      <c r="H125" s="1051">
        <v>3034.7401659945062</v>
      </c>
      <c r="I125" s="1052">
        <v>84.046437547489617</v>
      </c>
      <c r="J125" s="1050">
        <f t="shared" si="17"/>
        <v>3118.7866035419956</v>
      </c>
      <c r="K125" s="632">
        <v>312.38894575230296</v>
      </c>
      <c r="L125" s="624">
        <v>15.611054247697032</v>
      </c>
      <c r="M125" s="1053">
        <f t="shared" si="10"/>
        <v>328</v>
      </c>
      <c r="N125" s="632">
        <v>20</v>
      </c>
      <c r="O125" s="624">
        <v>0</v>
      </c>
      <c r="P125" s="1053">
        <f t="shared" si="11"/>
        <v>20</v>
      </c>
      <c r="Q125" s="632">
        <v>608.58000297132662</v>
      </c>
      <c r="R125" s="1054">
        <v>71.651760511068176</v>
      </c>
      <c r="S125" s="1050">
        <f t="shared" si="12"/>
        <v>680.23176348239485</v>
      </c>
      <c r="T125" s="1053">
        <f t="shared" si="13"/>
        <v>12951.228975847658</v>
      </c>
      <c r="V125" s="1147">
        <f t="shared" si="18"/>
        <v>0</v>
      </c>
      <c r="W125" s="1054">
        <v>0</v>
      </c>
      <c r="X125" s="1055">
        <v>0</v>
      </c>
      <c r="Y125" s="79"/>
      <c r="Z125" s="1056">
        <f t="shared" si="19"/>
        <v>184.81566820276498</v>
      </c>
      <c r="AA125" s="1057">
        <v>10.184331797235023</v>
      </c>
      <c r="AB125" s="1148">
        <f t="shared" si="14"/>
        <v>195</v>
      </c>
      <c r="AD125" s="985" t="str">
        <f t="shared" si="15"/>
        <v>Florida State College at Jacksonville</v>
      </c>
      <c r="AE125" s="1058">
        <v>187</v>
      </c>
      <c r="AF125" s="1058">
        <v>8</v>
      </c>
      <c r="AG125" s="1050">
        <f t="shared" si="16"/>
        <v>195</v>
      </c>
      <c r="AO125" s="591">
        <f>AO122</f>
        <v>35438.787736365251</v>
      </c>
      <c r="AQ125" s="28"/>
      <c r="AR125" s="28"/>
      <c r="AS125" s="28"/>
    </row>
    <row r="126" spans="1:50" ht="25.35" customHeight="1">
      <c r="A126" s="985" t="str">
        <f t="shared" si="7"/>
        <v>College of the Florida Keys</v>
      </c>
      <c r="B126" s="623">
        <v>53</v>
      </c>
      <c r="C126" s="1048"/>
      <c r="D126" s="878">
        <f t="shared" si="8"/>
        <v>53</v>
      </c>
      <c r="E126" s="982">
        <v>263.43192064923358</v>
      </c>
      <c r="F126" s="1049">
        <v>28.320108205590621</v>
      </c>
      <c r="G126" s="1050">
        <f t="shared" si="9"/>
        <v>291.75202885482418</v>
      </c>
      <c r="H126" s="1051">
        <v>264.9724409448819</v>
      </c>
      <c r="I126" s="1052">
        <v>28.551181102362207</v>
      </c>
      <c r="J126" s="1050">
        <f t="shared" si="17"/>
        <v>293.52362204724409</v>
      </c>
      <c r="K126" s="632">
        <v>14.40952380952381</v>
      </c>
      <c r="L126" s="624">
        <v>2.5904761904761906</v>
      </c>
      <c r="M126" s="1053">
        <f t="shared" si="10"/>
        <v>17</v>
      </c>
      <c r="N126" s="632">
        <v>0</v>
      </c>
      <c r="O126" s="624">
        <v>0</v>
      </c>
      <c r="P126" s="1053">
        <f t="shared" si="11"/>
        <v>0</v>
      </c>
      <c r="Q126" s="632">
        <v>43.220253164556965</v>
      </c>
      <c r="R126" s="1054">
        <v>0.77974683544303791</v>
      </c>
      <c r="S126" s="1050">
        <f t="shared" si="12"/>
        <v>44</v>
      </c>
      <c r="T126" s="1053">
        <f t="shared" si="13"/>
        <v>699.27565090206826</v>
      </c>
      <c r="V126" s="1147">
        <f t="shared" si="18"/>
        <v>0</v>
      </c>
      <c r="W126" s="1054">
        <v>0</v>
      </c>
      <c r="X126" s="1055">
        <v>0</v>
      </c>
      <c r="Y126" s="79"/>
      <c r="Z126" s="1056">
        <f t="shared" si="19"/>
        <v>0</v>
      </c>
      <c r="AA126" s="1057">
        <v>0</v>
      </c>
      <c r="AB126" s="1148">
        <f t="shared" si="14"/>
        <v>0</v>
      </c>
      <c r="AD126" s="985" t="str">
        <f t="shared" si="15"/>
        <v>College of the Florida Keys</v>
      </c>
      <c r="AE126" s="1058">
        <v>0</v>
      </c>
      <c r="AF126" s="1058">
        <v>0</v>
      </c>
      <c r="AG126" s="1050">
        <f t="shared" si="16"/>
        <v>0</v>
      </c>
      <c r="AI126" s="974" t="s">
        <v>130</v>
      </c>
      <c r="AJ126" s="974"/>
      <c r="AK126" s="974"/>
      <c r="AL126" s="974"/>
      <c r="AM126" s="974"/>
      <c r="AN126" s="974"/>
      <c r="AO126" s="392">
        <f>AO124-AO125</f>
        <v>240205.21226363475</v>
      </c>
    </row>
    <row r="127" spans="1:50" ht="25.35" customHeight="1">
      <c r="A127" s="985" t="str">
        <f t="shared" si="7"/>
        <v>Gulf Coast State College</v>
      </c>
      <c r="B127" s="623">
        <v>133</v>
      </c>
      <c r="C127" s="1048"/>
      <c r="D127" s="878">
        <f t="shared" si="8"/>
        <v>133</v>
      </c>
      <c r="E127" s="982">
        <v>1665.0120012974376</v>
      </c>
      <c r="F127" s="1049">
        <v>91.981372503591118</v>
      </c>
      <c r="G127" s="1050">
        <f t="shared" si="9"/>
        <v>1756.9933738010286</v>
      </c>
      <c r="H127" s="1051">
        <v>510.52558139534881</v>
      </c>
      <c r="I127" s="1052">
        <v>23.726511627906973</v>
      </c>
      <c r="J127" s="1050">
        <f t="shared" si="17"/>
        <v>534.25209302325584</v>
      </c>
      <c r="K127" s="632">
        <v>30.135048231511256</v>
      </c>
      <c r="L127" s="624">
        <v>2.864951768488746</v>
      </c>
      <c r="M127" s="1053">
        <f t="shared" si="10"/>
        <v>33</v>
      </c>
      <c r="N127" s="632">
        <v>0</v>
      </c>
      <c r="O127" s="624">
        <v>0</v>
      </c>
      <c r="P127" s="1053">
        <f t="shared" si="11"/>
        <v>0</v>
      </c>
      <c r="Q127" s="632">
        <v>154.53907815631263</v>
      </c>
      <c r="R127" s="1054">
        <v>4.460921843687375</v>
      </c>
      <c r="S127" s="1050">
        <f t="shared" si="12"/>
        <v>159</v>
      </c>
      <c r="T127" s="1053">
        <f t="shared" si="13"/>
        <v>2616.2454668242844</v>
      </c>
      <c r="V127" s="1147">
        <f t="shared" si="18"/>
        <v>0</v>
      </c>
      <c r="W127" s="1054">
        <v>0</v>
      </c>
      <c r="X127" s="1055">
        <v>0</v>
      </c>
      <c r="Y127" s="79"/>
      <c r="Z127" s="1056">
        <f t="shared" si="19"/>
        <v>0</v>
      </c>
      <c r="AA127" s="1057">
        <v>0</v>
      </c>
      <c r="AB127" s="1148">
        <f t="shared" si="14"/>
        <v>0</v>
      </c>
      <c r="AD127" s="985" t="str">
        <f t="shared" si="15"/>
        <v>Gulf Coast State College</v>
      </c>
      <c r="AE127" s="1058">
        <v>0</v>
      </c>
      <c r="AF127" s="1058">
        <v>0</v>
      </c>
      <c r="AG127" s="1050">
        <f t="shared" si="16"/>
        <v>0</v>
      </c>
    </row>
    <row r="128" spans="1:50" ht="25.35" customHeight="1">
      <c r="A128" s="985" t="str">
        <f t="shared" si="7"/>
        <v>Hillsborough Community College</v>
      </c>
      <c r="B128" s="623">
        <v>0</v>
      </c>
      <c r="C128" s="1048"/>
      <c r="D128" s="878">
        <f t="shared" si="8"/>
        <v>0</v>
      </c>
      <c r="E128" s="982">
        <v>8793.1774265132644</v>
      </c>
      <c r="F128" s="1049">
        <v>364.34126523505512</v>
      </c>
      <c r="G128" s="1050">
        <f t="shared" si="9"/>
        <v>9157.5186917483188</v>
      </c>
      <c r="H128" s="1051">
        <v>4501.3462587336026</v>
      </c>
      <c r="I128" s="1052">
        <v>183.45623743456017</v>
      </c>
      <c r="J128" s="1050">
        <f t="shared" si="17"/>
        <v>4684.8024961681631</v>
      </c>
      <c r="K128" s="632">
        <v>858.14763966627947</v>
      </c>
      <c r="L128" s="624">
        <v>75.852360333720569</v>
      </c>
      <c r="M128" s="1053">
        <f t="shared" si="10"/>
        <v>934</v>
      </c>
      <c r="N128" s="632">
        <v>47</v>
      </c>
      <c r="O128" s="624">
        <v>0</v>
      </c>
      <c r="P128" s="1053">
        <f t="shared" si="11"/>
        <v>47</v>
      </c>
      <c r="Q128" s="632">
        <v>350.88680851063828</v>
      </c>
      <c r="R128" s="1054">
        <v>3.1131914893617023</v>
      </c>
      <c r="S128" s="1050">
        <f t="shared" si="12"/>
        <v>354</v>
      </c>
      <c r="T128" s="1053">
        <f t="shared" si="13"/>
        <v>15177.321187916481</v>
      </c>
      <c r="V128" s="1147">
        <f t="shared" si="18"/>
        <v>0</v>
      </c>
      <c r="W128" s="1054">
        <v>0</v>
      </c>
      <c r="X128" s="1055">
        <v>0</v>
      </c>
      <c r="Y128" s="79"/>
      <c r="Z128" s="1056">
        <f t="shared" si="19"/>
        <v>0</v>
      </c>
      <c r="AA128" s="1057">
        <v>0</v>
      </c>
      <c r="AB128" s="1148">
        <f t="shared" si="14"/>
        <v>0</v>
      </c>
      <c r="AD128" s="985" t="str">
        <f t="shared" si="15"/>
        <v>Hillsborough Community College</v>
      </c>
      <c r="AE128" s="1058">
        <v>0</v>
      </c>
      <c r="AF128" s="1058">
        <v>0</v>
      </c>
      <c r="AG128" s="1050">
        <f t="shared" si="16"/>
        <v>0</v>
      </c>
      <c r="AI128" s="974" t="s">
        <v>131</v>
      </c>
      <c r="AJ128" s="974"/>
      <c r="AK128" s="974"/>
      <c r="AL128" s="974"/>
      <c r="AM128" s="974"/>
      <c r="AN128" s="974"/>
      <c r="AO128" s="393">
        <f>AO122+AO126</f>
        <v>275644</v>
      </c>
    </row>
    <row r="129" spans="1:33" ht="25.35" customHeight="1">
      <c r="A129" s="985" t="str">
        <f t="shared" si="7"/>
        <v>Indian River State College</v>
      </c>
      <c r="B129" s="623">
        <v>1362</v>
      </c>
      <c r="C129" s="1048"/>
      <c r="D129" s="878">
        <f t="shared" si="8"/>
        <v>1362</v>
      </c>
      <c r="E129" s="982">
        <v>3572.5114733779756</v>
      </c>
      <c r="F129" s="1049">
        <v>79.852679416777121</v>
      </c>
      <c r="G129" s="1050">
        <f t="shared" si="9"/>
        <v>3652.3641527947525</v>
      </c>
      <c r="H129" s="1051">
        <v>1942.520518727071</v>
      </c>
      <c r="I129" s="1052">
        <v>33.384011603105535</v>
      </c>
      <c r="J129" s="1050">
        <f t="shared" si="17"/>
        <v>1975.9045303301766</v>
      </c>
      <c r="K129" s="632">
        <v>43.644578313253014</v>
      </c>
      <c r="L129" s="624">
        <v>2.3554216867469875</v>
      </c>
      <c r="M129" s="1053">
        <f t="shared" si="10"/>
        <v>46</v>
      </c>
      <c r="N129" s="632">
        <v>0</v>
      </c>
      <c r="O129" s="624">
        <v>0</v>
      </c>
      <c r="P129" s="1053">
        <f t="shared" si="11"/>
        <v>0</v>
      </c>
      <c r="Q129" s="632">
        <v>570.25015766239233</v>
      </c>
      <c r="R129" s="1054">
        <v>11.294513348749211</v>
      </c>
      <c r="S129" s="1050">
        <f t="shared" si="12"/>
        <v>581.54467101114153</v>
      </c>
      <c r="T129" s="1053">
        <f t="shared" si="13"/>
        <v>7617.8133541360712</v>
      </c>
      <c r="V129" s="1147">
        <f t="shared" si="18"/>
        <v>0</v>
      </c>
      <c r="W129" s="1054">
        <v>0</v>
      </c>
      <c r="X129" s="1055">
        <v>0</v>
      </c>
      <c r="Y129" s="79"/>
      <c r="Z129" s="1056">
        <f t="shared" si="19"/>
        <v>339</v>
      </c>
      <c r="AA129" s="1057">
        <v>0</v>
      </c>
      <c r="AB129" s="1148">
        <f t="shared" si="14"/>
        <v>339</v>
      </c>
      <c r="AD129" s="985" t="str">
        <f t="shared" si="15"/>
        <v>Indian River State College</v>
      </c>
      <c r="AE129" s="1058">
        <v>329</v>
      </c>
      <c r="AF129" s="1058">
        <v>10</v>
      </c>
      <c r="AG129" s="1050">
        <f t="shared" si="16"/>
        <v>339</v>
      </c>
    </row>
    <row r="130" spans="1:33" ht="25.35" customHeight="1">
      <c r="A130" s="985" t="str">
        <f t="shared" si="7"/>
        <v>Florida Gateway College</v>
      </c>
      <c r="B130" s="623">
        <v>95</v>
      </c>
      <c r="C130" s="1048"/>
      <c r="D130" s="878">
        <f t="shared" si="8"/>
        <v>95</v>
      </c>
      <c r="E130" s="982">
        <v>879.55024994404243</v>
      </c>
      <c r="F130" s="1049">
        <v>7.1410132059986573</v>
      </c>
      <c r="G130" s="1050">
        <f t="shared" si="9"/>
        <v>886.6912631500411</v>
      </c>
      <c r="H130" s="1051">
        <v>339.46148055207027</v>
      </c>
      <c r="I130" s="1052">
        <v>5.0928481806775405</v>
      </c>
      <c r="J130" s="1050">
        <f t="shared" si="17"/>
        <v>344.55432873274782</v>
      </c>
      <c r="K130" s="632">
        <v>47.07692307692308</v>
      </c>
      <c r="L130" s="624">
        <v>0.92307692307692313</v>
      </c>
      <c r="M130" s="1053">
        <f t="shared" si="10"/>
        <v>48</v>
      </c>
      <c r="N130" s="632">
        <v>15.188405797101449</v>
      </c>
      <c r="O130" s="624">
        <v>0.81159420289855067</v>
      </c>
      <c r="P130" s="1053">
        <f t="shared" si="11"/>
        <v>16</v>
      </c>
      <c r="Q130" s="632">
        <v>294.54639865996648</v>
      </c>
      <c r="R130" s="1054">
        <v>1.5125628140703518</v>
      </c>
      <c r="S130" s="1050">
        <f t="shared" si="12"/>
        <v>296.05896147403683</v>
      </c>
      <c r="T130" s="1053">
        <f t="shared" si="13"/>
        <v>1686.3045533568256</v>
      </c>
      <c r="V130" s="1147">
        <f t="shared" si="18"/>
        <v>0</v>
      </c>
      <c r="W130" s="1054">
        <v>0</v>
      </c>
      <c r="X130" s="1055">
        <v>0</v>
      </c>
      <c r="Y130" s="79"/>
      <c r="Z130" s="1056">
        <f t="shared" si="19"/>
        <v>0</v>
      </c>
      <c r="AA130" s="1057">
        <v>0</v>
      </c>
      <c r="AB130" s="1148">
        <f t="shared" si="14"/>
        <v>0</v>
      </c>
      <c r="AD130" s="985" t="str">
        <f t="shared" si="15"/>
        <v>Florida Gateway College</v>
      </c>
      <c r="AE130" s="1058">
        <v>0</v>
      </c>
      <c r="AF130" s="1058">
        <v>0</v>
      </c>
      <c r="AG130" s="1050">
        <f t="shared" si="16"/>
        <v>0</v>
      </c>
    </row>
    <row r="131" spans="1:33" ht="25.35" customHeight="1">
      <c r="A131" s="985" t="str">
        <f t="shared" si="7"/>
        <v>Lake-Sumter State College</v>
      </c>
      <c r="B131" s="623">
        <v>132</v>
      </c>
      <c r="C131" s="1048"/>
      <c r="D131" s="878">
        <f t="shared" si="8"/>
        <v>132</v>
      </c>
      <c r="E131" s="982">
        <v>1536.4344589829975</v>
      </c>
      <c r="F131" s="1049">
        <v>22.094648593590851</v>
      </c>
      <c r="G131" s="1050">
        <f t="shared" si="9"/>
        <v>1558.5291075765883</v>
      </c>
      <c r="H131" s="1051">
        <v>381.13857016769634</v>
      </c>
      <c r="I131" s="1052">
        <v>5.6500441306266556</v>
      </c>
      <c r="J131" s="1050">
        <f t="shared" si="17"/>
        <v>386.78861429832301</v>
      </c>
      <c r="K131" s="632">
        <v>45.289556962025316</v>
      </c>
      <c r="L131" s="624">
        <v>1.7104430379746831</v>
      </c>
      <c r="M131" s="1053">
        <f t="shared" si="10"/>
        <v>47</v>
      </c>
      <c r="N131" s="632">
        <v>0</v>
      </c>
      <c r="O131" s="624">
        <v>0</v>
      </c>
      <c r="P131" s="1053">
        <f t="shared" si="11"/>
        <v>0</v>
      </c>
      <c r="Q131" s="632">
        <v>0</v>
      </c>
      <c r="R131" s="1054">
        <v>0</v>
      </c>
      <c r="S131" s="1050">
        <f t="shared" si="12"/>
        <v>0</v>
      </c>
      <c r="T131" s="1053">
        <f t="shared" si="13"/>
        <v>2124.3177218749115</v>
      </c>
      <c r="V131" s="1147">
        <f t="shared" si="18"/>
        <v>0</v>
      </c>
      <c r="W131" s="1054">
        <v>0</v>
      </c>
      <c r="X131" s="1055">
        <v>0</v>
      </c>
      <c r="Y131" s="79"/>
      <c r="Z131" s="1056">
        <f t="shared" si="19"/>
        <v>0</v>
      </c>
      <c r="AA131" s="1057">
        <v>0</v>
      </c>
      <c r="AB131" s="1148">
        <f t="shared" si="14"/>
        <v>0</v>
      </c>
      <c r="AD131" s="985" t="str">
        <f t="shared" si="15"/>
        <v>Lake-Sumter State College</v>
      </c>
      <c r="AE131" s="1058">
        <v>0</v>
      </c>
      <c r="AF131" s="1058">
        <v>0</v>
      </c>
      <c r="AG131" s="1050">
        <f t="shared" si="16"/>
        <v>0</v>
      </c>
    </row>
    <row r="132" spans="1:33" ht="25.35" customHeight="1">
      <c r="A132" s="985" t="str">
        <f t="shared" si="7"/>
        <v>State College of Florida, Manatee-Sarasota</v>
      </c>
      <c r="B132" s="623">
        <v>433</v>
      </c>
      <c r="C132" s="1048"/>
      <c r="D132" s="878">
        <f t="shared" si="8"/>
        <v>433</v>
      </c>
      <c r="E132" s="982">
        <v>3979.5628264682641</v>
      </c>
      <c r="F132" s="1049">
        <v>157.97602205046161</v>
      </c>
      <c r="G132" s="1050">
        <f t="shared" si="9"/>
        <v>4137.5388485187259</v>
      </c>
      <c r="H132" s="1051">
        <v>591.68600353527233</v>
      </c>
      <c r="I132" s="1052">
        <v>13.94841716214045</v>
      </c>
      <c r="J132" s="1050">
        <f t="shared" si="17"/>
        <v>605.63442069741279</v>
      </c>
      <c r="K132" s="632">
        <v>153.74520936834634</v>
      </c>
      <c r="L132" s="624">
        <v>9.2547906316536555</v>
      </c>
      <c r="M132" s="1053">
        <f t="shared" si="10"/>
        <v>163</v>
      </c>
      <c r="N132" s="632">
        <v>23.902040816326529</v>
      </c>
      <c r="O132" s="624">
        <v>9.7959183673469397E-2</v>
      </c>
      <c r="P132" s="1053">
        <f t="shared" si="11"/>
        <v>24</v>
      </c>
      <c r="Q132" s="632">
        <v>0</v>
      </c>
      <c r="R132" s="1054">
        <v>0</v>
      </c>
      <c r="S132" s="1050">
        <f t="shared" si="12"/>
        <v>0</v>
      </c>
      <c r="T132" s="1053">
        <f t="shared" si="13"/>
        <v>5363.1732692161386</v>
      </c>
      <c r="V132" s="1147">
        <f t="shared" si="18"/>
        <v>0</v>
      </c>
      <c r="W132" s="1054">
        <v>0</v>
      </c>
      <c r="X132" s="1055">
        <v>0</v>
      </c>
      <c r="Y132" s="79"/>
      <c r="Z132" s="1056">
        <f t="shared" si="19"/>
        <v>0</v>
      </c>
      <c r="AA132" s="1057">
        <v>0</v>
      </c>
      <c r="AB132" s="1148">
        <f t="shared" si="14"/>
        <v>0</v>
      </c>
      <c r="AD132" s="985" t="str">
        <f t="shared" si="15"/>
        <v>State College of Florida, Manatee-Sarasota</v>
      </c>
      <c r="AE132" s="1058">
        <v>0</v>
      </c>
      <c r="AF132" s="1058">
        <v>0</v>
      </c>
      <c r="AG132" s="1050">
        <f t="shared" si="16"/>
        <v>0</v>
      </c>
    </row>
    <row r="133" spans="1:33" ht="25.35" customHeight="1">
      <c r="A133" s="985" t="str">
        <f t="shared" si="7"/>
        <v>Miami Dade College</v>
      </c>
      <c r="B133" s="623">
        <v>2569</v>
      </c>
      <c r="C133" s="1048"/>
      <c r="D133" s="878">
        <f t="shared" si="8"/>
        <v>2569</v>
      </c>
      <c r="E133" s="982">
        <v>28312.900693337928</v>
      </c>
      <c r="F133" s="1049">
        <v>1157.3098273114854</v>
      </c>
      <c r="G133" s="1050">
        <f t="shared" si="9"/>
        <v>29470.210520649413</v>
      </c>
      <c r="H133" s="1051">
        <v>3862.5683366536314</v>
      </c>
      <c r="I133" s="1052">
        <v>186.05391180304483</v>
      </c>
      <c r="J133" s="1050">
        <f t="shared" si="17"/>
        <v>4048.6222484566761</v>
      </c>
      <c r="K133" s="632">
        <v>1109.8469945355191</v>
      </c>
      <c r="L133" s="624">
        <v>64.15300546448087</v>
      </c>
      <c r="M133" s="1053">
        <f t="shared" si="10"/>
        <v>1174</v>
      </c>
      <c r="N133" s="632">
        <v>29.473972602739728</v>
      </c>
      <c r="O133" s="624">
        <v>3.5260273972602736</v>
      </c>
      <c r="P133" s="1053">
        <f t="shared" si="11"/>
        <v>33</v>
      </c>
      <c r="Q133" s="632">
        <v>774.67896981627291</v>
      </c>
      <c r="R133" s="1054">
        <v>28.321030183727036</v>
      </c>
      <c r="S133" s="1050">
        <f t="shared" si="12"/>
        <v>803</v>
      </c>
      <c r="T133" s="1053">
        <f t="shared" si="13"/>
        <v>38097.832769106091</v>
      </c>
      <c r="V133" s="1147">
        <f t="shared" si="18"/>
        <v>2</v>
      </c>
      <c r="W133" s="1054">
        <v>0</v>
      </c>
      <c r="X133" s="1055">
        <v>2</v>
      </c>
      <c r="Y133" s="79"/>
      <c r="Z133" s="1056">
        <f t="shared" si="19"/>
        <v>0.89639874739043535</v>
      </c>
      <c r="AA133" s="1057">
        <v>686.10360125260956</v>
      </c>
      <c r="AB133" s="1148">
        <f t="shared" si="14"/>
        <v>687</v>
      </c>
      <c r="AD133" s="985" t="str">
        <f t="shared" si="15"/>
        <v>Miami Dade College</v>
      </c>
      <c r="AE133" s="1058">
        <v>685</v>
      </c>
      <c r="AF133" s="1058">
        <v>2</v>
      </c>
      <c r="AG133" s="1050">
        <f t="shared" si="16"/>
        <v>687</v>
      </c>
    </row>
    <row r="134" spans="1:33" ht="25.35" customHeight="1">
      <c r="A134" s="985" t="str">
        <f t="shared" si="7"/>
        <v>North Florida College</v>
      </c>
      <c r="B134" s="623">
        <v>31</v>
      </c>
      <c r="C134" s="1048"/>
      <c r="D134" s="878">
        <f t="shared" si="8"/>
        <v>31</v>
      </c>
      <c r="E134" s="982">
        <v>370.8927643784786</v>
      </c>
      <c r="F134" s="1049">
        <v>10.815955473098331</v>
      </c>
      <c r="G134" s="1050">
        <f t="shared" si="9"/>
        <v>381.70871985157692</v>
      </c>
      <c r="H134" s="1051">
        <v>131.12559241706163</v>
      </c>
      <c r="I134" s="1052">
        <v>14.447077409162718</v>
      </c>
      <c r="J134" s="1050">
        <f t="shared" si="17"/>
        <v>145.57266982622434</v>
      </c>
      <c r="K134" s="632">
        <v>6.8090909090909095</v>
      </c>
      <c r="L134" s="624">
        <v>0.19090909090909089</v>
      </c>
      <c r="M134" s="1053">
        <f t="shared" si="10"/>
        <v>7</v>
      </c>
      <c r="N134" s="632">
        <v>0</v>
      </c>
      <c r="O134" s="624">
        <v>0</v>
      </c>
      <c r="P134" s="1053">
        <f t="shared" si="11"/>
        <v>0</v>
      </c>
      <c r="Q134" s="632">
        <v>52.053571428571431</v>
      </c>
      <c r="R134" s="1054">
        <v>1.9642857142857142</v>
      </c>
      <c r="S134" s="1050">
        <f t="shared" si="12"/>
        <v>54.017857142857146</v>
      </c>
      <c r="T134" s="1053">
        <f t="shared" si="13"/>
        <v>619.29924682065837</v>
      </c>
      <c r="V134" s="1147">
        <f t="shared" si="18"/>
        <v>0</v>
      </c>
      <c r="W134" s="1054">
        <v>0</v>
      </c>
      <c r="X134" s="1055">
        <v>0</v>
      </c>
      <c r="Y134" s="79"/>
      <c r="Z134" s="1056">
        <f t="shared" si="19"/>
        <v>0</v>
      </c>
      <c r="AA134" s="1057">
        <v>0</v>
      </c>
      <c r="AB134" s="1148">
        <f t="shared" si="14"/>
        <v>0</v>
      </c>
      <c r="AD134" s="985" t="str">
        <f t="shared" si="15"/>
        <v>North Florida College</v>
      </c>
      <c r="AE134" s="1058">
        <v>0</v>
      </c>
      <c r="AF134" s="1058">
        <v>0</v>
      </c>
      <c r="AG134" s="1050">
        <f t="shared" si="16"/>
        <v>0</v>
      </c>
    </row>
    <row r="135" spans="1:33" ht="25.35" customHeight="1">
      <c r="A135" s="985" t="str">
        <f t="shared" si="7"/>
        <v>Northwest Florida State College</v>
      </c>
      <c r="B135" s="623">
        <v>295</v>
      </c>
      <c r="C135" s="1048"/>
      <c r="D135" s="878">
        <f t="shared" si="8"/>
        <v>295</v>
      </c>
      <c r="E135" s="982">
        <v>1393.7605603261341</v>
      </c>
      <c r="F135" s="1049">
        <v>126.44951860525629</v>
      </c>
      <c r="G135" s="1050">
        <f t="shared" si="9"/>
        <v>1520.2100789313904</v>
      </c>
      <c r="H135" s="1051">
        <v>468.56742954416495</v>
      </c>
      <c r="I135" s="1052">
        <v>26.839417439001323</v>
      </c>
      <c r="J135" s="1050">
        <f t="shared" si="17"/>
        <v>495.40684698316625</v>
      </c>
      <c r="K135" s="632">
        <v>44.031128404669261</v>
      </c>
      <c r="L135" s="624">
        <v>1.9688715953307396</v>
      </c>
      <c r="M135" s="1053">
        <f t="shared" si="10"/>
        <v>46</v>
      </c>
      <c r="N135" s="632">
        <v>0</v>
      </c>
      <c r="O135" s="624">
        <v>0</v>
      </c>
      <c r="P135" s="1053">
        <f t="shared" si="11"/>
        <v>0</v>
      </c>
      <c r="Q135" s="632">
        <v>178.18690542809176</v>
      </c>
      <c r="R135" s="1054">
        <v>1.8130945719082261</v>
      </c>
      <c r="S135" s="1050">
        <f t="shared" si="12"/>
        <v>180</v>
      </c>
      <c r="T135" s="1053">
        <f t="shared" si="13"/>
        <v>2536.6169259145568</v>
      </c>
      <c r="V135" s="1147">
        <f t="shared" si="18"/>
        <v>0</v>
      </c>
      <c r="W135" s="1054">
        <v>0</v>
      </c>
      <c r="X135" s="1055">
        <v>0</v>
      </c>
      <c r="Y135" s="79"/>
      <c r="Z135" s="1056">
        <f t="shared" si="19"/>
        <v>0</v>
      </c>
      <c r="AA135" s="1057">
        <v>0</v>
      </c>
      <c r="AB135" s="1148">
        <f t="shared" si="14"/>
        <v>0</v>
      </c>
      <c r="AD135" s="985" t="str">
        <f t="shared" si="15"/>
        <v>Northwest Florida State College</v>
      </c>
      <c r="AE135" s="1058">
        <v>0</v>
      </c>
      <c r="AF135" s="1058">
        <v>0</v>
      </c>
      <c r="AG135" s="1050">
        <f t="shared" si="16"/>
        <v>0</v>
      </c>
    </row>
    <row r="136" spans="1:33" ht="25.35" customHeight="1">
      <c r="A136" s="985" t="str">
        <f t="shared" si="7"/>
        <v>Palm Beach State College</v>
      </c>
      <c r="B136" s="623">
        <v>939</v>
      </c>
      <c r="C136" s="1048"/>
      <c r="D136" s="878">
        <f t="shared" si="8"/>
        <v>939</v>
      </c>
      <c r="E136" s="982">
        <v>11621.156548523664</v>
      </c>
      <c r="F136" s="1049">
        <v>360.4402002822406</v>
      </c>
      <c r="G136" s="1050">
        <f t="shared" si="9"/>
        <v>11981.596748805905</v>
      </c>
      <c r="H136" s="1051">
        <v>1363.0890223921356</v>
      </c>
      <c r="I136" s="1052">
        <v>30.562534134352813</v>
      </c>
      <c r="J136" s="1050">
        <f t="shared" si="17"/>
        <v>1393.6515565264883</v>
      </c>
      <c r="K136" s="632">
        <v>348.68621973929237</v>
      </c>
      <c r="L136" s="624">
        <v>13.313780260707636</v>
      </c>
      <c r="M136" s="1053">
        <f t="shared" si="10"/>
        <v>362</v>
      </c>
      <c r="N136" s="632">
        <v>20.601265822784811</v>
      </c>
      <c r="O136" s="624">
        <v>0.39873417721518983</v>
      </c>
      <c r="P136" s="1053">
        <f t="shared" si="11"/>
        <v>21</v>
      </c>
      <c r="Q136" s="632">
        <v>761.94599854050114</v>
      </c>
      <c r="R136" s="1054">
        <v>8.0540014594989042</v>
      </c>
      <c r="S136" s="1050">
        <f t="shared" si="12"/>
        <v>770</v>
      </c>
      <c r="T136" s="1053">
        <f t="shared" si="13"/>
        <v>15467.248305332394</v>
      </c>
      <c r="V136" s="1147">
        <f t="shared" si="18"/>
        <v>0</v>
      </c>
      <c r="W136" s="1054">
        <v>0</v>
      </c>
      <c r="X136" s="1055">
        <v>0</v>
      </c>
      <c r="Y136" s="79"/>
      <c r="Z136" s="1056">
        <f t="shared" si="19"/>
        <v>0</v>
      </c>
      <c r="AA136" s="1057">
        <v>0</v>
      </c>
      <c r="AB136" s="1148">
        <f t="shared" si="14"/>
        <v>0</v>
      </c>
      <c r="AD136" s="985" t="str">
        <f t="shared" si="15"/>
        <v>Palm Beach State College</v>
      </c>
      <c r="AE136" s="1058">
        <v>0</v>
      </c>
      <c r="AF136" s="1058">
        <v>0</v>
      </c>
      <c r="AG136" s="1050">
        <f t="shared" si="16"/>
        <v>0</v>
      </c>
    </row>
    <row r="137" spans="1:33" ht="25.35" customHeight="1">
      <c r="A137" s="985" t="str">
        <f t="shared" si="7"/>
        <v>Pasco-Hernando State College</v>
      </c>
      <c r="B137" s="623">
        <v>349</v>
      </c>
      <c r="C137" s="1048"/>
      <c r="D137" s="878">
        <f t="shared" si="8"/>
        <v>349</v>
      </c>
      <c r="E137" s="982">
        <v>2676.6194063926941</v>
      </c>
      <c r="F137" s="1049">
        <v>22.502191780821917</v>
      </c>
      <c r="G137" s="1050">
        <f t="shared" si="9"/>
        <v>2699.1215981735158</v>
      </c>
      <c r="H137" s="1051">
        <v>1578.1575091575091</v>
      </c>
      <c r="I137" s="1052">
        <v>16.404761904761902</v>
      </c>
      <c r="J137" s="1050">
        <f t="shared" si="17"/>
        <v>1594.5622710622711</v>
      </c>
      <c r="K137" s="632">
        <v>108.06694560669456</v>
      </c>
      <c r="L137" s="624">
        <v>1.9330543933054396</v>
      </c>
      <c r="M137" s="1053">
        <f t="shared" si="10"/>
        <v>110</v>
      </c>
      <c r="N137" s="632">
        <v>9</v>
      </c>
      <c r="O137" s="624">
        <v>0</v>
      </c>
      <c r="P137" s="1053">
        <f t="shared" si="11"/>
        <v>9</v>
      </c>
      <c r="Q137" s="632">
        <v>231.98157743235464</v>
      </c>
      <c r="R137" s="1054">
        <v>5.1335636154289013</v>
      </c>
      <c r="S137" s="1050">
        <f t="shared" si="12"/>
        <v>237.11514104778354</v>
      </c>
      <c r="T137" s="1053">
        <f t="shared" si="13"/>
        <v>4998.7990102835702</v>
      </c>
      <c r="V137" s="1147">
        <f t="shared" si="18"/>
        <v>0</v>
      </c>
      <c r="W137" s="1054">
        <v>0</v>
      </c>
      <c r="X137" s="1055">
        <v>0</v>
      </c>
      <c r="Y137" s="79"/>
      <c r="Z137" s="1056">
        <f t="shared" si="19"/>
        <v>0</v>
      </c>
      <c r="AA137" s="1057">
        <v>0</v>
      </c>
      <c r="AB137" s="1148">
        <f t="shared" si="14"/>
        <v>0</v>
      </c>
      <c r="AD137" s="985" t="str">
        <f t="shared" si="15"/>
        <v>Pasco-Hernando State College</v>
      </c>
      <c r="AE137" s="1058">
        <v>0</v>
      </c>
      <c r="AF137" s="1058">
        <v>0</v>
      </c>
      <c r="AG137" s="1050">
        <f t="shared" si="16"/>
        <v>0</v>
      </c>
    </row>
    <row r="138" spans="1:33" ht="25.35" customHeight="1">
      <c r="A138" s="985" t="str">
        <f t="shared" si="7"/>
        <v>Pensacola State College</v>
      </c>
      <c r="B138" s="623">
        <v>434</v>
      </c>
      <c r="C138" s="1048"/>
      <c r="D138" s="878">
        <f t="shared" si="8"/>
        <v>434</v>
      </c>
      <c r="E138" s="982">
        <v>2877.7594543696241</v>
      </c>
      <c r="F138" s="1049">
        <v>62.17615921005752</v>
      </c>
      <c r="G138" s="1050">
        <f t="shared" si="9"/>
        <v>2939.9356135796816</v>
      </c>
      <c r="H138" s="1051">
        <v>1195.3184957789715</v>
      </c>
      <c r="I138" s="1052">
        <v>16.864857322263308</v>
      </c>
      <c r="J138" s="1050">
        <f t="shared" si="17"/>
        <v>1212.1833531012348</v>
      </c>
      <c r="K138" s="632">
        <v>179.78348504551366</v>
      </c>
      <c r="L138" s="624">
        <v>9.2165149544863461</v>
      </c>
      <c r="M138" s="1053">
        <f t="shared" si="10"/>
        <v>189</v>
      </c>
      <c r="N138" s="632">
        <v>0</v>
      </c>
      <c r="O138" s="624">
        <v>0</v>
      </c>
      <c r="P138" s="1053">
        <f t="shared" si="11"/>
        <v>0</v>
      </c>
      <c r="Q138" s="632">
        <v>285.7473233404711</v>
      </c>
      <c r="R138" s="1054">
        <v>4.2726623840114204</v>
      </c>
      <c r="S138" s="1050">
        <f t="shared" si="12"/>
        <v>290.01998572448252</v>
      </c>
      <c r="T138" s="1053">
        <f t="shared" si="13"/>
        <v>5065.1389524053993</v>
      </c>
      <c r="V138" s="1147">
        <f t="shared" si="18"/>
        <v>0</v>
      </c>
      <c r="W138" s="1054">
        <v>0</v>
      </c>
      <c r="X138" s="1055">
        <v>0</v>
      </c>
      <c r="Y138" s="79"/>
      <c r="Z138" s="1056">
        <f t="shared" si="19"/>
        <v>94.067114093959731</v>
      </c>
      <c r="AA138" s="1057">
        <v>1.9328859060402683</v>
      </c>
      <c r="AB138" s="1148">
        <f t="shared" si="14"/>
        <v>96</v>
      </c>
      <c r="AD138" s="985" t="str">
        <f t="shared" si="15"/>
        <v>Pensacola State College</v>
      </c>
      <c r="AE138" s="1058">
        <v>92</v>
      </c>
      <c r="AF138" s="1058">
        <v>4</v>
      </c>
      <c r="AG138" s="1050">
        <f t="shared" si="16"/>
        <v>96</v>
      </c>
    </row>
    <row r="139" spans="1:33" ht="25.35" customHeight="1">
      <c r="A139" s="985" t="str">
        <f t="shared" si="7"/>
        <v>Polk State College</v>
      </c>
      <c r="B139" s="623">
        <v>722</v>
      </c>
      <c r="C139" s="1048"/>
      <c r="D139" s="878">
        <f t="shared" si="8"/>
        <v>722</v>
      </c>
      <c r="E139" s="982">
        <v>3174.6756015079272</v>
      </c>
      <c r="F139" s="1049">
        <v>77.552805189045344</v>
      </c>
      <c r="G139" s="1050">
        <f t="shared" si="9"/>
        <v>3252.2284066969728</v>
      </c>
      <c r="H139" s="1051">
        <v>1249.2522913651712</v>
      </c>
      <c r="I139" s="1052">
        <v>20.438977327544624</v>
      </c>
      <c r="J139" s="1050">
        <f t="shared" si="17"/>
        <v>1269.6912686927158</v>
      </c>
      <c r="K139" s="632">
        <v>98.314720812182742</v>
      </c>
      <c r="L139" s="624">
        <v>9.6852791878172582</v>
      </c>
      <c r="M139" s="1053">
        <f t="shared" si="10"/>
        <v>108</v>
      </c>
      <c r="N139" s="632">
        <v>60</v>
      </c>
      <c r="O139" s="624">
        <v>0</v>
      </c>
      <c r="P139" s="1053">
        <f t="shared" si="11"/>
        <v>60</v>
      </c>
      <c r="Q139" s="632">
        <v>89.764197530864195</v>
      </c>
      <c r="R139" s="1054">
        <v>1.2358024691358027</v>
      </c>
      <c r="S139" s="1050">
        <f t="shared" si="12"/>
        <v>91</v>
      </c>
      <c r="T139" s="1053">
        <f t="shared" si="13"/>
        <v>5502.9196753896886</v>
      </c>
      <c r="V139" s="1147">
        <f t="shared" si="18"/>
        <v>0</v>
      </c>
      <c r="W139" s="1054">
        <v>0</v>
      </c>
      <c r="X139" s="1055">
        <v>0</v>
      </c>
      <c r="Y139" s="79"/>
      <c r="Z139" s="1056">
        <f t="shared" si="19"/>
        <v>0</v>
      </c>
      <c r="AA139" s="1057">
        <v>0</v>
      </c>
      <c r="AB139" s="1148">
        <f t="shared" si="14"/>
        <v>0</v>
      </c>
      <c r="AD139" s="985" t="str">
        <f t="shared" si="15"/>
        <v>Polk State College</v>
      </c>
      <c r="AE139" s="1058">
        <v>0</v>
      </c>
      <c r="AF139" s="1058">
        <v>0</v>
      </c>
      <c r="AG139" s="1050">
        <f t="shared" si="16"/>
        <v>0</v>
      </c>
    </row>
    <row r="140" spans="1:33" ht="25.35" customHeight="1">
      <c r="A140" s="985" t="str">
        <f t="shared" si="7"/>
        <v>St. Johns River State College</v>
      </c>
      <c r="B140" s="623">
        <v>237</v>
      </c>
      <c r="C140" s="1048"/>
      <c r="D140" s="878">
        <f t="shared" si="8"/>
        <v>237</v>
      </c>
      <c r="E140" s="982">
        <v>1761.413276790083</v>
      </c>
      <c r="F140" s="1049">
        <v>31.309215462404172</v>
      </c>
      <c r="G140" s="1050">
        <f t="shared" si="9"/>
        <v>1792.7224922524872</v>
      </c>
      <c r="H140" s="1051">
        <v>642.40760869565213</v>
      </c>
      <c r="I140" s="1052">
        <v>8.6766304347826093</v>
      </c>
      <c r="J140" s="1050">
        <f t="shared" si="17"/>
        <v>651.08423913043475</v>
      </c>
      <c r="K140" s="632">
        <v>35.524539877300612</v>
      </c>
      <c r="L140" s="624">
        <v>1.4754601226993864</v>
      </c>
      <c r="M140" s="1053">
        <f t="shared" si="10"/>
        <v>37</v>
      </c>
      <c r="N140" s="632">
        <v>31</v>
      </c>
      <c r="O140" s="624">
        <v>0</v>
      </c>
      <c r="P140" s="1053">
        <f t="shared" si="11"/>
        <v>31</v>
      </c>
      <c r="Q140" s="632">
        <v>83.453001132502834</v>
      </c>
      <c r="R140" s="1054">
        <v>1.4779161947904871</v>
      </c>
      <c r="S140" s="1050">
        <f t="shared" si="12"/>
        <v>84.930917327293315</v>
      </c>
      <c r="T140" s="1053">
        <f t="shared" si="13"/>
        <v>2833.7376487102151</v>
      </c>
      <c r="V140" s="1147">
        <f t="shared" si="18"/>
        <v>0</v>
      </c>
      <c r="W140" s="1054">
        <v>0</v>
      </c>
      <c r="X140" s="1055">
        <v>0</v>
      </c>
      <c r="Y140" s="79"/>
      <c r="Z140" s="1056">
        <f t="shared" si="19"/>
        <v>13</v>
      </c>
      <c r="AA140" s="1057">
        <v>0</v>
      </c>
      <c r="AB140" s="1148">
        <f t="shared" si="14"/>
        <v>13</v>
      </c>
      <c r="AD140" s="985" t="str">
        <f t="shared" si="15"/>
        <v>St. Johns River State College</v>
      </c>
      <c r="AE140" s="1058">
        <v>12</v>
      </c>
      <c r="AF140" s="1058">
        <v>1</v>
      </c>
      <c r="AG140" s="1050">
        <f t="shared" si="16"/>
        <v>13</v>
      </c>
    </row>
    <row r="141" spans="1:33" ht="25.35" customHeight="1">
      <c r="A141" s="985" t="str">
        <f t="shared" si="7"/>
        <v>St. Petersburg College</v>
      </c>
      <c r="B141" s="623">
        <v>2389</v>
      </c>
      <c r="C141" s="1048"/>
      <c r="D141" s="878">
        <f t="shared" si="8"/>
        <v>2389</v>
      </c>
      <c r="E141" s="982">
        <v>6488.6222232194941</v>
      </c>
      <c r="F141" s="1049">
        <v>262.02744244491316</v>
      </c>
      <c r="G141" s="1050">
        <f t="shared" si="9"/>
        <v>6750.6496656644076</v>
      </c>
      <c r="H141" s="1051">
        <v>4002.4271844660198</v>
      </c>
      <c r="I141" s="1052">
        <v>143.87216115649463</v>
      </c>
      <c r="J141" s="1050">
        <f t="shared" si="17"/>
        <v>4146.299345622514</v>
      </c>
      <c r="K141" s="632">
        <v>328.66951280763436</v>
      </c>
      <c r="L141" s="624">
        <v>28.330487192365645</v>
      </c>
      <c r="M141" s="1053">
        <f t="shared" si="10"/>
        <v>357</v>
      </c>
      <c r="N141" s="632">
        <v>0</v>
      </c>
      <c r="O141" s="624">
        <v>0</v>
      </c>
      <c r="P141" s="1053">
        <f t="shared" si="11"/>
        <v>0</v>
      </c>
      <c r="Q141" s="632">
        <v>178.66090909090909</v>
      </c>
      <c r="R141" s="1054">
        <v>39.339090909090913</v>
      </c>
      <c r="S141" s="1050">
        <f t="shared" si="12"/>
        <v>218</v>
      </c>
      <c r="T141" s="1053">
        <f t="shared" si="13"/>
        <v>13860.949011286923</v>
      </c>
      <c r="V141" s="1147">
        <f t="shared" si="18"/>
        <v>0</v>
      </c>
      <c r="W141" s="1054">
        <v>0</v>
      </c>
      <c r="X141" s="1055">
        <v>0</v>
      </c>
      <c r="Y141" s="79"/>
      <c r="Z141" s="1056">
        <f t="shared" si="19"/>
        <v>0</v>
      </c>
      <c r="AA141" s="1057">
        <v>0</v>
      </c>
      <c r="AB141" s="1148">
        <f t="shared" si="14"/>
        <v>0</v>
      </c>
      <c r="AD141" s="985" t="str">
        <f t="shared" si="15"/>
        <v>St. Petersburg College</v>
      </c>
      <c r="AE141" s="1058">
        <v>0</v>
      </c>
      <c r="AF141" s="1058">
        <v>0</v>
      </c>
      <c r="AG141" s="1050">
        <f t="shared" si="16"/>
        <v>0</v>
      </c>
    </row>
    <row r="142" spans="1:33" ht="25.35" customHeight="1">
      <c r="A142" s="985" t="str">
        <f t="shared" si="7"/>
        <v>Santa Fe College</v>
      </c>
      <c r="B142" s="623">
        <v>461</v>
      </c>
      <c r="C142" s="1048"/>
      <c r="D142" s="878">
        <f t="shared" si="8"/>
        <v>461</v>
      </c>
      <c r="E142" s="982">
        <v>5110.2110804473014</v>
      </c>
      <c r="F142" s="1049">
        <v>462.39009683028377</v>
      </c>
      <c r="G142" s="1050">
        <f t="shared" si="9"/>
        <v>5572.6011772775855</v>
      </c>
      <c r="H142" s="1051">
        <v>1918.7233170998134</v>
      </c>
      <c r="I142" s="1052">
        <v>108.96522688999136</v>
      </c>
      <c r="J142" s="1050">
        <f t="shared" si="17"/>
        <v>2027.6885439898047</v>
      </c>
      <c r="K142" s="632">
        <v>190.38620689655173</v>
      </c>
      <c r="L142" s="624">
        <v>24.613793103448273</v>
      </c>
      <c r="M142" s="1053">
        <f t="shared" si="10"/>
        <v>215</v>
      </c>
      <c r="N142" s="632">
        <v>1</v>
      </c>
      <c r="O142" s="624">
        <v>0</v>
      </c>
      <c r="P142" s="1053">
        <f t="shared" si="11"/>
        <v>1</v>
      </c>
      <c r="Q142" s="632">
        <v>225.05114638447969</v>
      </c>
      <c r="R142" s="1054">
        <v>1.3403880070546739</v>
      </c>
      <c r="S142" s="1050">
        <f t="shared" si="12"/>
        <v>226.39153439153438</v>
      </c>
      <c r="T142" s="1053">
        <f t="shared" si="13"/>
        <v>8503.6812556589248</v>
      </c>
      <c r="V142" s="1147">
        <f t="shared" si="18"/>
        <v>0</v>
      </c>
      <c r="W142" s="1054">
        <v>0</v>
      </c>
      <c r="X142" s="1055">
        <v>0</v>
      </c>
      <c r="Y142" s="79"/>
      <c r="Z142" s="1056">
        <f t="shared" si="19"/>
        <v>10.401500938086301</v>
      </c>
      <c r="AA142" s="1057">
        <v>55.598499061913699</v>
      </c>
      <c r="AB142" s="1148">
        <f t="shared" si="14"/>
        <v>66</v>
      </c>
      <c r="AD142" s="985" t="str">
        <f t="shared" si="15"/>
        <v>Santa Fe College</v>
      </c>
      <c r="AE142" s="1058">
        <v>64</v>
      </c>
      <c r="AF142" s="1058">
        <v>2</v>
      </c>
      <c r="AG142" s="1050">
        <f t="shared" si="16"/>
        <v>66</v>
      </c>
    </row>
    <row r="143" spans="1:33" ht="25.35" customHeight="1">
      <c r="A143" s="985" t="str">
        <f t="shared" si="7"/>
        <v>Seminole State College of Florida</v>
      </c>
      <c r="B143" s="623">
        <v>850</v>
      </c>
      <c r="C143" s="1048"/>
      <c r="D143" s="878">
        <f t="shared" si="8"/>
        <v>850</v>
      </c>
      <c r="E143" s="982">
        <v>5386.1449184345565</v>
      </c>
      <c r="F143" s="1049">
        <v>133.70676265604658</v>
      </c>
      <c r="G143" s="1050">
        <f t="shared" si="9"/>
        <v>5519.8516810906031</v>
      </c>
      <c r="H143" s="1051">
        <v>2531.5279931093887</v>
      </c>
      <c r="I143" s="1052">
        <v>96.275624461670972</v>
      </c>
      <c r="J143" s="1050">
        <f t="shared" si="17"/>
        <v>2627.8036175710595</v>
      </c>
      <c r="K143" s="632">
        <v>138.83855254001392</v>
      </c>
      <c r="L143" s="624">
        <v>10.161447459986084</v>
      </c>
      <c r="M143" s="1053">
        <f t="shared" si="10"/>
        <v>149</v>
      </c>
      <c r="N143" s="632">
        <v>72.91441969519343</v>
      </c>
      <c r="O143" s="624">
        <v>8.5580304806565075E-2</v>
      </c>
      <c r="P143" s="1053">
        <f t="shared" si="11"/>
        <v>73</v>
      </c>
      <c r="Q143" s="632">
        <v>221.97027600849256</v>
      </c>
      <c r="R143" s="1054">
        <v>14.029723991507431</v>
      </c>
      <c r="S143" s="1050">
        <f t="shared" si="12"/>
        <v>236</v>
      </c>
      <c r="T143" s="1053">
        <f t="shared" si="13"/>
        <v>9455.6552986616625</v>
      </c>
      <c r="V143" s="1147">
        <f t="shared" si="18"/>
        <v>0</v>
      </c>
      <c r="W143" s="1054">
        <v>0</v>
      </c>
      <c r="X143" s="1055">
        <v>0</v>
      </c>
      <c r="Y143" s="79"/>
      <c r="Z143" s="1056">
        <f t="shared" si="19"/>
        <v>56.934858076373303</v>
      </c>
      <c r="AA143" s="1057">
        <v>433.0651419236267</v>
      </c>
      <c r="AB143" s="1148">
        <f t="shared" si="14"/>
        <v>490</v>
      </c>
      <c r="AD143" s="985" t="str">
        <f t="shared" si="15"/>
        <v>Seminole State College of Florida</v>
      </c>
      <c r="AE143" s="1058">
        <v>355</v>
      </c>
      <c r="AF143" s="1058">
        <v>135</v>
      </c>
      <c r="AG143" s="1050">
        <f t="shared" si="16"/>
        <v>490</v>
      </c>
    </row>
    <row r="144" spans="1:33" ht="25.35" customHeight="1">
      <c r="A144" s="985" t="str">
        <f t="shared" si="7"/>
        <v>South Florida State College</v>
      </c>
      <c r="B144" s="623">
        <v>116</v>
      </c>
      <c r="C144" s="1048"/>
      <c r="D144" s="878">
        <f t="shared" si="8"/>
        <v>116</v>
      </c>
      <c r="E144" s="982">
        <v>1144.5831120552311</v>
      </c>
      <c r="F144" s="1049">
        <v>11.789697291556028</v>
      </c>
      <c r="G144" s="1050">
        <f t="shared" si="9"/>
        <v>1156.3728093467871</v>
      </c>
      <c r="H144" s="1051">
        <v>1.9512195121951219</v>
      </c>
      <c r="I144" s="1052">
        <v>0</v>
      </c>
      <c r="J144" s="1050">
        <f t="shared" si="17"/>
        <v>1.9512195121951219</v>
      </c>
      <c r="K144" s="632">
        <v>17</v>
      </c>
      <c r="L144" s="624">
        <v>0</v>
      </c>
      <c r="M144" s="1053">
        <f t="shared" si="10"/>
        <v>17</v>
      </c>
      <c r="N144" s="632">
        <v>0</v>
      </c>
      <c r="O144" s="624">
        <v>0</v>
      </c>
      <c r="P144" s="1053">
        <f t="shared" si="11"/>
        <v>0</v>
      </c>
      <c r="Q144" s="632">
        <v>219.30578512396696</v>
      </c>
      <c r="R144" s="1054">
        <v>0.59779614325068864</v>
      </c>
      <c r="S144" s="1050">
        <f t="shared" si="12"/>
        <v>219.90358126721765</v>
      </c>
      <c r="T144" s="1053">
        <f t="shared" si="13"/>
        <v>1511.2276101262</v>
      </c>
      <c r="V144" s="1147">
        <f t="shared" si="18"/>
        <v>0</v>
      </c>
      <c r="W144" s="1054">
        <v>0</v>
      </c>
      <c r="X144" s="1055">
        <v>0</v>
      </c>
      <c r="Y144" s="79"/>
      <c r="Z144" s="1056">
        <f t="shared" si="19"/>
        <v>96.840028694404566</v>
      </c>
      <c r="AA144" s="1057">
        <v>169.15997130559543</v>
      </c>
      <c r="AB144" s="1148">
        <f t="shared" si="14"/>
        <v>266</v>
      </c>
      <c r="AD144" s="985" t="str">
        <f t="shared" si="15"/>
        <v>South Florida State College</v>
      </c>
      <c r="AE144" s="1058">
        <v>258</v>
      </c>
      <c r="AF144" s="1058">
        <v>8</v>
      </c>
      <c r="AG144" s="1050">
        <f t="shared" si="16"/>
        <v>266</v>
      </c>
    </row>
    <row r="145" spans="1:44" ht="25.35" customHeight="1">
      <c r="A145" s="985" t="str">
        <f t="shared" si="7"/>
        <v>Tallahassee Community College</v>
      </c>
      <c r="B145" s="623">
        <v>37</v>
      </c>
      <c r="C145" s="1048"/>
      <c r="D145" s="878">
        <f t="shared" si="8"/>
        <v>37</v>
      </c>
      <c r="E145" s="982">
        <v>6681.5521639316385</v>
      </c>
      <c r="F145" s="1049">
        <v>309.04196071762601</v>
      </c>
      <c r="G145" s="1050">
        <f t="shared" si="9"/>
        <v>6990.5941246492648</v>
      </c>
      <c r="H145" s="1051">
        <v>1227.2774979009237</v>
      </c>
      <c r="I145" s="1052">
        <v>35.49664147774979</v>
      </c>
      <c r="J145" s="1050">
        <f t="shared" si="17"/>
        <v>1262.7741393786735</v>
      </c>
      <c r="K145" s="632">
        <v>104.56767411300919</v>
      </c>
      <c r="L145" s="624">
        <v>11.432325886990803</v>
      </c>
      <c r="M145" s="1053">
        <f t="shared" si="10"/>
        <v>116</v>
      </c>
      <c r="N145" s="632">
        <v>0</v>
      </c>
      <c r="O145" s="624">
        <v>0</v>
      </c>
      <c r="P145" s="1053">
        <f t="shared" si="11"/>
        <v>0</v>
      </c>
      <c r="Q145" s="632">
        <v>219.93815635939325</v>
      </c>
      <c r="R145" s="1054">
        <v>14.061843640606767</v>
      </c>
      <c r="S145" s="1050">
        <f t="shared" si="12"/>
        <v>234</v>
      </c>
      <c r="T145" s="1053">
        <f t="shared" si="13"/>
        <v>8640.3682640279385</v>
      </c>
      <c r="V145" s="1147">
        <f t="shared" si="18"/>
        <v>0</v>
      </c>
      <c r="W145" s="1054">
        <v>0</v>
      </c>
      <c r="X145" s="1055">
        <v>0</v>
      </c>
      <c r="Y145" s="79"/>
      <c r="Z145" s="1056">
        <f t="shared" si="19"/>
        <v>1.531645569620256</v>
      </c>
      <c r="AA145" s="1057">
        <v>31.468354430379744</v>
      </c>
      <c r="AB145" s="1148">
        <f t="shared" si="14"/>
        <v>33</v>
      </c>
      <c r="AD145" s="985" t="str">
        <f t="shared" si="15"/>
        <v>Tallahassee Community College</v>
      </c>
      <c r="AE145" s="1058">
        <v>32</v>
      </c>
      <c r="AF145" s="1058">
        <v>1</v>
      </c>
      <c r="AG145" s="1050">
        <f t="shared" si="16"/>
        <v>33</v>
      </c>
    </row>
    <row r="146" spans="1:44" ht="25.35" customHeight="1" thickBot="1">
      <c r="A146" s="1059" t="str">
        <f t="shared" si="7"/>
        <v>Valencia College</v>
      </c>
      <c r="B146" s="579">
        <v>1160</v>
      </c>
      <c r="C146" s="611"/>
      <c r="D146" s="879">
        <f t="shared" si="8"/>
        <v>1160</v>
      </c>
      <c r="E146" s="983">
        <v>15900.612126604585</v>
      </c>
      <c r="F146" s="612">
        <v>1102.1395276515609</v>
      </c>
      <c r="G146" s="580">
        <f t="shared" si="9"/>
        <v>17002.751654256146</v>
      </c>
      <c r="H146" s="1060">
        <v>7559.125804284201</v>
      </c>
      <c r="I146" s="1061">
        <v>485.22877543815696</v>
      </c>
      <c r="J146" s="1062">
        <f t="shared" si="17"/>
        <v>8044.3545797223578</v>
      </c>
      <c r="K146" s="633">
        <v>707.79812911421641</v>
      </c>
      <c r="L146" s="634">
        <v>98.201870885783578</v>
      </c>
      <c r="M146" s="1063">
        <f t="shared" si="10"/>
        <v>806</v>
      </c>
      <c r="N146" s="633">
        <v>58</v>
      </c>
      <c r="O146" s="634">
        <v>0</v>
      </c>
      <c r="P146" s="1063">
        <f t="shared" si="11"/>
        <v>58</v>
      </c>
      <c r="Q146" s="633">
        <v>229.72929936305732</v>
      </c>
      <c r="R146" s="1064">
        <v>22.270700636942674</v>
      </c>
      <c r="S146" s="580">
        <f t="shared" si="12"/>
        <v>252</v>
      </c>
      <c r="T146" s="1063">
        <f t="shared" si="13"/>
        <v>27323.106233978506</v>
      </c>
      <c r="V146" s="1147">
        <f t="shared" si="18"/>
        <v>0</v>
      </c>
      <c r="W146" s="479">
        <v>0</v>
      </c>
      <c r="X146" s="480">
        <v>0</v>
      </c>
      <c r="Y146" s="79"/>
      <c r="Z146" s="1065">
        <f t="shared" si="19"/>
        <v>0</v>
      </c>
      <c r="AA146" s="1066">
        <v>0</v>
      </c>
      <c r="AB146" s="1148">
        <f t="shared" si="14"/>
        <v>0</v>
      </c>
      <c r="AD146" s="1059" t="str">
        <f t="shared" si="15"/>
        <v>Valencia College</v>
      </c>
      <c r="AE146" s="1067">
        <v>0</v>
      </c>
      <c r="AF146" s="1067">
        <v>0</v>
      </c>
      <c r="AG146" s="580">
        <f t="shared" si="16"/>
        <v>0</v>
      </c>
    </row>
    <row r="147" spans="1:44" ht="25.35" customHeight="1" thickBot="1">
      <c r="A147" s="386" t="s">
        <v>52</v>
      </c>
      <c r="B147" s="387">
        <f t="shared" ref="B147" si="20">SUM(B119:B146)</f>
        <v>18615</v>
      </c>
      <c r="C147" s="67"/>
      <c r="D147" s="402">
        <f t="shared" ref="D147:T147" si="21">SUM(D119:D146)</f>
        <v>18615</v>
      </c>
      <c r="E147" s="880">
        <f t="shared" si="21"/>
        <v>148527.48597990075</v>
      </c>
      <c r="F147" s="388">
        <f t="shared" si="21"/>
        <v>6208.5928215637341</v>
      </c>
      <c r="G147" s="402">
        <f t="shared" si="21"/>
        <v>154736.07880146446</v>
      </c>
      <c r="H147" s="412">
        <f t="shared" si="21"/>
        <v>50587.979683434496</v>
      </c>
      <c r="I147" s="388">
        <f t="shared" si="21"/>
        <v>2016.7795188294649</v>
      </c>
      <c r="J147" s="402">
        <f t="shared" si="21"/>
        <v>52604.759202263944</v>
      </c>
      <c r="K147" s="412">
        <f t="shared" si="21"/>
        <v>5914.4501536268854</v>
      </c>
      <c r="L147" s="414">
        <f t="shared" si="21"/>
        <v>479.54984637311503</v>
      </c>
      <c r="M147" s="403">
        <f t="shared" si="21"/>
        <v>6394</v>
      </c>
      <c r="N147" s="412">
        <f t="shared" si="21"/>
        <v>413.39751087749067</v>
      </c>
      <c r="O147" s="414">
        <f t="shared" si="21"/>
        <v>5.6024891225093389</v>
      </c>
      <c r="P147" s="403">
        <f t="shared" si="21"/>
        <v>419</v>
      </c>
      <c r="Q147" s="411">
        <f t="shared" si="21"/>
        <v>7165.0795103283872</v>
      </c>
      <c r="R147" s="413">
        <f t="shared" si="21"/>
        <v>271.29474957793718</v>
      </c>
      <c r="S147" s="404">
        <f t="shared" si="21"/>
        <v>7436.3742599063235</v>
      </c>
      <c r="T147" s="68">
        <f t="shared" si="21"/>
        <v>240205.21226363469</v>
      </c>
      <c r="U147" s="69"/>
      <c r="V147" s="405">
        <f t="shared" ref="V147:AB147" si="22">SUM(V119:V146)</f>
        <v>2</v>
      </c>
      <c r="W147" s="412">
        <f t="shared" si="22"/>
        <v>0</v>
      </c>
      <c r="X147" s="410">
        <f t="shared" si="22"/>
        <v>2</v>
      </c>
      <c r="Y147" s="70"/>
      <c r="Z147" s="405">
        <f t="shared" si="22"/>
        <v>932.7592222355571</v>
      </c>
      <c r="AA147" s="411">
        <f t="shared" si="22"/>
        <v>1401.240777764443</v>
      </c>
      <c r="AB147" s="407">
        <f t="shared" si="22"/>
        <v>2334</v>
      </c>
      <c r="AC147" s="69"/>
      <c r="AD147" s="386" t="s">
        <v>52</v>
      </c>
      <c r="AE147" s="410">
        <f>SUM(AE119:AE146)</f>
        <v>2130</v>
      </c>
      <c r="AF147" s="410">
        <f>SUM(AF119:AF146)</f>
        <v>204</v>
      </c>
      <c r="AG147" s="402">
        <f>SUM(AG119:AG146)</f>
        <v>2334</v>
      </c>
      <c r="AH147" s="69"/>
      <c r="AI147" s="69"/>
      <c r="AJ147" s="69"/>
      <c r="AK147" s="69"/>
      <c r="AL147" s="69"/>
      <c r="AM147" s="69"/>
      <c r="AN147" s="69"/>
      <c r="AO147" s="69"/>
      <c r="AP147" s="69"/>
      <c r="AQ147" s="69"/>
      <c r="AR147" s="69"/>
    </row>
    <row r="148" spans="1:44" ht="14.1" customHeight="1">
      <c r="A148" s="381"/>
      <c r="B148" s="382"/>
      <c r="C148" s="382"/>
      <c r="D148" s="382"/>
      <c r="E148" s="382"/>
      <c r="F148" s="382"/>
      <c r="G148" s="382"/>
      <c r="H148" s="382"/>
      <c r="I148" s="382"/>
      <c r="J148" s="382"/>
      <c r="K148" s="382"/>
      <c r="L148" s="382"/>
      <c r="M148" s="382"/>
      <c r="N148" s="382"/>
      <c r="O148" s="382"/>
      <c r="P148" s="382"/>
      <c r="Q148" s="382"/>
      <c r="R148" s="382"/>
      <c r="S148" s="382"/>
      <c r="T148" s="382"/>
      <c r="U148" s="69"/>
      <c r="V148" s="383"/>
      <c r="W148" s="383"/>
      <c r="X148" s="383"/>
      <c r="Y148" s="383"/>
      <c r="Z148" s="383"/>
      <c r="AA148" s="383"/>
      <c r="AB148" s="383"/>
      <c r="AC148" s="69"/>
      <c r="AD148" s="381"/>
      <c r="AE148" s="71"/>
      <c r="AF148" s="71"/>
      <c r="AG148" s="71"/>
      <c r="AH148" s="69"/>
      <c r="AI148" s="69"/>
      <c r="AJ148" s="69"/>
      <c r="AK148" s="69"/>
      <c r="AL148" s="69"/>
      <c r="AM148" s="69"/>
      <c r="AN148" s="69"/>
      <c r="AO148" s="69"/>
      <c r="AP148" s="69"/>
      <c r="AQ148" s="69"/>
      <c r="AR148" s="69"/>
    </row>
    <row r="149" spans="1:44">
      <c r="A149" s="17" t="s">
        <v>132</v>
      </c>
      <c r="V149" s="53"/>
      <c r="W149" s="53"/>
      <c r="X149" s="53"/>
      <c r="Y149" s="53"/>
      <c r="Z149" s="53"/>
      <c r="AA149" s="53"/>
      <c r="AB149" s="53"/>
    </row>
    <row r="150" spans="1:44">
      <c r="A150" s="17" t="s">
        <v>133</v>
      </c>
      <c r="V150" s="53"/>
      <c r="W150" s="53"/>
      <c r="X150" s="53"/>
      <c r="Y150" s="53"/>
      <c r="Z150" s="60"/>
      <c r="AA150" s="53"/>
      <c r="AB150" s="53"/>
    </row>
    <row r="151" spans="1:44">
      <c r="A151" s="736" t="s">
        <v>134</v>
      </c>
      <c r="B151" s="736"/>
      <c r="C151" s="736"/>
      <c r="D151" s="736"/>
      <c r="E151" s="28"/>
    </row>
    <row r="152" spans="1:44">
      <c r="A152" s="736" t="s">
        <v>135</v>
      </c>
      <c r="B152" s="736"/>
      <c r="C152" s="736"/>
      <c r="D152" s="736"/>
    </row>
    <row r="153" spans="1:44">
      <c r="A153" s="17" t="s">
        <v>136</v>
      </c>
    </row>
    <row r="155" spans="1:44" ht="54.6" customHeight="1"/>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417"/>
  <sheetViews>
    <sheetView showGridLines="0" defaultGridColor="0" topLeftCell="A141" colorId="22" zoomScale="70" zoomScaleNormal="70" zoomScaleSheetLayoutView="51" zoomScalePageLayoutView="60" workbookViewId="0">
      <selection activeCell="N147" sqref="N147"/>
    </sheetView>
  </sheetViews>
  <sheetFormatPr defaultColWidth="9.7109375" defaultRowHeight="21"/>
  <cols>
    <col min="1" max="1" width="5.140625" style="17" customWidth="1"/>
    <col min="2" max="2" width="1.7109375" style="17" customWidth="1"/>
    <col min="3" max="3" width="92.570312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832" t="s">
        <v>10</v>
      </c>
      <c r="B1" s="832"/>
      <c r="C1" s="832"/>
      <c r="D1" s="832"/>
      <c r="E1" s="832"/>
      <c r="F1" s="832"/>
      <c r="G1" s="832"/>
      <c r="H1" s="28"/>
      <c r="I1" s="28"/>
    </row>
    <row r="2" spans="1:9" ht="20.100000000000001" customHeight="1">
      <c r="A2" s="832" t="s">
        <v>137</v>
      </c>
      <c r="B2" s="832"/>
      <c r="C2" s="832"/>
      <c r="D2" s="832"/>
      <c r="E2" s="832"/>
      <c r="F2" s="832"/>
      <c r="G2" s="832"/>
    </row>
    <row r="3" spans="1:9" ht="20.100000000000001" customHeight="1">
      <c r="A3" s="832"/>
      <c r="B3" s="832"/>
      <c r="C3" s="832"/>
      <c r="D3" s="832"/>
      <c r="E3" s="832"/>
      <c r="F3" s="832"/>
      <c r="G3" s="832"/>
      <c r="H3" s="88"/>
    </row>
    <row r="4" spans="1:9" ht="28.35" customHeight="1">
      <c r="A4" s="833" t="s">
        <v>138</v>
      </c>
      <c r="B4" s="833"/>
      <c r="C4" s="833"/>
      <c r="D4" s="833"/>
      <c r="E4" s="833"/>
      <c r="F4" s="833"/>
      <c r="G4" s="833"/>
      <c r="H4" s="86"/>
      <c r="I4" s="86"/>
    </row>
    <row r="5" spans="1:9" ht="20.100000000000001" customHeight="1">
      <c r="D5" s="89"/>
      <c r="E5" s="89"/>
      <c r="F5" s="89"/>
      <c r="G5" s="90"/>
      <c r="H5" s="88"/>
    </row>
    <row r="6" spans="1:9" ht="20.100000000000001" customHeight="1">
      <c r="G6" s="88"/>
    </row>
    <row r="7" spans="1:9" ht="23.1" customHeight="1" thickBot="1">
      <c r="A7" s="91" t="s">
        <v>139</v>
      </c>
      <c r="C7" s="87" t="s">
        <v>140</v>
      </c>
      <c r="D7" s="739" t="s">
        <v>47</v>
      </c>
      <c r="E7" s="872"/>
      <c r="F7" s="872"/>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45" t="s">
        <v>141</v>
      </c>
      <c r="B10" s="91"/>
      <c r="C10" s="834" t="s">
        <v>142</v>
      </c>
      <c r="D10" s="834"/>
      <c r="E10" s="834"/>
      <c r="F10" s="834"/>
      <c r="G10" s="834"/>
      <c r="H10" s="93"/>
      <c r="I10" s="547"/>
    </row>
    <row r="11" spans="1:9" ht="20.45" customHeight="1">
      <c r="A11" s="91"/>
      <c r="B11" s="91"/>
      <c r="C11" s="442"/>
      <c r="D11" s="442"/>
      <c r="E11" s="442"/>
      <c r="F11" s="88"/>
      <c r="G11" s="88"/>
      <c r="H11" s="93"/>
    </row>
    <row r="12" spans="1:9" ht="20.100000000000001" customHeight="1">
      <c r="C12" s="22" t="s">
        <v>143</v>
      </c>
      <c r="D12" s="22"/>
      <c r="E12" s="22"/>
      <c r="F12" s="94"/>
      <c r="G12" s="94"/>
      <c r="H12" s="94"/>
    </row>
    <row r="13" spans="1:9" ht="20.100000000000001" customHeight="1">
      <c r="C13" s="92"/>
      <c r="H13" s="94"/>
    </row>
    <row r="14" spans="1:9" ht="20.100000000000001" customHeight="1">
      <c r="C14" s="92"/>
    </row>
    <row r="15" spans="1:9" ht="20.100000000000001" customHeight="1">
      <c r="A15" s="91" t="s">
        <v>144</v>
      </c>
      <c r="B15" s="91"/>
      <c r="C15" s="741" t="s">
        <v>145</v>
      </c>
      <c r="D15" s="741"/>
      <c r="E15" s="741"/>
    </row>
    <row r="16" spans="1:9" ht="20.100000000000001" customHeight="1">
      <c r="A16" s="741"/>
      <c r="B16" s="741"/>
      <c r="D16" s="88"/>
      <c r="E16" s="88"/>
      <c r="H16" s="88"/>
    </row>
    <row r="17" spans="1:8" ht="27" customHeight="1">
      <c r="C17" s="748">
        <f>IF(+'EXHIBIT A'!E44&gt;=0.0499,+'EXHIBIT A'!E44,"PERCENTAGE DOES NOT MEET STATUTORY GUIDELINES")</f>
        <v>9.4652129841491489E-2</v>
      </c>
      <c r="D17" s="748"/>
      <c r="E17" s="748"/>
      <c r="F17" s="748"/>
      <c r="G17" s="748"/>
      <c r="H17" s="88"/>
    </row>
    <row r="18" spans="1:8" ht="20.100000000000001" customHeight="1">
      <c r="A18" s="741"/>
      <c r="B18" s="741"/>
      <c r="C18" s="835" t="s">
        <v>146</v>
      </c>
      <c r="D18" s="835"/>
      <c r="E18" s="835"/>
      <c r="F18" s="835"/>
      <c r="G18" s="835"/>
      <c r="H18" s="88"/>
    </row>
    <row r="19" spans="1:8" ht="20.100000000000001" customHeight="1">
      <c r="A19" s="741"/>
      <c r="B19" s="741"/>
      <c r="C19" s="28"/>
      <c r="D19" s="28"/>
      <c r="E19" s="28"/>
      <c r="F19" s="88"/>
      <c r="G19" s="88"/>
      <c r="H19" s="88"/>
    </row>
    <row r="20" spans="1:8" ht="20.100000000000001" customHeight="1"/>
    <row r="21" spans="1:8" ht="20.100000000000001" customHeight="1">
      <c r="A21" s="91" t="s">
        <v>147</v>
      </c>
      <c r="B21" s="91"/>
      <c r="C21" s="741" t="s">
        <v>148</v>
      </c>
      <c r="D21" s="741"/>
      <c r="E21" s="741"/>
      <c r="F21" s="29"/>
      <c r="G21" s="29"/>
      <c r="H21" s="88"/>
    </row>
    <row r="22" spans="1:8" ht="20.100000000000001" customHeight="1">
      <c r="C22" s="29"/>
      <c r="D22" s="29"/>
      <c r="E22" s="29"/>
      <c r="F22" s="29"/>
      <c r="G22" s="29"/>
      <c r="H22" s="88"/>
    </row>
    <row r="23" spans="1:8" ht="20.100000000000001" customHeight="1">
      <c r="C23" s="88" t="s">
        <v>149</v>
      </c>
      <c r="H23" s="88"/>
    </row>
    <row r="24" spans="1:8" ht="20.100000000000001" customHeight="1">
      <c r="A24" s="95"/>
      <c r="B24" s="95"/>
      <c r="C24" s="88" t="s">
        <v>150</v>
      </c>
      <c r="D24" s="88"/>
      <c r="E24" s="88"/>
      <c r="F24" s="88"/>
      <c r="G24" s="88"/>
      <c r="H24" s="88"/>
    </row>
    <row r="25" spans="1:8" ht="20.100000000000001" customHeight="1">
      <c r="A25" s="91"/>
      <c r="B25" s="91"/>
      <c r="C25" s="88" t="s">
        <v>151</v>
      </c>
      <c r="D25" s="88"/>
      <c r="E25" s="96"/>
      <c r="F25" s="88"/>
      <c r="G25" s="88"/>
      <c r="H25" s="88"/>
    </row>
    <row r="26" spans="1:8" ht="20.100000000000001" customHeight="1">
      <c r="A26" s="91"/>
      <c r="B26" s="91"/>
      <c r="C26" s="88" t="s">
        <v>152</v>
      </c>
      <c r="D26" s="88"/>
      <c r="E26" s="96"/>
      <c r="F26" s="88"/>
      <c r="G26" s="88"/>
      <c r="H26" s="88"/>
    </row>
    <row r="27" spans="1:8" ht="20.100000000000001" customHeight="1">
      <c r="A27" s="91"/>
      <c r="B27" s="91"/>
      <c r="C27" s="88" t="s">
        <v>153</v>
      </c>
      <c r="D27" s="88"/>
      <c r="E27" s="88"/>
      <c r="F27" s="88"/>
      <c r="G27" s="88"/>
      <c r="H27" s="88"/>
    </row>
    <row r="28" spans="1:8" ht="20.100000000000001" customHeight="1">
      <c r="A28" s="97"/>
      <c r="B28" s="97"/>
      <c r="C28" s="88" t="s">
        <v>154</v>
      </c>
      <c r="H28" s="88"/>
    </row>
    <row r="29" spans="1:8" ht="20.100000000000001" customHeight="1">
      <c r="A29" s="97"/>
      <c r="B29" s="97"/>
      <c r="C29" s="17" t="s">
        <v>155</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156</v>
      </c>
      <c r="B32" s="97"/>
      <c r="C32" s="29" t="s">
        <v>157</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1149"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158</v>
      </c>
      <c r="B37" s="91"/>
      <c r="C37" s="29" t="s">
        <v>159</v>
      </c>
      <c r="D37" s="88"/>
      <c r="E37" s="88"/>
      <c r="F37" s="100"/>
      <c r="G37" s="88"/>
      <c r="H37" s="88"/>
    </row>
    <row r="38" spans="1:8" ht="20.100000000000001" customHeight="1">
      <c r="C38" s="29" t="s">
        <v>160</v>
      </c>
      <c r="D38" s="88"/>
      <c r="E38" s="88"/>
      <c r="F38" s="101"/>
      <c r="G38" s="88"/>
      <c r="H38" s="88"/>
    </row>
    <row r="39" spans="1:8" ht="20.100000000000001" customHeight="1" thickBot="1">
      <c r="G39" s="88"/>
      <c r="H39" s="88"/>
    </row>
    <row r="40" spans="1:8" ht="20.100000000000001" customHeight="1">
      <c r="C40" s="102"/>
      <c r="D40" s="103" t="s">
        <v>86</v>
      </c>
      <c r="E40" s="103" t="str">
        <f>D40</f>
        <v>2022-23</v>
      </c>
      <c r="F40" s="104"/>
      <c r="G40" s="105"/>
      <c r="H40" s="88"/>
    </row>
    <row r="41" spans="1:8" ht="20.100000000000001" customHeight="1">
      <c r="C41" s="106"/>
      <c r="D41" s="107" t="s">
        <v>161</v>
      </c>
      <c r="E41" s="108" t="s">
        <v>162</v>
      </c>
      <c r="F41" s="108"/>
      <c r="G41" s="109" t="s">
        <v>163</v>
      </c>
      <c r="H41" s="88"/>
    </row>
    <row r="42" spans="1:8" ht="20.100000000000001" customHeight="1">
      <c r="C42" s="110"/>
      <c r="D42" s="107" t="s">
        <v>164</v>
      </c>
      <c r="E42" s="108" t="s">
        <v>165</v>
      </c>
      <c r="F42" s="108" t="s">
        <v>166</v>
      </c>
      <c r="G42" s="109" t="s">
        <v>167</v>
      </c>
      <c r="H42" s="88"/>
    </row>
    <row r="43" spans="1:8" ht="20.100000000000001" customHeight="1" thickBot="1">
      <c r="C43" s="106" t="s">
        <v>168</v>
      </c>
      <c r="D43" s="107" t="s">
        <v>169</v>
      </c>
      <c r="E43" s="108" t="s">
        <v>170</v>
      </c>
      <c r="F43" s="108" t="s">
        <v>163</v>
      </c>
      <c r="G43" s="111" t="s">
        <v>171</v>
      </c>
      <c r="H43" s="88"/>
    </row>
    <row r="44" spans="1:8" ht="20.100000000000001" customHeight="1">
      <c r="C44" s="112" t="s">
        <v>172</v>
      </c>
      <c r="D44" s="113">
        <f>VLOOKUP($D$7,VLOOKUP!$A$119:$S$147,2)*30+D68</f>
        <v>25500</v>
      </c>
      <c r="E44" s="114">
        <f>+'EXHIBIT C'!F10</f>
        <v>27390</v>
      </c>
      <c r="F44" s="115">
        <f t="shared" ref="F44:F50" si="0">IF(D44=0,"0",(E44/D44-1))</f>
        <v>7.4117647058823621E-2</v>
      </c>
      <c r="G44" s="116" t="str">
        <f t="shared" ref="G44:G50" si="1">IF(OR(F44&gt;3%, F44&lt;-3%),"YES","NO")</f>
        <v>YES</v>
      </c>
      <c r="H44" s="88"/>
    </row>
    <row r="45" spans="1:8" ht="20.100000000000001" customHeight="1">
      <c r="C45" s="117" t="s">
        <v>173</v>
      </c>
      <c r="D45" s="1068">
        <f>VLOOKUP($D$7,VLOOKUP!$A$119:$S$147,5)*30+D69</f>
        <v>165595.5504327181</v>
      </c>
      <c r="E45" s="118">
        <f>+'EXHIBIT C'!F11</f>
        <v>175950</v>
      </c>
      <c r="F45" s="635">
        <f t="shared" si="0"/>
        <v>6.2528549470228345E-2</v>
      </c>
      <c r="G45" s="636" t="str">
        <f t="shared" si="1"/>
        <v>YES</v>
      </c>
      <c r="H45" s="88"/>
    </row>
    <row r="46" spans="1:8" ht="20.100000000000001" customHeight="1">
      <c r="C46" s="637" t="s">
        <v>174</v>
      </c>
      <c r="D46" s="638">
        <f>VLOOKUP($D$7,VLOOKUP!$A$119:$S$147,8)*30</f>
        <v>75945.839793281659</v>
      </c>
      <c r="E46" s="1069">
        <f>+'EXHIBIT C'!F12</f>
        <v>76050</v>
      </c>
      <c r="F46" s="635">
        <f t="shared" si="0"/>
        <v>1.371506418282431E-3</v>
      </c>
      <c r="G46" s="636" t="str">
        <f t="shared" si="1"/>
        <v>NO</v>
      </c>
      <c r="H46" s="88"/>
    </row>
    <row r="47" spans="1:8" ht="20.100000000000001" customHeight="1">
      <c r="C47" s="637" t="s">
        <v>115</v>
      </c>
      <c r="D47" s="638">
        <f>VLOOKUP($D$7,VLOOKUP!$A$119:$S$147,17)*30</f>
        <v>6659.1082802547771</v>
      </c>
      <c r="E47" s="1069">
        <f>+'EXHIBIT C'!F13</f>
        <v>4800</v>
      </c>
      <c r="F47" s="635">
        <f t="shared" si="0"/>
        <v>-0.27918276772391626</v>
      </c>
      <c r="G47" s="636" t="str">
        <f t="shared" si="1"/>
        <v>YES</v>
      </c>
      <c r="H47" s="88"/>
    </row>
    <row r="48" spans="1:8" ht="20.100000000000001" customHeight="1">
      <c r="C48" s="637" t="s">
        <v>175</v>
      </c>
      <c r="D48" s="638">
        <f>VLOOKUP($D$7,VLOOKUP!$A$119:$S$147,11)*30</f>
        <v>4165.1565762004175</v>
      </c>
      <c r="E48" s="1069">
        <f>+'EXHIBIT C'!F14</f>
        <v>3930</v>
      </c>
      <c r="F48" s="635">
        <f t="shared" si="0"/>
        <v>-5.6458039907574031E-2</v>
      </c>
      <c r="G48" s="636" t="str">
        <f t="shared" si="1"/>
        <v>YES</v>
      </c>
      <c r="H48" s="88"/>
    </row>
    <row r="49" spans="3:8" ht="20.100000000000001" customHeight="1" thickBot="1">
      <c r="C49" s="639" t="s">
        <v>176</v>
      </c>
      <c r="D49" s="640">
        <f>VLOOKUP($D$7,VLOOKUP!$A$119:$S$147,14)*30</f>
        <v>2187.432590855803</v>
      </c>
      <c r="E49" s="641">
        <f>+'EXHIBIT C'!F15</f>
        <v>2460</v>
      </c>
      <c r="F49" s="642">
        <f t="shared" si="0"/>
        <v>0.12460608399253981</v>
      </c>
      <c r="G49" s="643" t="str">
        <f t="shared" si="1"/>
        <v>YES</v>
      </c>
      <c r="H49" s="88"/>
    </row>
    <row r="50" spans="3:8" ht="20.100000000000001" customHeight="1" thickBot="1">
      <c r="C50" s="119" t="s">
        <v>52</v>
      </c>
      <c r="D50" s="120">
        <f>SUM(D44:D49)</f>
        <v>280053.08767331071</v>
      </c>
      <c r="E50" s="121">
        <f>+'EXHIBIT C'!F17</f>
        <v>290580</v>
      </c>
      <c r="F50" s="122">
        <f t="shared" si="0"/>
        <v>3.7588988624075448E-2</v>
      </c>
      <c r="G50" s="123" t="str">
        <f t="shared" si="1"/>
        <v>YES</v>
      </c>
      <c r="H50" s="88"/>
    </row>
    <row r="51" spans="3:8" ht="40.35" customHeight="1" thickBot="1">
      <c r="C51" s="836" t="s">
        <v>177</v>
      </c>
      <c r="D51" s="837"/>
      <c r="E51" s="837"/>
      <c r="F51" s="837"/>
      <c r="G51" s="838"/>
      <c r="H51" s="88"/>
    </row>
    <row r="52" spans="3:8" ht="24.6" customHeight="1" thickBot="1">
      <c r="C52" s="745" t="s">
        <v>178</v>
      </c>
      <c r="D52" s="746"/>
      <c r="E52" s="746"/>
      <c r="F52" s="746"/>
      <c r="G52" s="747"/>
      <c r="H52" s="124"/>
    </row>
    <row r="53" spans="3:8" ht="135" customHeight="1">
      <c r="C53" s="1021" t="s">
        <v>179</v>
      </c>
      <c r="D53" s="1022"/>
      <c r="E53" s="1022"/>
      <c r="F53" s="1022"/>
      <c r="G53" s="1023"/>
      <c r="H53" s="124"/>
    </row>
    <row r="54" spans="3:8" ht="20.100000000000001" hidden="1" customHeight="1">
      <c r="C54" s="1024"/>
      <c r="D54" s="1025"/>
      <c r="E54" s="1025"/>
      <c r="F54" s="1025"/>
      <c r="G54" s="1026"/>
      <c r="H54" s="124"/>
    </row>
    <row r="55" spans="3:8" ht="20.100000000000001" hidden="1" customHeight="1">
      <c r="C55" s="1024"/>
      <c r="D55" s="1025"/>
      <c r="E55" s="1025"/>
      <c r="F55" s="1025"/>
      <c r="G55" s="1026"/>
      <c r="H55" s="124"/>
    </row>
    <row r="56" spans="3:8" ht="20.100000000000001" hidden="1" customHeight="1">
      <c r="C56" s="750"/>
      <c r="D56" s="751"/>
      <c r="E56" s="751"/>
      <c r="F56" s="751"/>
      <c r="G56" s="752"/>
      <c r="H56" s="124"/>
    </row>
    <row r="57" spans="3:8" ht="125.25" customHeight="1">
      <c r="C57" s="1024" t="s">
        <v>813</v>
      </c>
      <c r="D57" s="1025"/>
      <c r="E57" s="1025"/>
      <c r="F57" s="1025"/>
      <c r="G57" s="1026"/>
      <c r="H57" s="124"/>
    </row>
    <row r="58" spans="3:8" ht="20.100000000000001" hidden="1" customHeight="1">
      <c r="C58" s="750"/>
      <c r="D58" s="751"/>
      <c r="E58" s="751"/>
      <c r="F58" s="751"/>
      <c r="G58" s="752"/>
      <c r="H58" s="124"/>
    </row>
    <row r="59" spans="3:8" ht="20.100000000000001" hidden="1" customHeight="1">
      <c r="C59" s="750"/>
      <c r="D59" s="751"/>
      <c r="E59" s="751"/>
      <c r="F59" s="751"/>
      <c r="G59" s="752"/>
      <c r="H59" s="124"/>
    </row>
    <row r="60" spans="3:8" ht="20.100000000000001" hidden="1" customHeight="1">
      <c r="C60" s="750"/>
      <c r="D60" s="751"/>
      <c r="E60" s="751"/>
      <c r="F60" s="751"/>
      <c r="G60" s="752"/>
      <c r="H60" s="124"/>
    </row>
    <row r="61" spans="3:8" ht="20.100000000000001" hidden="1" customHeight="1">
      <c r="C61" s="750"/>
      <c r="D61" s="751"/>
      <c r="E61" s="751"/>
      <c r="F61" s="751"/>
      <c r="G61" s="752"/>
      <c r="H61" s="124"/>
    </row>
    <row r="62" spans="3:8" ht="21.75" customHeight="1" thickBot="1">
      <c r="C62" s="753"/>
      <c r="D62" s="754"/>
      <c r="E62" s="754"/>
      <c r="F62" s="754"/>
      <c r="G62" s="755"/>
      <c r="H62" s="124"/>
    </row>
    <row r="63" spans="3:8" ht="20.100000000000001" customHeight="1" thickBot="1">
      <c r="C63" s="1027"/>
      <c r="D63" s="100"/>
      <c r="E63" s="88"/>
      <c r="F63" s="88"/>
      <c r="G63" s="1028"/>
    </row>
    <row r="64" spans="3:8" ht="20.100000000000001" customHeight="1">
      <c r="C64" s="102"/>
      <c r="D64" s="103" t="str">
        <f>D40</f>
        <v>2022-23</v>
      </c>
      <c r="E64" s="103" t="str">
        <f>E40</f>
        <v>2022-23</v>
      </c>
      <c r="F64" s="104"/>
      <c r="G64" s="105"/>
      <c r="H64" s="124"/>
    </row>
    <row r="65" spans="1:8" ht="20.100000000000001" customHeight="1">
      <c r="C65" s="106"/>
      <c r="D65" s="107" t="s">
        <v>180</v>
      </c>
      <c r="E65" s="108" t="s">
        <v>181</v>
      </c>
      <c r="F65" s="108"/>
      <c r="G65" s="111" t="s">
        <v>163</v>
      </c>
      <c r="H65" s="124"/>
    </row>
    <row r="66" spans="1:8" ht="20.100000000000001" customHeight="1">
      <c r="C66" s="110"/>
      <c r="D66" s="107" t="s">
        <v>164</v>
      </c>
      <c r="E66" s="108" t="s">
        <v>165</v>
      </c>
      <c r="F66" s="108" t="s">
        <v>166</v>
      </c>
      <c r="G66" s="111" t="s">
        <v>167</v>
      </c>
      <c r="H66" s="124"/>
    </row>
    <row r="67" spans="1:8" ht="20.100000000000001" customHeight="1" thickBot="1">
      <c r="C67" s="125" t="s">
        <v>182</v>
      </c>
      <c r="D67" s="126" t="s">
        <v>169</v>
      </c>
      <c r="E67" s="127" t="s">
        <v>170</v>
      </c>
      <c r="F67" s="127" t="s">
        <v>163</v>
      </c>
      <c r="G67" s="128" t="s">
        <v>183</v>
      </c>
      <c r="H67" s="124"/>
    </row>
    <row r="68" spans="1:8" ht="20.100000000000001" customHeight="1">
      <c r="C68" s="112" t="s">
        <v>172</v>
      </c>
      <c r="D68" s="1150">
        <f>VLOOKUP($D$7,VLOOKUP!$A$119:$S$147,3)*30</f>
        <v>0</v>
      </c>
      <c r="E68" s="129">
        <f>+'EXHIBIT C'!D19</f>
        <v>390</v>
      </c>
      <c r="F68" s="1070" t="str">
        <f t="shared" ref="F68:F74" si="2">IF(D68=0,"0",(E68/D68-1))</f>
        <v>0</v>
      </c>
      <c r="G68" s="1071" t="str">
        <f>IF(OR(F68&gt;5%, F68&lt;-5%),"YES","NO")</f>
        <v>NO</v>
      </c>
    </row>
    <row r="69" spans="1:8" ht="20.100000000000001" customHeight="1">
      <c r="C69" s="117" t="s">
        <v>173</v>
      </c>
      <c r="D69" s="1150">
        <f>VLOOKUP($D$7,VLOOKUP!$A$119:$S$147,6)*30</f>
        <v>4011.2028796813975</v>
      </c>
      <c r="E69" s="130">
        <f>+'EXHIBIT C'!D20</f>
        <v>3180</v>
      </c>
      <c r="F69" s="1070">
        <f t="shared" si="2"/>
        <v>-0.20722035374770631</v>
      </c>
      <c r="G69" s="1071" t="str">
        <f t="shared" ref="G69:G74" si="3">IF(OR(F69&gt;5%, F69&lt;-5%),"YES","NO")</f>
        <v>YES</v>
      </c>
      <c r="H69" s="88"/>
    </row>
    <row r="70" spans="1:8" ht="20.100000000000001" customHeight="1">
      <c r="C70" s="637" t="s">
        <v>174</v>
      </c>
      <c r="D70" s="1072">
        <f>VLOOKUP($D$7,VLOOKUP!$A$119:$S$147,9)*30</f>
        <v>2888.2687338501291</v>
      </c>
      <c r="E70" s="1073">
        <f>+'EXHIBIT C'!D21</f>
        <v>1260</v>
      </c>
      <c r="F70" s="1070">
        <f t="shared" si="2"/>
        <v>-0.56375250501002006</v>
      </c>
      <c r="G70" s="1071" t="str">
        <f t="shared" si="3"/>
        <v>YES</v>
      </c>
      <c r="H70" s="88"/>
    </row>
    <row r="71" spans="1:8" ht="20.100000000000001" customHeight="1">
      <c r="C71" s="637" t="s">
        <v>115</v>
      </c>
      <c r="D71" s="1072">
        <f>VLOOKUP($D$7,VLOOKUP!$A$119:$S$147,18)*30</f>
        <v>420.89171974522293</v>
      </c>
      <c r="E71" s="1073">
        <f>+'EXHIBIT C'!D22</f>
        <v>90</v>
      </c>
      <c r="F71" s="1070">
        <f t="shared" si="2"/>
        <v>-0.78616828087167068</v>
      </c>
      <c r="G71" s="1071" t="str">
        <f t="shared" si="3"/>
        <v>YES</v>
      </c>
      <c r="H71" s="88"/>
    </row>
    <row r="72" spans="1:8" ht="20.100000000000001" customHeight="1">
      <c r="C72" s="637" t="s">
        <v>175</v>
      </c>
      <c r="D72" s="1072">
        <f>VLOOKUP($D$7,VLOOKUP!$A$119:$S$147,12)*30</f>
        <v>304.84342379958252</v>
      </c>
      <c r="E72" s="1073">
        <f>+'EXHIBIT C'!D23</f>
        <v>300</v>
      </c>
      <c r="F72" s="1070">
        <f t="shared" si="2"/>
        <v>-1.5888234488426467E-2</v>
      </c>
      <c r="G72" s="1071" t="str">
        <f t="shared" si="3"/>
        <v>NO</v>
      </c>
      <c r="H72" s="88"/>
    </row>
    <row r="73" spans="1:8" ht="20.100000000000001" customHeight="1" thickBot="1">
      <c r="C73" s="639" t="s">
        <v>176</v>
      </c>
      <c r="D73" s="1074">
        <f>VLOOKUP($D$7,VLOOKUP!$A$119:$S$147,15)*30</f>
        <v>2.5674091441969522</v>
      </c>
      <c r="E73" s="1075">
        <f>+'EXHIBIT C'!D24</f>
        <v>0</v>
      </c>
      <c r="F73" s="644">
        <f t="shared" si="2"/>
        <v>-1</v>
      </c>
      <c r="G73" s="645" t="str">
        <f t="shared" si="3"/>
        <v>YES</v>
      </c>
      <c r="H73" s="88"/>
    </row>
    <row r="74" spans="1:8" ht="20.100000000000001" customHeight="1" thickBot="1">
      <c r="C74" s="119" t="s">
        <v>52</v>
      </c>
      <c r="D74" s="131">
        <f>SUM(D68:D73)</f>
        <v>7627.774166220529</v>
      </c>
      <c r="E74" s="132">
        <f>SUM(E68:E73)</f>
        <v>5220</v>
      </c>
      <c r="F74" s="133">
        <f t="shared" si="2"/>
        <v>-0.31565881655009098</v>
      </c>
      <c r="G74" s="134" t="str">
        <f t="shared" si="3"/>
        <v>YES</v>
      </c>
      <c r="H74" s="88"/>
    </row>
    <row r="75" spans="1:8" ht="42" customHeight="1" thickBot="1">
      <c r="C75" s="836" t="s">
        <v>184</v>
      </c>
      <c r="D75" s="837"/>
      <c r="E75" s="837"/>
      <c r="F75" s="837"/>
      <c r="G75" s="838"/>
      <c r="H75" s="88"/>
    </row>
    <row r="76" spans="1:8" ht="24.6" customHeight="1" thickBot="1">
      <c r="A76" s="98"/>
      <c r="B76" s="98"/>
      <c r="C76" s="742" t="s">
        <v>178</v>
      </c>
      <c r="D76" s="743"/>
      <c r="E76" s="743"/>
      <c r="F76" s="743"/>
      <c r="G76" s="744"/>
      <c r="H76" s="88"/>
    </row>
    <row r="77" spans="1:8" ht="136.5" customHeight="1">
      <c r="A77" s="98"/>
      <c r="B77" s="98"/>
      <c r="C77" s="1029" t="s">
        <v>185</v>
      </c>
      <c r="D77" s="1030"/>
      <c r="E77" s="1030"/>
      <c r="F77" s="1030"/>
      <c r="G77" s="1031"/>
      <c r="H77" s="88"/>
    </row>
    <row r="78" spans="1:8" ht="20.100000000000001" customHeight="1">
      <c r="A78" s="98"/>
      <c r="B78" s="98"/>
      <c r="C78" s="756"/>
      <c r="D78" s="757"/>
      <c r="E78" s="757"/>
      <c r="F78" s="757"/>
      <c r="G78" s="758"/>
      <c r="H78" s="88"/>
    </row>
    <row r="79" spans="1:8" ht="20.100000000000001" customHeight="1">
      <c r="A79" s="98"/>
      <c r="B79" s="98"/>
      <c r="C79" s="756"/>
      <c r="D79" s="757"/>
      <c r="E79" s="757"/>
      <c r="F79" s="757"/>
      <c r="G79" s="758"/>
      <c r="H79" s="88"/>
    </row>
    <row r="80" spans="1:8" ht="20.100000000000001" customHeight="1">
      <c r="A80" s="98"/>
      <c r="B80" s="98"/>
      <c r="C80" s="756"/>
      <c r="D80" s="757"/>
      <c r="E80" s="757"/>
      <c r="F80" s="757"/>
      <c r="G80" s="758"/>
      <c r="H80" s="88"/>
    </row>
    <row r="81" spans="1:8" ht="20.100000000000001" customHeight="1">
      <c r="A81" s="98"/>
      <c r="B81" s="98"/>
      <c r="C81" s="756"/>
      <c r="D81" s="757"/>
      <c r="E81" s="757"/>
      <c r="F81" s="757"/>
      <c r="G81" s="758"/>
      <c r="H81" s="88"/>
    </row>
    <row r="82" spans="1:8" ht="20.100000000000001" customHeight="1">
      <c r="A82" s="98"/>
      <c r="B82" s="98"/>
      <c r="C82" s="756"/>
      <c r="D82" s="757"/>
      <c r="E82" s="757"/>
      <c r="F82" s="757"/>
      <c r="G82" s="758"/>
      <c r="H82" s="88"/>
    </row>
    <row r="83" spans="1:8" ht="20.100000000000001" customHeight="1">
      <c r="A83" s="98"/>
      <c r="B83" s="98"/>
      <c r="C83" s="756"/>
      <c r="D83" s="757"/>
      <c r="E83" s="757"/>
      <c r="F83" s="757"/>
      <c r="G83" s="758"/>
      <c r="H83" s="88"/>
    </row>
    <row r="84" spans="1:8" ht="20.100000000000001" customHeight="1">
      <c r="A84" s="98"/>
      <c r="B84" s="98"/>
      <c r="C84" s="756"/>
      <c r="D84" s="757"/>
      <c r="E84" s="757"/>
      <c r="F84" s="757"/>
      <c r="G84" s="758"/>
      <c r="H84" s="88"/>
    </row>
    <row r="85" spans="1:8" ht="20.100000000000001" customHeight="1">
      <c r="A85" s="98"/>
      <c r="B85" s="98"/>
      <c r="C85" s="756"/>
      <c r="D85" s="757"/>
      <c r="E85" s="757"/>
      <c r="F85" s="757"/>
      <c r="G85" s="758"/>
      <c r="H85" s="88"/>
    </row>
    <row r="86" spans="1:8" ht="20.100000000000001" customHeight="1" thickBot="1">
      <c r="A86" s="98"/>
      <c r="B86" s="98"/>
      <c r="C86" s="759"/>
      <c r="D86" s="760"/>
      <c r="E86" s="760"/>
      <c r="F86" s="760"/>
      <c r="G86" s="761"/>
      <c r="H86" s="88"/>
    </row>
    <row r="87" spans="1:8" ht="20.100000000000001" customHeight="1">
      <c r="H87" s="88"/>
    </row>
    <row r="88" spans="1:8" ht="20.100000000000001" customHeight="1">
      <c r="H88" s="88"/>
    </row>
    <row r="89" spans="1:8" ht="20.100000000000001" customHeight="1">
      <c r="A89" s="97" t="s">
        <v>186</v>
      </c>
      <c r="B89" s="97"/>
      <c r="C89" s="29" t="s">
        <v>187</v>
      </c>
      <c r="D89" s="88"/>
      <c r="E89" s="88"/>
      <c r="F89" s="88"/>
      <c r="G89" s="88"/>
      <c r="H89" s="88"/>
    </row>
    <row r="90" spans="1:8" ht="20.100000000000001" customHeight="1">
      <c r="A90" s="98"/>
      <c r="B90" s="98"/>
      <c r="C90" s="88"/>
      <c r="D90" s="88"/>
      <c r="E90" s="88"/>
      <c r="F90" s="88"/>
      <c r="G90" s="88"/>
      <c r="H90" s="88"/>
    </row>
    <row r="91" spans="1:8" ht="20.100000000000001" customHeight="1">
      <c r="A91" s="98"/>
      <c r="B91" s="98"/>
      <c r="C91" s="135" t="s">
        <v>188</v>
      </c>
      <c r="D91" s="88"/>
      <c r="E91" s="88"/>
      <c r="F91" s="88"/>
      <c r="G91" s="88"/>
      <c r="H91" s="88"/>
    </row>
    <row r="92" spans="1:8" ht="20.100000000000001" customHeight="1">
      <c r="A92" s="98"/>
      <c r="B92" s="98"/>
      <c r="C92" s="1151" t="str">
        <f>IF(+'EXHIBIT A'!E19='EXHIBIT C'!B69,"Equal","Not Equal")</f>
        <v>Equal</v>
      </c>
      <c r="D92" s="88" t="s">
        <v>189</v>
      </c>
      <c r="E92" s="88"/>
      <c r="F92" s="88"/>
      <c r="G92" s="88"/>
      <c r="H92" s="88"/>
    </row>
    <row r="93" spans="1:8" ht="20.100000000000001" customHeight="1">
      <c r="A93" s="98"/>
      <c r="B93" s="98"/>
      <c r="C93" s="1076" t="str">
        <f>IF('EXHIBIT C'!B69=SUM('EXHIBIT D'!G132+'EXHIBIT D'!G133+'EXHIBIT D'!G134+'EXHIBIT D'!G135),"Equal","Not Equal")</f>
        <v>Equal</v>
      </c>
      <c r="D93" s="88" t="s">
        <v>190</v>
      </c>
      <c r="E93" s="88"/>
      <c r="F93" s="88"/>
      <c r="G93" s="88"/>
    </row>
    <row r="94" spans="1:8" ht="20.100000000000001" customHeight="1">
      <c r="A94" s="98"/>
      <c r="B94" s="98"/>
      <c r="C94" s="136" t="s">
        <v>191</v>
      </c>
      <c r="D94" s="88"/>
      <c r="E94" s="88"/>
      <c r="F94" s="88"/>
      <c r="G94" s="88"/>
    </row>
    <row r="95" spans="1:8" ht="20.100000000000001" customHeight="1">
      <c r="C95" s="1151" t="str">
        <f>IF((+'EXHIBIT A'!E26)='EXHIBIT C'!B60,"Equal","Not Equal")</f>
        <v>Equal</v>
      </c>
      <c r="D95" s="88" t="s">
        <v>192</v>
      </c>
      <c r="E95" s="88"/>
      <c r="F95" s="88"/>
      <c r="G95" s="88"/>
      <c r="H95" s="88"/>
    </row>
    <row r="96" spans="1:8" ht="20.100000000000001" customHeight="1">
      <c r="A96" s="98"/>
      <c r="B96" s="98"/>
      <c r="C96" s="1076" t="str">
        <f>IF('EXHIBIT C'!B60=SUM('EXHIBIT D'!G231+'EXHIBIT D'!G232+'EXHIBIT D'!G233+'EXHIBIT D'!G234+'EXHIBIT D'!G235),"Equal","Not Equal")</f>
        <v>Equal</v>
      </c>
      <c r="D96" s="88" t="s">
        <v>193</v>
      </c>
      <c r="E96" s="88"/>
      <c r="F96" s="88"/>
      <c r="G96" s="88"/>
      <c r="H96" s="88"/>
    </row>
    <row r="97" spans="1:8" ht="20.100000000000001" customHeight="1">
      <c r="A97" s="97"/>
      <c r="B97" s="97"/>
      <c r="C97" s="137"/>
      <c r="D97" s="88"/>
      <c r="E97" s="88"/>
      <c r="F97" s="88"/>
      <c r="G97" s="88"/>
      <c r="H97" s="88"/>
    </row>
    <row r="98" spans="1:8" ht="20.100000000000001" customHeight="1">
      <c r="A98" s="97"/>
      <c r="B98" s="97"/>
      <c r="C98" s="137"/>
      <c r="D98" s="88"/>
      <c r="E98" s="88"/>
      <c r="F98" s="88"/>
      <c r="G98" s="88"/>
      <c r="H98" s="88"/>
    </row>
    <row r="99" spans="1:8" ht="21.6" customHeight="1">
      <c r="A99" s="138" t="s">
        <v>194</v>
      </c>
      <c r="B99" s="97"/>
      <c r="C99" s="839" t="s">
        <v>195</v>
      </c>
      <c r="D99" s="839"/>
      <c r="E99" s="839"/>
      <c r="F99" s="839"/>
      <c r="G99" s="839"/>
      <c r="H99" s="740"/>
    </row>
    <row r="100" spans="1:8" ht="20.100000000000001" customHeight="1" thickBot="1">
      <c r="A100" s="98"/>
      <c r="B100" s="98"/>
      <c r="C100" s="88"/>
      <c r="D100" s="88"/>
      <c r="E100" s="139"/>
      <c r="F100" s="88"/>
      <c r="G100" s="88"/>
      <c r="H100" s="88"/>
    </row>
    <row r="101" spans="1:8" ht="38.1" customHeight="1">
      <c r="A101" s="98"/>
      <c r="B101" s="98"/>
      <c r="C101" s="140" t="s">
        <v>196</v>
      </c>
      <c r="D101" s="141" t="s">
        <v>197</v>
      </c>
      <c r="E101" s="140" t="s">
        <v>198</v>
      </c>
      <c r="F101" s="140" t="s">
        <v>163</v>
      </c>
      <c r="G101" s="88"/>
      <c r="H101" s="88"/>
    </row>
    <row r="102" spans="1:8" ht="20.100000000000001" customHeight="1">
      <c r="A102" s="98"/>
      <c r="B102" s="98"/>
      <c r="C102" s="1077" t="s">
        <v>199</v>
      </c>
      <c r="D102" s="646">
        <f>VLOOKUP($D$7,VLOOKUP!$A$7:$E$35,2)</f>
        <v>41670946.726499997</v>
      </c>
      <c r="E102" s="1078">
        <f>+'EXHIBIT D'!G75</f>
        <v>41670946.726499997</v>
      </c>
      <c r="F102" s="1078">
        <f>D102-E102</f>
        <v>0</v>
      </c>
      <c r="G102" s="88"/>
      <c r="H102" s="88"/>
    </row>
    <row r="103" spans="1:8" ht="20.100000000000001" customHeight="1">
      <c r="A103" s="98"/>
      <c r="B103" s="98"/>
      <c r="C103" s="1079" t="s">
        <v>200</v>
      </c>
      <c r="D103" s="646">
        <f>E103</f>
        <v>1571841</v>
      </c>
      <c r="E103" s="1078">
        <f>'EXHIBIT D'!G77</f>
        <v>1571841</v>
      </c>
      <c r="F103" s="1078">
        <f>D103-E103</f>
        <v>0</v>
      </c>
      <c r="G103" s="88"/>
      <c r="H103" s="88"/>
    </row>
    <row r="104" spans="1:8" ht="20.100000000000001" customHeight="1">
      <c r="A104" s="98"/>
      <c r="B104" s="98"/>
      <c r="C104" s="1079" t="s">
        <v>201</v>
      </c>
      <c r="D104" s="646">
        <f>VLOOKUP($D$7,VLOOKUP!$A$7:$E$35,3)</f>
        <v>8063557</v>
      </c>
      <c r="E104" s="1078">
        <f>'EXHIBIT D'!G81</f>
        <v>8063557</v>
      </c>
      <c r="F104" s="1078">
        <f>D104-E104</f>
        <v>0</v>
      </c>
      <c r="G104" s="88"/>
      <c r="H104" s="88"/>
    </row>
    <row r="105" spans="1:8" ht="20.100000000000001" customHeight="1" thickBot="1">
      <c r="A105" s="97"/>
      <c r="B105" s="97"/>
      <c r="C105" s="142" t="s">
        <v>202</v>
      </c>
      <c r="D105" s="143">
        <f>E105</f>
        <v>2157885</v>
      </c>
      <c r="E105" s="144">
        <f>'EXHIBIT D'!G76</f>
        <v>2157885</v>
      </c>
      <c r="F105" s="1078">
        <f>D105-E105</f>
        <v>0</v>
      </c>
      <c r="G105" s="88"/>
      <c r="H105" s="88"/>
    </row>
    <row r="106" spans="1:8" ht="20.100000000000001" customHeight="1" thickBot="1">
      <c r="A106" s="97"/>
      <c r="B106" s="97"/>
      <c r="C106" s="145" t="s">
        <v>203</v>
      </c>
      <c r="D106" s="146">
        <f>SUM(D102:D105)</f>
        <v>53464229.726499997</v>
      </c>
      <c r="E106" s="146">
        <f>SUM(E102:E105)</f>
        <v>53464229.726499997</v>
      </c>
      <c r="F106" s="146">
        <f>SUM(F102:F105)</f>
        <v>0</v>
      </c>
      <c r="G106" s="88"/>
      <c r="H106" s="88"/>
    </row>
    <row r="107" spans="1:8">
      <c r="A107" s="97"/>
      <c r="B107" s="97"/>
      <c r="C107" s="147"/>
      <c r="D107" s="147"/>
      <c r="E107" s="147"/>
      <c r="F107" s="88"/>
      <c r="G107" s="88"/>
      <c r="H107" s="88"/>
    </row>
    <row r="108" spans="1:8" ht="20.100000000000001" customHeight="1">
      <c r="A108" s="97"/>
      <c r="B108" s="97"/>
      <c r="C108" s="147"/>
      <c r="D108" s="147"/>
      <c r="E108" s="147"/>
      <c r="F108" s="88"/>
      <c r="G108" s="88"/>
      <c r="H108" s="88"/>
    </row>
    <row r="109" spans="1:8" ht="20.100000000000001" customHeight="1">
      <c r="A109" s="97" t="s">
        <v>204</v>
      </c>
      <c r="B109" s="97"/>
      <c r="C109" s="97" t="s">
        <v>205</v>
      </c>
      <c r="D109" s="88"/>
      <c r="E109" s="88"/>
      <c r="F109" s="88"/>
      <c r="G109" s="88"/>
      <c r="H109" s="88"/>
    </row>
    <row r="110" spans="1:8" ht="20.100000000000001" customHeight="1">
      <c r="A110" s="98"/>
      <c r="B110" s="98"/>
      <c r="C110" s="97"/>
      <c r="D110" s="88"/>
      <c r="E110" s="88"/>
      <c r="F110" s="88"/>
      <c r="G110" s="88"/>
      <c r="H110" s="88"/>
    </row>
    <row r="111" spans="1:8" ht="20.100000000000001" customHeight="1">
      <c r="A111" s="98"/>
      <c r="B111" s="98"/>
      <c r="C111" s="1152" t="str">
        <f>IF(+'EXHIBIT E'!B21=+'EXHIBIT D'!G196,"Equal","Not Equal")</f>
        <v>Equal</v>
      </c>
      <c r="D111" s="88" t="s">
        <v>206</v>
      </c>
      <c r="E111" s="88"/>
      <c r="F111" s="88"/>
      <c r="G111" s="93"/>
      <c r="H111" s="88"/>
    </row>
    <row r="112" spans="1:8" ht="20.100000000000001" customHeight="1">
      <c r="A112" s="98"/>
      <c r="B112" s="98"/>
      <c r="C112" s="1152" t="str">
        <f>IF(+'EXHIBIT E'!C21=+'EXHIBIT D'!G240,"Equal","Not Equal")</f>
        <v>Equal</v>
      </c>
      <c r="D112" s="88" t="s">
        <v>207</v>
      </c>
      <c r="E112" s="148"/>
      <c r="F112" s="88"/>
      <c r="G112" s="93"/>
      <c r="H112" s="88"/>
    </row>
    <row r="113" spans="1:8" ht="20.100000000000001" customHeight="1">
      <c r="C113" s="1152" t="str">
        <f>IF(+'EXHIBIT E'!D21=+'EXHIBIT D'!G258,"Equal","Not Equal")</f>
        <v>Equal</v>
      </c>
      <c r="D113" s="88" t="s">
        <v>208</v>
      </c>
      <c r="E113" s="148"/>
      <c r="F113" s="88"/>
      <c r="G113" s="88"/>
      <c r="H113" s="88"/>
    </row>
    <row r="114" spans="1:8" ht="20.100000000000001" customHeight="1">
      <c r="A114" s="97"/>
      <c r="B114" s="97"/>
      <c r="C114" s="1153" t="str">
        <f>IF(+'EXHIBIT E'!E21=+'EXHIBIT D'!G260,"Equal","Not Equal")</f>
        <v>Equal</v>
      </c>
      <c r="D114" s="149" t="s">
        <v>52</v>
      </c>
      <c r="E114" s="148"/>
      <c r="F114" s="88"/>
      <c r="G114" s="93"/>
      <c r="H114" s="88"/>
    </row>
    <row r="115" spans="1:8" ht="20.100000000000001" customHeight="1">
      <c r="A115" s="98"/>
      <c r="B115" s="98"/>
      <c r="E115" s="88"/>
      <c r="F115" s="88"/>
      <c r="G115" s="124"/>
      <c r="H115" s="88"/>
    </row>
    <row r="116" spans="1:8" ht="20.100000000000001" customHeight="1">
      <c r="A116" s="98"/>
      <c r="B116" s="98"/>
      <c r="E116" s="88"/>
      <c r="F116" s="88"/>
      <c r="G116" s="88"/>
      <c r="H116" s="88"/>
    </row>
    <row r="117" spans="1:8" ht="42" customHeight="1">
      <c r="A117" s="150" t="s">
        <v>209</v>
      </c>
      <c r="B117" s="151"/>
      <c r="C117" s="840" t="s">
        <v>210</v>
      </c>
      <c r="D117" s="840"/>
      <c r="E117" s="840"/>
      <c r="F117" s="840"/>
      <c r="G117" s="749"/>
      <c r="H117" s="749"/>
    </row>
    <row r="118" spans="1:8" ht="20.100000000000001" customHeight="1">
      <c r="A118" s="150"/>
      <c r="B118" s="151"/>
      <c r="C118" s="749"/>
      <c r="D118" s="749"/>
      <c r="E118" s="749"/>
      <c r="F118" s="749"/>
      <c r="G118" s="88"/>
      <c r="H118" s="88"/>
    </row>
    <row r="119" spans="1:8" ht="20.100000000000001" customHeight="1">
      <c r="C119" s="1154">
        <f>+'EXHIBIT A'!E40</f>
        <v>9420813.7265000045</v>
      </c>
      <c r="D119" s="736" t="s">
        <v>211</v>
      </c>
      <c r="E119" s="736"/>
      <c r="F119" s="736"/>
      <c r="G119" s="88"/>
      <c r="H119" s="88"/>
    </row>
    <row r="120" spans="1:8" ht="20.100000000000001" customHeight="1">
      <c r="A120" s="95"/>
      <c r="B120" s="95"/>
      <c r="C120" s="1154">
        <f>'EXHIBIT D'!G278-'EXHIBIT D'!G264-'EXHIBIT D'!G276</f>
        <v>9420813.7265000045</v>
      </c>
      <c r="D120" s="738" t="s">
        <v>212</v>
      </c>
      <c r="E120" s="738"/>
      <c r="F120" s="738"/>
      <c r="G120" s="88"/>
      <c r="H120" s="88"/>
    </row>
    <row r="121" spans="1:8" ht="66.599999999999994" customHeight="1">
      <c r="A121" s="152"/>
      <c r="B121" s="152"/>
      <c r="C121" s="1155">
        <f>C119-C120</f>
        <v>0</v>
      </c>
      <c r="D121" s="841" t="s">
        <v>213</v>
      </c>
      <c r="E121" s="841"/>
      <c r="F121" s="841"/>
      <c r="G121" s="841"/>
      <c r="H121" s="88"/>
    </row>
    <row r="122" spans="1:8" ht="20.100000000000001" customHeight="1">
      <c r="C122" s="153"/>
      <c r="E122" s="88"/>
      <c r="F122" s="88"/>
      <c r="G122" s="88"/>
      <c r="H122" s="88"/>
    </row>
    <row r="123" spans="1:8" ht="20.100000000000001" customHeight="1">
      <c r="C123" s="153"/>
      <c r="D123" s="88"/>
      <c r="E123" s="88"/>
      <c r="F123" s="88"/>
      <c r="G123" s="88"/>
      <c r="H123" s="88"/>
    </row>
    <row r="124" spans="1:8" ht="63" customHeight="1">
      <c r="A124" s="154" t="s">
        <v>214</v>
      </c>
      <c r="B124" s="95"/>
      <c r="C124" s="834" t="s">
        <v>215</v>
      </c>
      <c r="D124" s="834"/>
      <c r="E124" s="834"/>
      <c r="F124" s="834"/>
      <c r="G124" s="834"/>
      <c r="H124" s="737"/>
    </row>
    <row r="125" spans="1:8" ht="20.100000000000001" customHeight="1">
      <c r="A125" s="152"/>
      <c r="B125" s="152"/>
    </row>
    <row r="126" spans="1:8" ht="24.75" customHeight="1">
      <c r="A126" s="152"/>
      <c r="B126" s="152"/>
      <c r="C126" s="155">
        <f>'EXHIBIT A'!E14</f>
        <v>53044286</v>
      </c>
      <c r="D126" s="17" t="s">
        <v>216</v>
      </c>
    </row>
    <row r="127" spans="1:8" ht="26.25" customHeight="1">
      <c r="A127" s="152"/>
      <c r="B127" s="152"/>
      <c r="C127" s="647">
        <f>'EXHIBIT A'!E36</f>
        <v>53044286</v>
      </c>
      <c r="D127" s="17" t="s">
        <v>217</v>
      </c>
    </row>
    <row r="128" spans="1:8" ht="26.1" customHeight="1">
      <c r="A128" s="152"/>
      <c r="B128" s="152"/>
      <c r="C128" s="1080">
        <f>C126-C127</f>
        <v>0</v>
      </c>
      <c r="D128" s="89" t="s">
        <v>218</v>
      </c>
      <c r="E128" s="89"/>
      <c r="F128" s="89"/>
      <c r="G128" s="89"/>
    </row>
    <row r="129" spans="1:8" ht="20.100000000000001" customHeight="1">
      <c r="A129" s="152"/>
      <c r="B129" s="152"/>
      <c r="C129" s="155"/>
    </row>
    <row r="130" spans="1:8" ht="26.1" customHeight="1">
      <c r="A130" s="152"/>
      <c r="B130" s="152"/>
      <c r="C130" s="1155">
        <f>'EXHIBIT D'!G188</f>
        <v>0</v>
      </c>
      <c r="D130" s="149" t="s">
        <v>219</v>
      </c>
      <c r="E130" s="92"/>
      <c r="F130" s="92"/>
    </row>
    <row r="131" spans="1:8" ht="20.100000000000001" customHeight="1"/>
    <row r="132" spans="1:8" ht="38.450000000000003" customHeight="1">
      <c r="C132" s="156">
        <f>C128+C130</f>
        <v>0</v>
      </c>
      <c r="D132" s="841" t="s">
        <v>220</v>
      </c>
      <c r="E132" s="841"/>
      <c r="F132" s="841"/>
      <c r="G132" s="841"/>
    </row>
    <row r="133" spans="1:8" ht="20.100000000000001" customHeight="1">
      <c r="C133" s="155"/>
      <c r="D133" s="16"/>
    </row>
    <row r="134" spans="1:8" ht="20.100000000000001" customHeight="1">
      <c r="A134" s="28"/>
      <c r="B134" s="28"/>
      <c r="C134" s="28"/>
    </row>
    <row r="135" spans="1:8" ht="39" customHeight="1">
      <c r="A135" s="157" t="s">
        <v>221</v>
      </c>
      <c r="B135" s="28"/>
      <c r="C135" s="834" t="s">
        <v>222</v>
      </c>
      <c r="D135" s="834"/>
      <c r="E135" s="834"/>
      <c r="F135" s="834"/>
      <c r="G135" s="834"/>
      <c r="H135" s="737"/>
    </row>
    <row r="136" spans="1:8" ht="20.100000000000001" customHeight="1"/>
    <row r="137" spans="1:8" ht="20.100000000000001" customHeight="1">
      <c r="C137" s="158">
        <f>IF('EXHIBIT G'!D128=0,"No Credit Hours or Not Applicable",('EXHIBIT G'!D128/'EXHIBIT C'!F10))</f>
        <v>91.789996349032492</v>
      </c>
      <c r="D137" s="17" t="s">
        <v>121</v>
      </c>
    </row>
    <row r="138" spans="1:8" ht="20.100000000000001" customHeight="1">
      <c r="C138" s="159"/>
    </row>
    <row r="139" spans="1:8" ht="20.100000000000001" customHeight="1">
      <c r="C139" s="160">
        <f>IF('EXHIBIT G'!D129=0,"No Credit Hours or Not Applicable",('EXHIBIT G'!D129/'EXHIBIT C'!D19))</f>
        <v>262.25897435897434</v>
      </c>
      <c r="D139" s="17" t="s">
        <v>223</v>
      </c>
      <c r="F139" s="28"/>
      <c r="G139" s="28"/>
      <c r="H139" s="28"/>
    </row>
    <row r="140" spans="1:8" ht="20.100000000000001" customHeight="1">
      <c r="C140" s="161"/>
      <c r="F140" s="28"/>
      <c r="G140" s="28"/>
      <c r="H140" s="28"/>
    </row>
    <row r="141" spans="1:8" ht="20.100000000000001" customHeight="1">
      <c r="C141" s="769"/>
      <c r="D141" s="770"/>
      <c r="E141" s="770"/>
    </row>
    <row r="142" spans="1:8" ht="20.100000000000001" customHeight="1">
      <c r="A142" s="28" t="s">
        <v>224</v>
      </c>
      <c r="B142" s="28"/>
      <c r="C142" s="28" t="s">
        <v>225</v>
      </c>
    </row>
    <row r="143" spans="1:8" ht="20.100000000000001" customHeight="1"/>
    <row r="144" spans="1:8" ht="42.6" customHeight="1">
      <c r="C144" s="162" t="str">
        <f>IF(+'EXHIBIT G'!D128='EXHIBIT C'!H10,"Equal","Not Equal")</f>
        <v>Equal</v>
      </c>
      <c r="D144" s="842" t="s">
        <v>226</v>
      </c>
      <c r="E144" s="842"/>
      <c r="F144" s="842"/>
      <c r="G144" s="842"/>
    </row>
    <row r="145" spans="1:8" ht="20.100000000000001" customHeight="1">
      <c r="C145" s="159"/>
      <c r="D145" s="90"/>
      <c r="E145" s="90"/>
      <c r="F145" s="90"/>
      <c r="G145" s="90"/>
    </row>
    <row r="146" spans="1:8" ht="20.100000000000001" customHeight="1"/>
    <row r="147" spans="1:8" ht="58.35" customHeight="1">
      <c r="C147" s="162" t="str">
        <f>IF(+'EXHIBIT G'!D129='EXHIBIT C'!F19,"Equal","Not Equal")</f>
        <v>Equal</v>
      </c>
      <c r="D147" s="842" t="s">
        <v>227</v>
      </c>
      <c r="E147" s="842"/>
      <c r="F147" s="842"/>
      <c r="G147" s="842"/>
    </row>
    <row r="148" spans="1:8" ht="20.100000000000001" customHeight="1">
      <c r="C148" s="159"/>
      <c r="D148" s="90"/>
      <c r="E148" s="90"/>
      <c r="F148" s="90"/>
      <c r="G148" s="90"/>
    </row>
    <row r="149" spans="1:8" ht="20.100000000000001" customHeight="1">
      <c r="C149" s="159"/>
      <c r="D149" s="768"/>
      <c r="E149" s="768"/>
      <c r="F149" s="768"/>
      <c r="G149" s="768"/>
    </row>
    <row r="150" spans="1:8" ht="20.100000000000001" customHeight="1">
      <c r="C150" s="16"/>
      <c r="D150" s="768"/>
      <c r="E150" s="768"/>
      <c r="F150" s="768"/>
      <c r="G150" s="768"/>
    </row>
    <row r="151" spans="1:8" ht="62.1" customHeight="1">
      <c r="A151" s="157" t="s">
        <v>228</v>
      </c>
      <c r="B151" s="28"/>
      <c r="C151" s="834" t="s">
        <v>229</v>
      </c>
      <c r="D151" s="834"/>
      <c r="E151" s="834"/>
      <c r="F151" s="834"/>
      <c r="G151" s="834"/>
      <c r="H151" s="737"/>
    </row>
    <row r="152" spans="1:8" ht="20.100000000000001" customHeight="1"/>
    <row r="153" spans="1:8" ht="20.100000000000001" customHeight="1">
      <c r="C153" s="162" t="str">
        <f>IF(+'EXHIBIT G'!F123='EXHIBIT G'!F139,"Equal","Not Equal")</f>
        <v>Not Equal</v>
      </c>
      <c r="D153" s="736" t="s">
        <v>230</v>
      </c>
      <c r="E153" s="736"/>
      <c r="F153" s="736"/>
    </row>
    <row r="154" spans="1:8" ht="20.100000000000001" customHeight="1" thickBot="1">
      <c r="C154" s="16"/>
    </row>
    <row r="155" spans="1:8" ht="24.6" customHeight="1" thickBot="1">
      <c r="C155" s="745" t="s">
        <v>231</v>
      </c>
      <c r="D155" s="746"/>
      <c r="E155" s="746"/>
      <c r="F155" s="746"/>
      <c r="G155" s="747"/>
      <c r="H155" s="28"/>
    </row>
    <row r="156" spans="1:8" ht="141.75" customHeight="1">
      <c r="C156" s="1032" t="s">
        <v>814</v>
      </c>
      <c r="D156" s="1033"/>
      <c r="E156" s="1033"/>
      <c r="F156" s="1033"/>
      <c r="G156" s="1034"/>
      <c r="H156" s="163"/>
    </row>
    <row r="157" spans="1:8" ht="20.100000000000001" customHeight="1">
      <c r="C157" s="762"/>
      <c r="D157" s="763"/>
      <c r="E157" s="763"/>
      <c r="F157" s="763"/>
      <c r="G157" s="764"/>
      <c r="H157" s="163"/>
    </row>
    <row r="158" spans="1:8" ht="20.100000000000001" customHeight="1">
      <c r="C158" s="762"/>
      <c r="D158" s="763"/>
      <c r="E158" s="763"/>
      <c r="F158" s="763"/>
      <c r="G158" s="764"/>
      <c r="H158" s="163"/>
    </row>
    <row r="159" spans="1:8" ht="20.100000000000001" customHeight="1">
      <c r="C159" s="762"/>
      <c r="D159" s="763"/>
      <c r="E159" s="763"/>
      <c r="F159" s="763"/>
      <c r="G159" s="764"/>
      <c r="H159" s="163"/>
    </row>
    <row r="160" spans="1:8" ht="20.100000000000001" customHeight="1">
      <c r="C160" s="762"/>
      <c r="D160" s="763"/>
      <c r="E160" s="763"/>
      <c r="F160" s="763"/>
      <c r="G160" s="764"/>
      <c r="H160" s="163"/>
    </row>
    <row r="161" spans="3:8" ht="20.100000000000001" customHeight="1">
      <c r="C161" s="762"/>
      <c r="D161" s="763"/>
      <c r="E161" s="763"/>
      <c r="F161" s="763"/>
      <c r="G161" s="764"/>
      <c r="H161" s="163"/>
    </row>
    <row r="162" spans="3:8" ht="20.100000000000001" customHeight="1">
      <c r="C162" s="762"/>
      <c r="D162" s="763"/>
      <c r="E162" s="763"/>
      <c r="F162" s="763"/>
      <c r="G162" s="764"/>
      <c r="H162" s="163"/>
    </row>
    <row r="163" spans="3:8" ht="20.100000000000001" customHeight="1">
      <c r="C163" s="762"/>
      <c r="D163" s="763"/>
      <c r="E163" s="763"/>
      <c r="F163" s="763"/>
      <c r="G163" s="764"/>
      <c r="H163" s="163"/>
    </row>
    <row r="164" spans="3:8" ht="20.100000000000001" customHeight="1">
      <c r="C164" s="762"/>
      <c r="D164" s="763"/>
      <c r="E164" s="763"/>
      <c r="F164" s="763"/>
      <c r="G164" s="764"/>
      <c r="H164" s="163"/>
    </row>
    <row r="165" spans="3:8" ht="20.100000000000001" customHeight="1" thickBot="1">
      <c r="C165" s="765"/>
      <c r="D165" s="766"/>
      <c r="E165" s="766"/>
      <c r="F165" s="766"/>
      <c r="G165" s="767"/>
      <c r="H165" s="163"/>
    </row>
    <row r="166" spans="3:8" ht="20.100000000000001" customHeight="1"/>
    <row r="167" spans="3:8" ht="20.100000000000001" customHeight="1"/>
    <row r="168" spans="3:8" ht="20.100000000000001" customHeight="1"/>
    <row r="169" spans="3:8" ht="20.100000000000001" customHeight="1"/>
    <row r="170" spans="3:8" ht="20.100000000000001" customHeight="1"/>
    <row r="171" spans="3:8" ht="20.100000000000001" customHeight="1"/>
    <row r="172" spans="3:8" ht="20.100000000000001" customHeight="1"/>
    <row r="173" spans="3:8" ht="20.100000000000001" customHeight="1"/>
    <row r="174" spans="3:8" ht="20.100000000000001" customHeight="1"/>
    <row r="175" spans="3:8" ht="20.100000000000001" customHeight="1"/>
    <row r="176" spans="3:8"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row r="391" ht="20.100000000000001" customHeight="1"/>
    <row r="392" ht="20.100000000000001" customHeight="1"/>
    <row r="393" ht="20.100000000000001" customHeight="1"/>
    <row r="394" ht="20.100000000000001" customHeight="1"/>
    <row r="395" ht="20.100000000000001" customHeight="1"/>
    <row r="396" ht="20.100000000000001" customHeight="1"/>
    <row r="397" ht="20.100000000000001" customHeight="1"/>
    <row r="398" ht="20.100000000000001" customHeight="1"/>
    <row r="399" ht="20.100000000000001" customHeight="1"/>
    <row r="400" ht="20.100000000000001" customHeight="1"/>
    <row r="401" ht="20.100000000000001" customHeight="1"/>
    <row r="402" ht="20.100000000000001" customHeight="1"/>
    <row r="403" ht="20.100000000000001" customHeight="1"/>
    <row r="404" ht="20.100000000000001" customHeight="1"/>
    <row r="405" ht="20.100000000000001" customHeight="1"/>
    <row r="406" ht="20.100000000000001" customHeight="1"/>
    <row r="407" ht="20.100000000000001" customHeight="1"/>
    <row r="408" ht="20.100000000000001" customHeight="1"/>
    <row r="409" ht="20.100000000000001" customHeight="1"/>
    <row r="410" ht="20.100000000000001" customHeight="1"/>
    <row r="411" ht="20.100000000000001" customHeight="1"/>
    <row r="412" ht="20.100000000000001" customHeight="1"/>
    <row r="413" ht="20.100000000000001" customHeight="1"/>
    <row r="414" ht="20.100000000000001" customHeight="1"/>
    <row r="415" ht="20.100000000000001" customHeight="1"/>
    <row r="416" ht="20.100000000000001" customHeight="1"/>
    <row r="417" ht="20.100000000000001" customHeight="1"/>
  </sheetData>
  <sheetProtection algorithmName="SHA-512" hashValue="yOGx4t3hLkpb+pTpZJKXZc+u9LYBHRM13nK9UhaMuFxdbFLDd39WHOIIjE+e8ey/ls9Wvy+3nZeLUYhojLi4iQ==" saltValue="kD7w/TPd5qANUYv1aiLCOw=="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 right="0" top="0" bottom="0" header="0" footer="0"/>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topLeftCell="A25" zoomScale="70" zoomScaleNormal="70" zoomScaleSheetLayoutView="90" zoomScalePageLayoutView="70" workbookViewId="0">
      <selection activeCell="E15" sqref="E15"/>
    </sheetView>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843" t="s">
        <v>233</v>
      </c>
      <c r="C1" s="843"/>
      <c r="D1" s="843"/>
      <c r="E1" s="843"/>
      <c r="F1" s="291"/>
      <c r="G1" s="291"/>
    </row>
    <row r="2" spans="2:7" ht="26.25">
      <c r="B2" s="843" t="s">
        <v>10</v>
      </c>
      <c r="C2" s="843"/>
      <c r="D2" s="843"/>
      <c r="E2" s="843"/>
      <c r="F2" s="505"/>
      <c r="G2" s="505"/>
    </row>
    <row r="3" spans="2:7" ht="26.25">
      <c r="B3" s="843" t="s">
        <v>234</v>
      </c>
      <c r="C3" s="843"/>
      <c r="D3" s="843"/>
      <c r="E3" s="843"/>
      <c r="F3" s="505"/>
      <c r="G3" s="505"/>
    </row>
    <row r="4" spans="2:7" ht="26.25">
      <c r="B4" s="843" t="s">
        <v>235</v>
      </c>
      <c r="C4" s="843"/>
      <c r="D4" s="843"/>
      <c r="E4" s="843"/>
      <c r="F4" s="505"/>
      <c r="G4" s="505"/>
    </row>
    <row r="5" spans="2:7" ht="26.25">
      <c r="B5" s="843" t="s">
        <v>236</v>
      </c>
      <c r="C5" s="843"/>
      <c r="D5" s="843"/>
      <c r="E5" s="843"/>
      <c r="F5" s="505"/>
      <c r="G5" s="505"/>
    </row>
    <row r="6" spans="2:7" ht="25.35" customHeight="1">
      <c r="B6" s="505"/>
      <c r="C6" s="505"/>
      <c r="D6" s="505"/>
      <c r="E6" s="505"/>
      <c r="F6" s="505"/>
      <c r="G6" s="505"/>
    </row>
    <row r="7" spans="2:7" ht="25.35" customHeight="1">
      <c r="B7" s="291"/>
      <c r="C7" s="505"/>
      <c r="D7" s="291"/>
      <c r="E7" s="291"/>
      <c r="F7" s="291"/>
      <c r="G7" s="291"/>
    </row>
    <row r="8" spans="2:7" ht="25.35" customHeight="1">
      <c r="B8" s="343" t="s">
        <v>237</v>
      </c>
      <c r="C8" s="771" t="str">
        <f>'CHECK SHEET'!D7</f>
        <v>Seminole State College of Florida</v>
      </c>
      <c r="D8" s="771"/>
      <c r="E8" s="771"/>
      <c r="F8" s="290"/>
      <c r="G8" s="290"/>
    </row>
    <row r="9" spans="2:7" ht="25.35" customHeight="1"/>
    <row r="10" spans="2:7" ht="41.45" customHeight="1">
      <c r="E10" s="592" t="s">
        <v>238</v>
      </c>
    </row>
    <row r="11" spans="2:7" ht="25.35" customHeight="1">
      <c r="B11" s="28" t="s">
        <v>239</v>
      </c>
      <c r="D11" s="28"/>
      <c r="E11" s="164"/>
    </row>
    <row r="12" spans="2:7" ht="25.35" customHeight="1">
      <c r="B12" s="28"/>
      <c r="C12" s="28"/>
      <c r="D12" s="28"/>
    </row>
    <row r="13" spans="2:7" ht="25.35" customHeight="1">
      <c r="B13" s="17" t="s">
        <v>240</v>
      </c>
      <c r="C13" s="28"/>
      <c r="D13" s="28"/>
      <c r="E13" s="466">
        <f>4597186+4823534-E14</f>
        <v>-43623566</v>
      </c>
    </row>
    <row r="14" spans="2:7" ht="25.35" customHeight="1">
      <c r="B14" s="17" t="s">
        <v>241</v>
      </c>
      <c r="D14" s="28"/>
      <c r="E14" s="593">
        <f>48555622+4488664</f>
        <v>53044286</v>
      </c>
    </row>
    <row r="15" spans="2:7" ht="25.35" customHeight="1">
      <c r="B15" s="28"/>
      <c r="D15" s="28"/>
      <c r="E15" s="165"/>
    </row>
    <row r="16" spans="2:7" ht="25.35" customHeight="1">
      <c r="B16" s="17" t="s">
        <v>242</v>
      </c>
      <c r="C16" s="28"/>
      <c r="D16" s="28"/>
      <c r="E16" s="594">
        <f>+E14+E13</f>
        <v>9420720</v>
      </c>
    </row>
    <row r="17" spans="2:7" ht="25.35" customHeight="1">
      <c r="B17" s="28"/>
      <c r="C17" s="28"/>
      <c r="D17" s="28"/>
      <c r="E17" s="166"/>
    </row>
    <row r="18" spans="2:7" ht="25.35" customHeight="1">
      <c r="B18" s="17" t="s">
        <v>243</v>
      </c>
      <c r="C18" s="28"/>
      <c r="D18" s="28"/>
      <c r="E18" s="176">
        <f>+'EXHIBIT D'!G144-SUM(+'EXHIBIT D'!G132+'EXHIBIT D'!G133+'EXHIBIT D'!G134+'EXHIBIT D'!G135)</f>
        <v>89839279.726500005</v>
      </c>
      <c r="G18" s="137"/>
    </row>
    <row r="19" spans="2:7" ht="25.35" customHeight="1">
      <c r="B19" s="17" t="s">
        <v>244</v>
      </c>
      <c r="D19" s="28"/>
      <c r="E19" s="594">
        <f>+'EXHIBIT D'!G132+'EXHIBIT D'!G133+'EXHIBIT D'!G134+'EXHIBIT D'!G135</f>
        <v>270922</v>
      </c>
    </row>
    <row r="20" spans="2:7" ht="25.35" customHeight="1">
      <c r="B20" s="28"/>
      <c r="D20" s="28"/>
      <c r="E20" s="171"/>
    </row>
    <row r="21" spans="2:7" ht="25.35" customHeight="1">
      <c r="B21" s="17" t="s">
        <v>245</v>
      </c>
      <c r="C21" s="28"/>
      <c r="D21" s="28"/>
      <c r="E21" s="595">
        <f>+E19+E18</f>
        <v>90110201.726500005</v>
      </c>
    </row>
    <row r="22" spans="2:7" ht="25.35" customHeight="1">
      <c r="B22" s="28"/>
      <c r="C22" s="28"/>
      <c r="D22" s="28"/>
      <c r="E22" s="171"/>
    </row>
    <row r="23" spans="2:7" ht="25.35" customHeight="1">
      <c r="B23" s="28" t="s">
        <v>246</v>
      </c>
      <c r="C23" s="28"/>
      <c r="D23" s="28"/>
      <c r="E23" s="595">
        <f>+E21+E16</f>
        <v>99530921.726500005</v>
      </c>
    </row>
    <row r="24" spans="2:7" ht="25.35" customHeight="1">
      <c r="B24" s="28"/>
      <c r="C24" s="28"/>
      <c r="D24" s="28"/>
      <c r="E24" s="171"/>
    </row>
    <row r="25" spans="2:7" ht="25.35" customHeight="1">
      <c r="B25" s="17" t="s">
        <v>247</v>
      </c>
      <c r="C25" s="28"/>
      <c r="D25" s="28"/>
      <c r="E25" s="177">
        <f>'EXHIBIT D'!G260-SUM(+'EXHIBIT D'!G231+'EXHIBIT D'!G232+'EXHIBIT D'!G233+'EXHIBIT D'!G234+'EXHIBIT D'!G235)</f>
        <v>90110108</v>
      </c>
    </row>
    <row r="26" spans="2:7" ht="25.35" customHeight="1">
      <c r="B26" s="17" t="s">
        <v>248</v>
      </c>
      <c r="D26" s="28"/>
      <c r="E26" s="594">
        <f>'EXHIBIT D'!G231+'EXHIBIT D'!G232+'EXHIBIT D'!G233+'EXHIBIT D'!G234+'EXHIBIT D'!G235</f>
        <v>0</v>
      </c>
    </row>
    <row r="27" spans="2:7" ht="25.35" customHeight="1">
      <c r="B27" s="28"/>
      <c r="D27" s="28"/>
      <c r="E27" s="171"/>
    </row>
    <row r="28" spans="2:7" ht="25.35" customHeight="1">
      <c r="B28" s="28" t="s">
        <v>249</v>
      </c>
      <c r="C28" s="28"/>
      <c r="D28" s="28"/>
      <c r="E28" s="596">
        <f>+E26+E25</f>
        <v>90110108</v>
      </c>
    </row>
    <row r="29" spans="2:7" ht="25.35" customHeight="1">
      <c r="B29" s="28"/>
      <c r="C29" s="28"/>
      <c r="D29" s="28"/>
      <c r="E29" s="167"/>
    </row>
    <row r="30" spans="2:7" ht="25.35" customHeight="1">
      <c r="B30" s="28" t="s">
        <v>250</v>
      </c>
      <c r="C30" s="28"/>
      <c r="D30" s="28"/>
      <c r="E30" s="167"/>
    </row>
    <row r="31" spans="2:7" ht="25.35" customHeight="1">
      <c r="B31" s="28"/>
      <c r="C31" s="28"/>
      <c r="D31" s="28"/>
      <c r="E31" s="167"/>
    </row>
    <row r="32" spans="2:7" ht="25.35" customHeight="1">
      <c r="B32" s="17" t="s">
        <v>251</v>
      </c>
      <c r="C32" s="28"/>
      <c r="D32" s="168">
        <f>+E23-E28</f>
        <v>9420813.7265000045</v>
      </c>
      <c r="E32" s="167"/>
    </row>
    <row r="33" spans="2:10" ht="25.35" customHeight="1">
      <c r="B33" s="17" t="s">
        <v>252</v>
      </c>
      <c r="C33" s="28"/>
      <c r="D33" s="597">
        <f>+'EXHIBIT D'!G188</f>
        <v>0</v>
      </c>
      <c r="E33" s="167"/>
    </row>
    <row r="34" spans="2:10" ht="25.35" customHeight="1">
      <c r="B34" s="28"/>
      <c r="D34" s="28"/>
      <c r="E34" s="167"/>
      <c r="J34" s="169"/>
    </row>
    <row r="35" spans="2:10" ht="25.35" customHeight="1">
      <c r="B35" s="17" t="s">
        <v>253</v>
      </c>
      <c r="C35" s="28"/>
      <c r="D35" s="28"/>
      <c r="E35" s="170">
        <f>+D32+D33</f>
        <v>9420813.7265000045</v>
      </c>
    </row>
    <row r="36" spans="2:10" ht="25.35" customHeight="1">
      <c r="B36" s="17" t="s">
        <v>254</v>
      </c>
      <c r="C36" s="28"/>
      <c r="D36" s="28"/>
      <c r="E36" s="595">
        <f>-'EXHIBIT D'!G276</f>
        <v>53044286</v>
      </c>
      <c r="J36" s="48"/>
    </row>
    <row r="37" spans="2:10" ht="25.35" customHeight="1">
      <c r="D37" s="28"/>
      <c r="E37" s="170"/>
    </row>
    <row r="38" spans="2:10" ht="25.35" customHeight="1">
      <c r="B38" s="28" t="s">
        <v>255</v>
      </c>
      <c r="D38" s="28"/>
      <c r="E38" s="594">
        <f>+E35-E36</f>
        <v>-43623472.273499995</v>
      </c>
    </row>
    <row r="39" spans="2:10" ht="25.35" customHeight="1">
      <c r="B39" s="28"/>
      <c r="C39" s="28"/>
      <c r="D39" s="28"/>
      <c r="E39" s="171"/>
    </row>
    <row r="40" spans="2:10" ht="25.35" customHeight="1">
      <c r="B40" s="17" t="s">
        <v>256</v>
      </c>
      <c r="C40" s="28"/>
      <c r="D40" s="28"/>
      <c r="E40" s="596">
        <f>'EXHIBIT D'!G265+'EXHIBIT D'!G266+'EXHIBIT D'!G267+'EXHIBIT D'!G268+'EXHIBIT D'!G269+'EXHIBIT D'!G270+'EXHIBIT D'!G271+'EXHIBIT D'!G272</f>
        <v>9420813.7265000045</v>
      </c>
    </row>
    <row r="41" spans="2:10" ht="25.35" customHeight="1">
      <c r="B41" s="17" t="s">
        <v>257</v>
      </c>
      <c r="D41" s="28"/>
      <c r="E41" s="172"/>
    </row>
    <row r="42" spans="2:10" ht="25.35" customHeight="1">
      <c r="D42" s="28"/>
      <c r="E42" s="173"/>
    </row>
    <row r="43" spans="2:10" ht="25.35" customHeight="1">
      <c r="B43" s="28" t="s">
        <v>258</v>
      </c>
      <c r="D43" s="28"/>
      <c r="E43" s="173"/>
    </row>
    <row r="44" spans="2:10" ht="25.35" customHeight="1">
      <c r="B44" s="28" t="s">
        <v>259</v>
      </c>
      <c r="C44" s="28"/>
      <c r="D44" s="28"/>
      <c r="E44" s="598">
        <f>+E40/E23</f>
        <v>9.4652129841491489E-2</v>
      </c>
    </row>
    <row r="45" spans="2:10" ht="25.35" customHeight="1">
      <c r="B45" s="28"/>
      <c r="C45" s="28"/>
      <c r="D45" s="28"/>
      <c r="E45" s="173"/>
    </row>
    <row r="46" spans="2:10" ht="25.35" customHeight="1">
      <c r="B46" s="28" t="s">
        <v>260</v>
      </c>
      <c r="C46" s="28"/>
      <c r="D46" s="28"/>
      <c r="E46" s="173"/>
    </row>
    <row r="47" spans="2:10" ht="25.35" customHeight="1">
      <c r="B47" s="28"/>
      <c r="C47" s="28"/>
      <c r="D47" s="28"/>
      <c r="E47" s="173"/>
    </row>
    <row r="48" spans="2:10" ht="25.35" customHeight="1">
      <c r="B48" s="28"/>
      <c r="C48" s="28"/>
      <c r="D48" s="28"/>
      <c r="E48" s="173"/>
    </row>
    <row r="49" spans="2:5" ht="25.35" customHeight="1">
      <c r="B49" s="28"/>
      <c r="C49" s="28"/>
      <c r="D49" s="28"/>
      <c r="E49" s="173"/>
    </row>
    <row r="50" spans="2:5" ht="25.35" customHeight="1">
      <c r="B50" s="599"/>
      <c r="C50" s="599"/>
      <c r="D50" s="28"/>
      <c r="E50" s="600"/>
    </row>
    <row r="51" spans="2:5" ht="25.35" customHeight="1">
      <c r="B51" s="28" t="s">
        <v>261</v>
      </c>
      <c r="E51" s="174" t="s">
        <v>262</v>
      </c>
    </row>
    <row r="52" spans="2:5" ht="15.75" customHeight="1">
      <c r="C52" s="28"/>
      <c r="E52" s="175"/>
    </row>
    <row r="53" spans="2:5" ht="15.75" customHeight="1">
      <c r="E53" s="175"/>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 right="0" top="0" bottom="0" header="0" footer="0"/>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tabSelected="1" topLeftCell="A7" zoomScaleNormal="100" zoomScalePageLayoutView="50" workbookViewId="0">
      <selection activeCell="B20" sqref="B20"/>
    </sheetView>
  </sheetViews>
  <sheetFormatPr defaultColWidth="9.140625" defaultRowHeight="12.75"/>
  <cols>
    <col min="1" max="1" width="98.28515625" style="181" customWidth="1"/>
    <col min="2" max="2" width="18" style="181" customWidth="1"/>
    <col min="3" max="3" width="16.42578125" style="181" customWidth="1"/>
    <col min="4" max="4" width="15.28515625" style="181" customWidth="1"/>
    <col min="5" max="5" width="22.42578125" style="181" customWidth="1"/>
    <col min="6" max="6" width="20.7109375" style="181" customWidth="1"/>
    <col min="7" max="7" width="18.7109375" style="181" customWidth="1"/>
    <col min="8" max="8" width="20.28515625" style="181" bestFit="1" customWidth="1"/>
    <col min="9" max="9" width="20.28515625" style="181" customWidth="1"/>
    <col min="10" max="10" width="2" style="181" customWidth="1"/>
    <col min="11" max="11" width="21" style="181" bestFit="1" customWidth="1"/>
    <col min="12" max="12" width="19.140625" style="181" customWidth="1"/>
    <col min="13" max="13" width="5.7109375" style="181" customWidth="1"/>
    <col min="14" max="16384" width="9.140625" style="181"/>
  </cols>
  <sheetData>
    <row r="1" spans="1:18" s="291" customFormat="1" ht="23.1" customHeight="1">
      <c r="I1" s="341" t="s">
        <v>263</v>
      </c>
      <c r="L1" s="341"/>
      <c r="M1" s="341"/>
      <c r="N1" s="341"/>
      <c r="O1" s="341"/>
      <c r="P1" s="341"/>
      <c r="Q1" s="341"/>
      <c r="R1" s="341"/>
    </row>
    <row r="2" spans="1:18" s="291" customFormat="1" ht="20.100000000000001" customHeight="1"/>
    <row r="3" spans="1:18" s="291" customFormat="1" ht="20.100000000000001" customHeight="1">
      <c r="A3" s="843" t="s">
        <v>10</v>
      </c>
      <c r="B3" s="843"/>
      <c r="C3" s="843"/>
      <c r="D3" s="843"/>
      <c r="E3" s="843"/>
      <c r="F3" s="843"/>
      <c r="G3" s="843"/>
      <c r="H3" s="843"/>
      <c r="I3" s="505"/>
      <c r="J3" s="290"/>
      <c r="K3" s="290"/>
    </row>
    <row r="4" spans="1:18" s="291" customFormat="1" ht="20.100000000000001" customHeight="1">
      <c r="A4" s="843" t="s">
        <v>234</v>
      </c>
      <c r="B4" s="843"/>
      <c r="C4" s="843"/>
      <c r="D4" s="843"/>
      <c r="E4" s="843"/>
      <c r="F4" s="843"/>
      <c r="G4" s="843"/>
      <c r="H4" s="843"/>
      <c r="I4" s="505"/>
    </row>
    <row r="5" spans="1:18" s="291" customFormat="1" ht="24" customHeight="1">
      <c r="A5" s="843" t="s">
        <v>264</v>
      </c>
      <c r="B5" s="843"/>
      <c r="C5" s="843"/>
      <c r="D5" s="843"/>
      <c r="E5" s="843"/>
      <c r="F5" s="843"/>
      <c r="G5" s="843"/>
      <c r="H5" s="843"/>
      <c r="I5" s="505"/>
    </row>
    <row r="6" spans="1:18" s="291" customFormat="1" ht="24" customHeight="1">
      <c r="A6" s="843" t="s">
        <v>265</v>
      </c>
      <c r="B6" s="843"/>
      <c r="C6" s="843"/>
      <c r="D6" s="843"/>
      <c r="E6" s="843"/>
      <c r="F6" s="843"/>
      <c r="G6" s="843"/>
      <c r="H6" s="843"/>
      <c r="I6" s="505"/>
    </row>
    <row r="7" spans="1:18" s="291" customFormat="1" ht="20.100000000000001" customHeight="1">
      <c r="A7" s="843"/>
      <c r="B7" s="843"/>
      <c r="C7" s="843"/>
      <c r="D7" s="843"/>
      <c r="E7" s="843"/>
      <c r="F7" s="843"/>
      <c r="G7" s="843"/>
      <c r="H7" s="843"/>
      <c r="I7" s="505"/>
    </row>
    <row r="8" spans="1:18" s="291" customFormat="1" ht="25.35" customHeight="1" thickBot="1">
      <c r="A8" s="843"/>
      <c r="B8" s="845"/>
      <c r="C8" s="843" t="s">
        <v>237</v>
      </c>
      <c r="D8" s="846" t="str">
        <f>'CHECK SHEET'!D7</f>
        <v>Seminole State College of Florida</v>
      </c>
      <c r="E8" s="846"/>
      <c r="F8" s="846"/>
      <c r="G8" s="846"/>
      <c r="H8" s="846"/>
    </row>
    <row r="9" spans="1:18" s="17" customFormat="1" ht="20.100000000000001" customHeight="1"/>
    <row r="10" spans="1:18" s="17" customFormat="1" ht="20.100000000000001" customHeight="1">
      <c r="B10" s="28"/>
      <c r="C10" s="28"/>
      <c r="D10" s="28"/>
      <c r="E10" s="844"/>
      <c r="F10" s="31"/>
      <c r="G10" s="31"/>
    </row>
    <row r="11" spans="1:18" s="17" customFormat="1" ht="20.100000000000001" customHeight="1">
      <c r="B11" s="772" t="s">
        <v>266</v>
      </c>
      <c r="C11" s="772"/>
      <c r="D11" s="28"/>
      <c r="E11" s="28"/>
    </row>
    <row r="12" spans="1:18" s="17" customFormat="1" ht="20.100000000000001" customHeight="1" thickBot="1">
      <c r="B12" s="773" t="s">
        <v>267</v>
      </c>
      <c r="C12" s="773"/>
      <c r="D12" s="773"/>
      <c r="E12" s="773"/>
      <c r="J12" s="28"/>
    </row>
    <row r="13" spans="1:18" s="17" customFormat="1" ht="105.75" customHeight="1" thickBot="1">
      <c r="A13" s="344" t="s">
        <v>268</v>
      </c>
      <c r="B13" s="312" t="s">
        <v>269</v>
      </c>
      <c r="C13" s="777" t="s">
        <v>270</v>
      </c>
      <c r="D13" s="312" t="s">
        <v>271</v>
      </c>
      <c r="E13" s="312" t="s">
        <v>272</v>
      </c>
      <c r="F13" s="776" t="s">
        <v>273</v>
      </c>
      <c r="G13" s="312" t="s">
        <v>52</v>
      </c>
      <c r="H13" s="777" t="s">
        <v>274</v>
      </c>
      <c r="J13" s="28"/>
    </row>
    <row r="14" spans="1:18" s="17" customFormat="1" ht="20.100000000000001" customHeight="1">
      <c r="A14" s="28" t="s">
        <v>275</v>
      </c>
      <c r="B14" s="1156">
        <v>91.79</v>
      </c>
      <c r="C14" s="1156">
        <v>4.37</v>
      </c>
      <c r="D14" s="1156">
        <v>8.74</v>
      </c>
      <c r="E14" s="1156">
        <v>10.34</v>
      </c>
      <c r="F14" s="1156">
        <v>4.37</v>
      </c>
      <c r="G14" s="1157">
        <f>SUM(B14:F14)</f>
        <v>119.61000000000001</v>
      </c>
      <c r="H14" s="372">
        <f>G14*30</f>
        <v>3588.3</v>
      </c>
    </row>
    <row r="15" spans="1:18" s="17" customFormat="1" ht="20.100000000000001" customHeight="1">
      <c r="A15" s="28" t="s">
        <v>276</v>
      </c>
      <c r="B15" s="894">
        <v>79.78</v>
      </c>
      <c r="C15" s="894">
        <v>3</v>
      </c>
      <c r="D15" s="894">
        <v>7.88</v>
      </c>
      <c r="E15" s="894">
        <v>9.48</v>
      </c>
      <c r="F15" s="894">
        <v>3.94</v>
      </c>
      <c r="G15" s="1157">
        <f>SUM(B15:F15)</f>
        <v>104.08</v>
      </c>
      <c r="H15" s="345">
        <f>G15*30</f>
        <v>3122.4</v>
      </c>
    </row>
    <row r="16" spans="1:18" s="17" customFormat="1" ht="20.100000000000001" customHeight="1" thickBot="1">
      <c r="A16" s="28" t="s">
        <v>115</v>
      </c>
      <c r="B16" s="895">
        <v>69.900000000000006</v>
      </c>
      <c r="C16" s="895">
        <v>6.9</v>
      </c>
      <c r="D16" s="896"/>
      <c r="E16" s="895">
        <v>3.3</v>
      </c>
      <c r="F16" s="895">
        <v>3.3</v>
      </c>
      <c r="G16" s="346">
        <f>SUM(B16:F16)</f>
        <v>83.4</v>
      </c>
      <c r="H16" s="1081">
        <f>G16*30</f>
        <v>2502</v>
      </c>
    </row>
    <row r="17" spans="1:11" s="17" customFormat="1" ht="20.100000000000001" customHeight="1" thickBot="1">
      <c r="A17" s="300"/>
      <c r="B17" s="365"/>
      <c r="C17" s="549"/>
      <c r="D17" s="549"/>
      <c r="E17" s="549"/>
      <c r="F17" s="549"/>
      <c r="G17" s="371"/>
      <c r="H17" s="347"/>
    </row>
    <row r="18" spans="1:11" s="17" customFormat="1" ht="65.099999999999994" customHeight="1" thickBot="1">
      <c r="A18" s="355" t="s">
        <v>268</v>
      </c>
      <c r="B18" s="312" t="s">
        <v>277</v>
      </c>
      <c r="C18" s="374"/>
      <c r="D18" s="374"/>
      <c r="E18" s="374"/>
      <c r="F18" s="374"/>
      <c r="G18" s="370" t="s">
        <v>52</v>
      </c>
      <c r="H18" s="777" t="s">
        <v>278</v>
      </c>
    </row>
    <row r="19" spans="1:11" s="17" customFormat="1" ht="20.100000000000001" customHeight="1">
      <c r="A19" s="28" t="s">
        <v>279</v>
      </c>
      <c r="B19" s="1158">
        <v>30</v>
      </c>
      <c r="C19" s="373"/>
      <c r="D19" s="373"/>
      <c r="E19" s="373"/>
      <c r="F19" s="373"/>
      <c r="G19" s="1157">
        <f>B19</f>
        <v>30</v>
      </c>
      <c r="H19" s="621">
        <f>G19*3</f>
        <v>90</v>
      </c>
    </row>
    <row r="20" spans="1:11" s="17" customFormat="1" ht="20.100000000000001" customHeight="1" thickBot="1">
      <c r="A20" s="28" t="s">
        <v>280</v>
      </c>
      <c r="B20" s="1082">
        <v>30</v>
      </c>
      <c r="C20" s="327"/>
      <c r="D20" s="327"/>
      <c r="E20" s="327"/>
      <c r="F20" s="327"/>
      <c r="G20" s="348">
        <f>B20</f>
        <v>30</v>
      </c>
      <c r="H20" s="581">
        <f>G20*3</f>
        <v>90</v>
      </c>
    </row>
    <row r="21" spans="1:11" s="17" customFormat="1" ht="20.100000000000001" customHeight="1" thickBot="1">
      <c r="A21" s="349"/>
      <c r="B21" s="365"/>
      <c r="C21" s="300"/>
      <c r="D21" s="300"/>
      <c r="E21" s="300"/>
      <c r="F21" s="300"/>
      <c r="G21" s="371"/>
      <c r="H21" s="347"/>
    </row>
    <row r="22" spans="1:11" s="17" customFormat="1" ht="20.100000000000001" customHeight="1">
      <c r="A22" s="28" t="s">
        <v>281</v>
      </c>
      <c r="B22" s="447">
        <v>0</v>
      </c>
      <c r="C22" s="550"/>
      <c r="D22" s="550"/>
      <c r="E22" s="550"/>
      <c r="F22" s="550"/>
      <c r="G22" s="350">
        <f>B22</f>
        <v>0</v>
      </c>
      <c r="H22" s="369">
        <f>G22*2</f>
        <v>0</v>
      </c>
    </row>
    <row r="23" spans="1:11" s="17" customFormat="1" ht="20.100000000000001" customHeight="1" thickBot="1">
      <c r="A23" s="28" t="s">
        <v>282</v>
      </c>
      <c r="B23" s="1083">
        <v>0</v>
      </c>
      <c r="C23" s="327"/>
      <c r="D23" s="327"/>
      <c r="E23" s="327"/>
      <c r="F23" s="327"/>
      <c r="G23" s="1084">
        <f>B23</f>
        <v>0</v>
      </c>
      <c r="H23" s="1081">
        <f>G23*2</f>
        <v>0</v>
      </c>
      <c r="J23" s="351"/>
      <c r="K23" s="351"/>
    </row>
    <row r="24" spans="1:11" s="17" customFormat="1" ht="25.35" customHeight="1">
      <c r="B24" s="351"/>
      <c r="C24" s="28"/>
      <c r="D24" s="28"/>
      <c r="E24" s="28"/>
      <c r="F24" s="28"/>
      <c r="G24" s="351"/>
      <c r="H24" s="351"/>
      <c r="I24" s="351"/>
      <c r="J24" s="351"/>
      <c r="K24" s="351"/>
    </row>
    <row r="25" spans="1:11" s="17" customFormat="1" ht="13.5" customHeight="1">
      <c r="A25" s="28"/>
      <c r="B25" s="351"/>
      <c r="C25" s="351"/>
      <c r="D25" s="351"/>
      <c r="E25" s="351"/>
      <c r="F25" s="351"/>
      <c r="G25" s="351"/>
      <c r="H25" s="351"/>
      <c r="I25" s="351"/>
      <c r="J25" s="351"/>
      <c r="K25" s="351"/>
    </row>
    <row r="26" spans="1:11" s="17" customFormat="1" ht="20.100000000000001" customHeight="1">
      <c r="B26" s="28" t="s">
        <v>283</v>
      </c>
      <c r="C26" s="28"/>
      <c r="D26" s="28"/>
      <c r="E26" s="28"/>
      <c r="F26" s="351"/>
      <c r="G26" s="351"/>
      <c r="H26" s="351"/>
      <c r="I26" s="351"/>
      <c r="J26" s="351"/>
      <c r="K26" s="351"/>
    </row>
    <row r="27" spans="1:11" s="17" customFormat="1" ht="20.100000000000001" customHeight="1" thickBot="1">
      <c r="A27" s="28"/>
      <c r="B27" s="28" t="s">
        <v>267</v>
      </c>
      <c r="C27" s="28"/>
      <c r="D27" s="28"/>
      <c r="E27" s="28"/>
      <c r="F27" s="351"/>
      <c r="G27" s="351"/>
      <c r="H27" s="351"/>
      <c r="I27" s="351"/>
    </row>
    <row r="28" spans="1:11" s="17" customFormat="1" ht="108" customHeight="1" thickBot="1">
      <c r="A28" s="344" t="s">
        <v>268</v>
      </c>
      <c r="B28" s="293" t="s">
        <v>269</v>
      </c>
      <c r="C28" s="312" t="s">
        <v>284</v>
      </c>
      <c r="D28" s="312" t="s">
        <v>270</v>
      </c>
      <c r="E28" s="312" t="s">
        <v>271</v>
      </c>
      <c r="F28" s="312" t="s">
        <v>272</v>
      </c>
      <c r="G28" s="776" t="s">
        <v>273</v>
      </c>
      <c r="H28" s="312" t="s">
        <v>52</v>
      </c>
      <c r="I28" s="777" t="s">
        <v>274</v>
      </c>
      <c r="J28" s="28"/>
      <c r="K28" s="28"/>
    </row>
    <row r="29" spans="1:11" s="17" customFormat="1" ht="20.100000000000001" customHeight="1">
      <c r="A29" s="28" t="str">
        <f t="shared" ref="A29:B31" si="0">A14</f>
        <v>UPPER LEVEL - BACCALAUREATE</v>
      </c>
      <c r="B29" s="352">
        <f t="shared" si="0"/>
        <v>91.79</v>
      </c>
      <c r="C29" s="1156">
        <v>262.26</v>
      </c>
      <c r="D29" s="1156">
        <v>17.48</v>
      </c>
      <c r="E29" s="551">
        <f>D14</f>
        <v>8.74</v>
      </c>
      <c r="F29" s="1156">
        <v>26.6</v>
      </c>
      <c r="G29" s="1156">
        <v>17.48</v>
      </c>
      <c r="H29" s="353">
        <f>SUM(B29:G29)</f>
        <v>424.35000000000008</v>
      </c>
      <c r="I29" s="366">
        <f>H29*30</f>
        <v>12730.500000000002</v>
      </c>
    </row>
    <row r="30" spans="1:11" s="17" customFormat="1" ht="20.100000000000001" customHeight="1">
      <c r="A30" s="28" t="str">
        <f t="shared" si="0"/>
        <v>LOWER LEVEL - CREDIT (A &amp; P, PSV, DEVELOPMENTAL EDUCATION AND EPI)</v>
      </c>
      <c r="B30" s="1085">
        <f t="shared" si="0"/>
        <v>79.78</v>
      </c>
      <c r="C30" s="897">
        <v>236.69</v>
      </c>
      <c r="D30" s="897">
        <v>14.84</v>
      </c>
      <c r="E30" s="1086">
        <f>D15</f>
        <v>7.88</v>
      </c>
      <c r="F30" s="897">
        <v>26.6</v>
      </c>
      <c r="G30" s="897">
        <v>15.78</v>
      </c>
      <c r="H30" s="1157">
        <f>SUM(B30:G30)</f>
        <v>381.57</v>
      </c>
      <c r="I30" s="345">
        <f>H30*30</f>
        <v>11447.1</v>
      </c>
    </row>
    <row r="31" spans="1:11" s="17" customFormat="1" ht="20.100000000000001" customHeight="1" thickBot="1">
      <c r="A31" s="28" t="str">
        <f t="shared" si="0"/>
        <v>CAREER CERTIFICATE AND APPLIED TECHNOLOGY DIPLOMA</v>
      </c>
      <c r="B31" s="417">
        <f t="shared" si="0"/>
        <v>69.900000000000006</v>
      </c>
      <c r="C31" s="894">
        <v>209.7</v>
      </c>
      <c r="D31" s="894">
        <v>27.9</v>
      </c>
      <c r="E31" s="327"/>
      <c r="F31" s="894">
        <v>13.8</v>
      </c>
      <c r="G31" s="894">
        <v>13.8</v>
      </c>
      <c r="H31" s="346">
        <f>SUM(B31:G31)</f>
        <v>335.1</v>
      </c>
      <c r="I31" s="1081">
        <f>H31*30</f>
        <v>10053</v>
      </c>
    </row>
    <row r="32" spans="1:11" s="17" customFormat="1" ht="20.100000000000001" customHeight="1" thickBot="1">
      <c r="A32" s="349"/>
      <c r="B32" s="300"/>
      <c r="C32" s="300"/>
      <c r="D32" s="300"/>
      <c r="E32" s="300"/>
      <c r="F32" s="300"/>
      <c r="G32" s="300"/>
      <c r="H32" s="300"/>
      <c r="I32" s="354"/>
    </row>
    <row r="33" spans="1:11" s="17" customFormat="1" ht="65.099999999999994" customHeight="1" thickBot="1">
      <c r="A33" s="355" t="s">
        <v>268</v>
      </c>
      <c r="B33" s="312" t="s">
        <v>277</v>
      </c>
      <c r="C33" s="300"/>
      <c r="D33" s="300"/>
      <c r="E33" s="300"/>
      <c r="F33" s="300"/>
      <c r="G33" s="300"/>
      <c r="H33" s="312" t="s">
        <v>52</v>
      </c>
      <c r="I33" s="777" t="s">
        <v>278</v>
      </c>
    </row>
    <row r="34" spans="1:11" s="17" customFormat="1" ht="20.100000000000001" customHeight="1">
      <c r="A34" s="28" t="str">
        <f>A19</f>
        <v>VOCATIONAL PREPARATORY (PER TERM)</v>
      </c>
      <c r="B34" s="356">
        <f>B19</f>
        <v>30</v>
      </c>
      <c r="C34" s="373"/>
      <c r="D34" s="373"/>
      <c r="E34" s="373"/>
      <c r="F34" s="373"/>
      <c r="G34" s="373"/>
      <c r="H34" s="1159">
        <f>B34</f>
        <v>30</v>
      </c>
      <c r="I34" s="367">
        <f>H34*3</f>
        <v>90</v>
      </c>
      <c r="J34" s="351"/>
      <c r="K34" s="351"/>
    </row>
    <row r="35" spans="1:11" s="17" customFormat="1" ht="20.100000000000001" customHeight="1" thickBot="1">
      <c r="A35" s="28" t="str">
        <f>A20</f>
        <v>ADULT GENERAL EDUCATION AND SECONDARY (PER TERM)</v>
      </c>
      <c r="B35" s="1087">
        <f>B20</f>
        <v>30</v>
      </c>
      <c r="C35" s="327"/>
      <c r="D35" s="327"/>
      <c r="E35" s="327"/>
      <c r="F35" s="327"/>
      <c r="G35" s="327"/>
      <c r="H35" s="357">
        <f>B35</f>
        <v>30</v>
      </c>
      <c r="I35" s="1088">
        <f>H35*3</f>
        <v>90</v>
      </c>
    </row>
    <row r="36" spans="1:11" s="17" customFormat="1" ht="20.100000000000001" customHeight="1" thickBot="1">
      <c r="A36" s="349"/>
      <c r="B36" s="448"/>
      <c r="C36" s="300"/>
      <c r="D36" s="300"/>
      <c r="E36" s="300"/>
      <c r="F36" s="300"/>
      <c r="G36" s="300"/>
      <c r="H36" s="448"/>
      <c r="I36" s="449"/>
    </row>
    <row r="37" spans="1:11" s="17" customFormat="1" ht="20.100000000000001" customHeight="1">
      <c r="A37" s="28" t="str">
        <f>A22</f>
        <v>VOCATIONAL PREPARATORY (PER HALF YEAR)</v>
      </c>
      <c r="B37" s="356">
        <f>B22</f>
        <v>0</v>
      </c>
      <c r="C37" s="550"/>
      <c r="D37" s="550"/>
      <c r="E37" s="550"/>
      <c r="F37" s="550"/>
      <c r="G37" s="550"/>
      <c r="H37" s="353">
        <f>B37</f>
        <v>0</v>
      </c>
      <c r="I37" s="366">
        <f>H37*2</f>
        <v>0</v>
      </c>
    </row>
    <row r="38" spans="1:11" s="17" customFormat="1" ht="20.100000000000001" customHeight="1" thickBot="1">
      <c r="A38" s="28" t="str">
        <f>A23</f>
        <v>ADULT GENERAL EDUCATION AND SECONDARY (PER HALF YEAR)</v>
      </c>
      <c r="B38" s="1087">
        <f>B23</f>
        <v>0</v>
      </c>
      <c r="C38" s="327"/>
      <c r="D38" s="327"/>
      <c r="E38" s="327"/>
      <c r="F38" s="327"/>
      <c r="G38" s="327"/>
      <c r="H38" s="1089">
        <f>B38</f>
        <v>0</v>
      </c>
      <c r="I38" s="368">
        <f>H38*2</f>
        <v>0</v>
      </c>
    </row>
    <row r="39" spans="1:11" s="17" customFormat="1" ht="20.100000000000001" customHeight="1">
      <c r="A39" s="28"/>
      <c r="B39" s="358" t="s">
        <v>285</v>
      </c>
    </row>
    <row r="40" spans="1:11" ht="35.450000000000003" customHeight="1">
      <c r="A40" s="182"/>
      <c r="B40" s="847" t="s">
        <v>286</v>
      </c>
      <c r="C40" s="847"/>
      <c r="D40" s="847"/>
      <c r="E40" s="847"/>
      <c r="F40" s="847"/>
      <c r="G40" s="847"/>
      <c r="H40" s="847"/>
      <c r="I40" s="847"/>
      <c r="J40" s="178"/>
    </row>
    <row r="41" spans="1:11" ht="20.25" customHeight="1">
      <c r="A41" s="180"/>
      <c r="B41" s="180"/>
      <c r="C41" s="180"/>
      <c r="D41" s="180"/>
      <c r="E41" s="180"/>
      <c r="F41" s="180"/>
      <c r="G41" s="180"/>
      <c r="H41" s="180"/>
      <c r="I41" s="180"/>
    </row>
    <row r="42" spans="1:11" ht="20.25" customHeight="1">
      <c r="A42" s="180"/>
      <c r="B42" s="180"/>
      <c r="C42" s="180"/>
      <c r="D42" s="180"/>
      <c r="E42" s="180"/>
      <c r="F42" s="180"/>
      <c r="G42" s="180"/>
      <c r="H42" s="180"/>
      <c r="I42" s="180"/>
    </row>
    <row r="43" spans="1:11" ht="20.25" customHeight="1">
      <c r="A43" s="180"/>
      <c r="B43" s="180"/>
      <c r="C43" s="180"/>
      <c r="D43" s="180"/>
      <c r="E43" s="180"/>
      <c r="F43" s="180"/>
      <c r="G43" s="180"/>
      <c r="H43" s="180"/>
      <c r="I43" s="180"/>
    </row>
    <row r="44" spans="1:11" ht="20.25" customHeight="1">
      <c r="A44" s="180"/>
      <c r="B44" s="180"/>
      <c r="C44" s="180"/>
      <c r="D44" s="180"/>
      <c r="E44" s="180"/>
      <c r="F44" s="180"/>
      <c r="G44" s="180"/>
      <c r="H44" s="180"/>
      <c r="I44" s="180"/>
    </row>
    <row r="45" spans="1:11" ht="20.25" customHeight="1">
      <c r="A45" s="180"/>
      <c r="B45" s="180"/>
      <c r="C45" s="180"/>
      <c r="D45" s="180"/>
      <c r="E45" s="180"/>
      <c r="F45" s="180"/>
      <c r="G45" s="180"/>
      <c r="H45" s="180"/>
      <c r="I45" s="180"/>
    </row>
    <row r="46" spans="1:11" ht="20.25" customHeight="1">
      <c r="A46" s="180"/>
      <c r="B46" s="180"/>
      <c r="C46" s="180"/>
      <c r="D46" s="180"/>
      <c r="E46" s="180"/>
      <c r="F46" s="180"/>
      <c r="G46" s="180"/>
      <c r="H46" s="180"/>
      <c r="I46" s="180"/>
    </row>
    <row r="47" spans="1:11" ht="20.25" customHeight="1">
      <c r="A47" s="180"/>
      <c r="B47" s="180"/>
      <c r="C47" s="180"/>
      <c r="D47" s="180"/>
      <c r="E47" s="180"/>
      <c r="F47" s="180"/>
      <c r="G47" s="180"/>
      <c r="H47" s="180"/>
      <c r="I47" s="180"/>
    </row>
    <row r="48" spans="1:11" ht="20.25" customHeight="1">
      <c r="A48" s="180"/>
      <c r="B48" s="180"/>
      <c r="C48" s="180"/>
      <c r="D48" s="180"/>
      <c r="E48" s="180"/>
      <c r="F48" s="180"/>
      <c r="G48" s="180"/>
      <c r="H48" s="180"/>
      <c r="I48" s="180"/>
    </row>
    <row r="49" spans="1:9" ht="20.25" customHeight="1">
      <c r="A49" s="180"/>
      <c r="B49" s="180"/>
      <c r="C49" s="180"/>
      <c r="D49" s="180"/>
      <c r="E49" s="180"/>
      <c r="F49" s="180"/>
      <c r="G49" s="180"/>
      <c r="H49" s="180"/>
      <c r="I49" s="180"/>
    </row>
    <row r="50" spans="1:9" ht="20.25" customHeight="1">
      <c r="A50" s="180"/>
      <c r="B50" s="180"/>
      <c r="C50" s="180"/>
      <c r="D50" s="180"/>
      <c r="E50" s="180"/>
      <c r="F50" s="180"/>
      <c r="G50" s="180"/>
      <c r="H50" s="180"/>
      <c r="I50" s="180"/>
    </row>
    <row r="51" spans="1:9" ht="20.25" customHeight="1">
      <c r="A51" s="180"/>
      <c r="B51" s="180"/>
      <c r="C51" s="180"/>
      <c r="D51" s="180"/>
      <c r="E51" s="180"/>
      <c r="F51" s="180"/>
      <c r="G51" s="180"/>
      <c r="H51" s="180"/>
      <c r="I51" s="180"/>
    </row>
    <row r="52" spans="1:9" ht="20.25" customHeight="1">
      <c r="A52" s="180"/>
      <c r="B52" s="180"/>
      <c r="C52" s="180"/>
      <c r="D52" s="180"/>
      <c r="E52" s="180"/>
      <c r="F52" s="180"/>
      <c r="G52" s="180"/>
      <c r="H52" s="180"/>
      <c r="I52" s="180"/>
    </row>
    <row r="53" spans="1:9" ht="20.25" customHeight="1">
      <c r="B53" s="180"/>
      <c r="C53" s="180"/>
      <c r="D53" s="180"/>
      <c r="E53" s="180"/>
      <c r="F53" s="180"/>
      <c r="G53" s="180"/>
      <c r="H53" s="180"/>
      <c r="I53" s="180"/>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 right="0" top="0" bottom="0" header="0" footer="0"/>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topLeftCell="A4" zoomScale="80" zoomScaleNormal="80" zoomScaleSheetLayoutView="50" zoomScalePageLayoutView="50" workbookViewId="0">
      <selection activeCell="D76" sqref="D76"/>
    </sheetView>
  </sheetViews>
  <sheetFormatPr defaultColWidth="9.140625" defaultRowHeight="21"/>
  <cols>
    <col min="1" max="1" width="43.7109375" style="17" customWidth="1"/>
    <col min="2" max="2" width="77.28515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9" t="s">
        <v>287</v>
      </c>
    </row>
    <row r="2" spans="1:9" ht="20.100000000000001" customHeight="1">
      <c r="A2" s="849" t="s">
        <v>10</v>
      </c>
      <c r="B2" s="849"/>
      <c r="C2" s="849"/>
      <c r="D2" s="849"/>
      <c r="E2" s="849"/>
      <c r="F2" s="849"/>
      <c r="G2" s="849"/>
      <c r="H2" s="775"/>
      <c r="I2" s="28"/>
    </row>
    <row r="3" spans="1:9" ht="20.100000000000001" customHeight="1">
      <c r="A3" s="849" t="s">
        <v>288</v>
      </c>
      <c r="B3" s="849"/>
      <c r="C3" s="849"/>
      <c r="D3" s="849"/>
      <c r="E3" s="849"/>
      <c r="F3" s="849"/>
      <c r="G3" s="849"/>
      <c r="H3" s="775"/>
    </row>
    <row r="4" spans="1:9" ht="20.100000000000001" customHeight="1">
      <c r="A4" s="337"/>
      <c r="B4" s="337"/>
      <c r="C4" s="337"/>
      <c r="D4" s="337"/>
      <c r="E4" s="337"/>
      <c r="F4" s="337"/>
      <c r="G4" s="337"/>
      <c r="H4" s="292"/>
    </row>
    <row r="5" spans="1:9" ht="27.6" customHeight="1" thickBot="1">
      <c r="A5" s="849" t="s">
        <v>289</v>
      </c>
      <c r="B5" s="850" t="str">
        <f>'CHECK SHEET'!D7</f>
        <v>Seminole State College of Florida</v>
      </c>
      <c r="C5" s="850"/>
      <c r="D5" s="850"/>
      <c r="E5" s="850"/>
      <c r="F5" s="850"/>
      <c r="G5" s="337"/>
      <c r="H5" s="848"/>
    </row>
    <row r="6" spans="1:9" ht="20.100000000000001" customHeight="1">
      <c r="A6" s="337"/>
      <c r="B6" s="337"/>
      <c r="C6" s="337"/>
      <c r="D6" s="337"/>
      <c r="E6" s="337"/>
      <c r="F6" s="337"/>
      <c r="G6" s="337"/>
      <c r="H6" s="848"/>
    </row>
    <row r="7" spans="1:9" ht="20.100000000000001" customHeight="1">
      <c r="A7" s="772" t="s">
        <v>290</v>
      </c>
      <c r="B7" s="772"/>
      <c r="C7" s="772"/>
      <c r="D7" s="772"/>
      <c r="E7" s="772"/>
      <c r="F7" s="772"/>
      <c r="G7" s="772"/>
      <c r="H7" s="772"/>
    </row>
    <row r="8" spans="1:9" ht="20.100000000000001" customHeight="1" thickBot="1">
      <c r="C8" s="28"/>
    </row>
    <row r="9" spans="1:9" ht="85.5" customHeight="1" thickBot="1">
      <c r="A9" s="293" t="s">
        <v>291</v>
      </c>
      <c r="B9" s="293" t="s">
        <v>292</v>
      </c>
      <c r="C9" s="301" t="s">
        <v>293</v>
      </c>
      <c r="D9" s="301" t="s">
        <v>294</v>
      </c>
      <c r="E9" s="301" t="s">
        <v>295</v>
      </c>
      <c r="F9" s="301" t="s">
        <v>296</v>
      </c>
      <c r="G9" s="301" t="s">
        <v>297</v>
      </c>
      <c r="H9" s="302" t="s">
        <v>298</v>
      </c>
      <c r="I9" s="19"/>
    </row>
    <row r="10" spans="1:9" ht="20.100000000000001" customHeight="1">
      <c r="A10" s="552" t="s">
        <v>269</v>
      </c>
      <c r="B10" s="552" t="s">
        <v>299</v>
      </c>
      <c r="C10" s="553">
        <v>40101</v>
      </c>
      <c r="D10" s="648">
        <f>919*30</f>
        <v>27570</v>
      </c>
      <c r="E10" s="554">
        <f>6*30</f>
        <v>180</v>
      </c>
      <c r="F10" s="555">
        <f t="shared" ref="F10:F15" si="0">+D10-E10</f>
        <v>27390</v>
      </c>
      <c r="G10" s="555">
        <f>'EXHIBIT B'!B14</f>
        <v>91.79</v>
      </c>
      <c r="H10" s="556">
        <f>ROUND(+F10*G10,0)</f>
        <v>2514128</v>
      </c>
    </row>
    <row r="11" spans="1:9" ht="20.100000000000001" customHeight="1">
      <c r="A11" s="649" t="s">
        <v>269</v>
      </c>
      <c r="B11" s="649" t="s">
        <v>173</v>
      </c>
      <c r="C11" s="650" t="s">
        <v>300</v>
      </c>
      <c r="D11" s="648">
        <f>6375*30</f>
        <v>191250</v>
      </c>
      <c r="E11" s="648">
        <f>510*30</f>
        <v>15300</v>
      </c>
      <c r="F11" s="651">
        <f t="shared" si="0"/>
        <v>175950</v>
      </c>
      <c r="G11" s="651">
        <f>+'EXHIBIT B'!B15</f>
        <v>79.78</v>
      </c>
      <c r="H11" s="652">
        <f t="shared" ref="H11:H15" si="1">ROUND(+F11*G11,0)</f>
        <v>14037291</v>
      </c>
    </row>
    <row r="12" spans="1:9" ht="20.100000000000001" customHeight="1">
      <c r="A12" s="649" t="s">
        <v>269</v>
      </c>
      <c r="B12" s="649" t="s">
        <v>174</v>
      </c>
      <c r="C12" s="650" t="s">
        <v>301</v>
      </c>
      <c r="D12" s="648">
        <f>2680*30</f>
        <v>80400</v>
      </c>
      <c r="E12" s="648">
        <f>145*30</f>
        <v>4350</v>
      </c>
      <c r="F12" s="651">
        <f t="shared" si="0"/>
        <v>76050</v>
      </c>
      <c r="G12" s="651">
        <f>+'EXHIBIT B'!B15</f>
        <v>79.78</v>
      </c>
      <c r="H12" s="652">
        <f t="shared" si="1"/>
        <v>6067269</v>
      </c>
    </row>
    <row r="13" spans="1:9" ht="20.100000000000001" customHeight="1">
      <c r="A13" s="649" t="s">
        <v>269</v>
      </c>
      <c r="B13" s="649" t="s">
        <v>115</v>
      </c>
      <c r="C13" s="650" t="s">
        <v>302</v>
      </c>
      <c r="D13" s="1090">
        <f>169*30</f>
        <v>5070</v>
      </c>
      <c r="E13" s="1090">
        <f>9*30</f>
        <v>270</v>
      </c>
      <c r="F13" s="651">
        <f t="shared" si="0"/>
        <v>4800</v>
      </c>
      <c r="G13" s="651">
        <f>+'EXHIBIT B'!B16</f>
        <v>69.900000000000006</v>
      </c>
      <c r="H13" s="652">
        <f t="shared" si="1"/>
        <v>335520</v>
      </c>
    </row>
    <row r="14" spans="1:9" ht="20.100000000000001" customHeight="1">
      <c r="A14" s="649" t="s">
        <v>269</v>
      </c>
      <c r="B14" s="649" t="s">
        <v>175</v>
      </c>
      <c r="C14" s="650" t="s">
        <v>303</v>
      </c>
      <c r="D14" s="648">
        <f>134*30</f>
        <v>4020</v>
      </c>
      <c r="E14" s="648">
        <f>3*30</f>
        <v>90</v>
      </c>
      <c r="F14" s="651">
        <f t="shared" si="0"/>
        <v>3930</v>
      </c>
      <c r="G14" s="651">
        <f>+'EXHIBIT B'!B15</f>
        <v>79.78</v>
      </c>
      <c r="H14" s="652">
        <f t="shared" si="1"/>
        <v>313535</v>
      </c>
    </row>
    <row r="15" spans="1:9" ht="20.100000000000001" customHeight="1" thickBot="1">
      <c r="A15" s="653" t="s">
        <v>269</v>
      </c>
      <c r="B15" s="653" t="s">
        <v>176</v>
      </c>
      <c r="C15" s="654">
        <v>40160</v>
      </c>
      <c r="D15" s="655">
        <f>82*30</f>
        <v>2460</v>
      </c>
      <c r="E15" s="655">
        <v>0</v>
      </c>
      <c r="F15" s="656">
        <f t="shared" si="0"/>
        <v>2460</v>
      </c>
      <c r="G15" s="656">
        <f>+'EXHIBIT B'!B15</f>
        <v>79.78</v>
      </c>
      <c r="H15" s="657">
        <f t="shared" si="1"/>
        <v>196259</v>
      </c>
    </row>
    <row r="16" spans="1:9" ht="24.95" customHeight="1" thickBot="1">
      <c r="A16" s="303"/>
      <c r="B16" s="303"/>
      <c r="C16" s="303"/>
      <c r="D16" s="304"/>
      <c r="E16" s="304"/>
      <c r="F16" s="305"/>
      <c r="G16" s="305"/>
      <c r="H16" s="306"/>
    </row>
    <row r="17" spans="1:9" ht="24.95" customHeight="1" thickBot="1">
      <c r="A17" s="307"/>
      <c r="B17" s="308" t="s">
        <v>304</v>
      </c>
      <c r="C17" s="308"/>
      <c r="D17" s="309">
        <f>SUM(D10:D15)</f>
        <v>310770</v>
      </c>
      <c r="E17" s="309">
        <f>SUM(E10:E15)</f>
        <v>20190</v>
      </c>
      <c r="F17" s="310">
        <f>SUM(F10:F15)</f>
        <v>290580</v>
      </c>
      <c r="G17" s="310"/>
      <c r="H17" s="311">
        <f>SUM(H10:H15)</f>
        <v>23464002</v>
      </c>
    </row>
    <row r="18" spans="1:9" ht="88.35" customHeight="1" thickBot="1">
      <c r="A18" s="312" t="s">
        <v>305</v>
      </c>
      <c r="B18" s="293" t="s">
        <v>292</v>
      </c>
      <c r="C18" s="301" t="s">
        <v>293</v>
      </c>
      <c r="D18" s="312" t="s">
        <v>306</v>
      </c>
      <c r="E18" s="301" t="s">
        <v>297</v>
      </c>
      <c r="F18" s="302" t="s">
        <v>298</v>
      </c>
    </row>
    <row r="19" spans="1:9" ht="24.95" customHeight="1">
      <c r="A19" s="1134" t="s">
        <v>284</v>
      </c>
      <c r="B19" s="1134" t="s">
        <v>299</v>
      </c>
      <c r="C19" s="1160">
        <v>40301</v>
      </c>
      <c r="D19" s="898">
        <f>13*30</f>
        <v>390</v>
      </c>
      <c r="E19" s="1161">
        <f>'EXHIBIT B'!C29</f>
        <v>262.26</v>
      </c>
      <c r="F19" s="1162">
        <f t="shared" ref="F19:F24" si="2">ROUND(+D19*E19,0)</f>
        <v>102281</v>
      </c>
      <c r="G19" s="313"/>
      <c r="H19" s="313"/>
    </row>
    <row r="20" spans="1:9" ht="20.100000000000001" customHeight="1">
      <c r="A20" s="985" t="s">
        <v>284</v>
      </c>
      <c r="B20" s="985" t="s">
        <v>173</v>
      </c>
      <c r="C20" s="1091" t="s">
        <v>307</v>
      </c>
      <c r="D20" s="1092">
        <f>106*30</f>
        <v>3180</v>
      </c>
      <c r="E20" s="1093">
        <f>+'EXHIBIT B'!C30</f>
        <v>236.69</v>
      </c>
      <c r="F20" s="1094">
        <f t="shared" si="2"/>
        <v>752674</v>
      </c>
      <c r="G20" s="48"/>
      <c r="H20" s="48"/>
    </row>
    <row r="21" spans="1:9" ht="20.100000000000001" customHeight="1">
      <c r="A21" s="985" t="s">
        <v>284</v>
      </c>
      <c r="B21" s="985" t="s">
        <v>174</v>
      </c>
      <c r="C21" s="1091" t="s">
        <v>308</v>
      </c>
      <c r="D21" s="1092">
        <f>42*30</f>
        <v>1260</v>
      </c>
      <c r="E21" s="1093">
        <f>+'EXHIBIT B'!C30</f>
        <v>236.69</v>
      </c>
      <c r="F21" s="1094">
        <f t="shared" si="2"/>
        <v>298229</v>
      </c>
      <c r="G21" s="48"/>
      <c r="H21" s="48"/>
    </row>
    <row r="22" spans="1:9" ht="20.100000000000001" customHeight="1">
      <c r="A22" s="985" t="s">
        <v>284</v>
      </c>
      <c r="B22" s="985" t="s">
        <v>115</v>
      </c>
      <c r="C22" s="1091" t="s">
        <v>309</v>
      </c>
      <c r="D22" s="1092">
        <f>3*30</f>
        <v>90</v>
      </c>
      <c r="E22" s="1093">
        <f>+'EXHIBIT B'!C31</f>
        <v>209.7</v>
      </c>
      <c r="F22" s="1094">
        <f t="shared" si="2"/>
        <v>18873</v>
      </c>
      <c r="G22" s="48"/>
      <c r="H22" s="48"/>
    </row>
    <row r="23" spans="1:9" ht="20.100000000000001" customHeight="1">
      <c r="A23" s="985" t="s">
        <v>284</v>
      </c>
      <c r="B23" s="985" t="s">
        <v>175</v>
      </c>
      <c r="C23" s="1091" t="s">
        <v>310</v>
      </c>
      <c r="D23" s="1092">
        <f>10*30</f>
        <v>300</v>
      </c>
      <c r="E23" s="1093">
        <f>+'EXHIBIT B'!C30</f>
        <v>236.69</v>
      </c>
      <c r="F23" s="1094">
        <f t="shared" si="2"/>
        <v>71007</v>
      </c>
      <c r="G23" s="48"/>
      <c r="H23" s="48"/>
    </row>
    <row r="24" spans="1:9" ht="20.100000000000001" customHeight="1" thickBot="1">
      <c r="A24" s="1095" t="s">
        <v>284</v>
      </c>
      <c r="B24" s="1095" t="s">
        <v>176</v>
      </c>
      <c r="C24" s="1096">
        <v>40360</v>
      </c>
      <c r="D24" s="899">
        <v>0</v>
      </c>
      <c r="E24" s="1097">
        <f>+'EXHIBIT B'!C30</f>
        <v>236.69</v>
      </c>
      <c r="F24" s="1098">
        <f t="shared" si="2"/>
        <v>0</v>
      </c>
      <c r="G24" s="48"/>
      <c r="H24" s="48"/>
    </row>
    <row r="25" spans="1:9" ht="20.100000000000001" customHeight="1" thickBot="1">
      <c r="A25" s="314"/>
      <c r="B25" s="314"/>
      <c r="C25" s="314"/>
      <c r="D25" s="314"/>
      <c r="E25" s="315"/>
      <c r="F25" s="316"/>
      <c r="G25" s="48"/>
      <c r="H25" s="48"/>
    </row>
    <row r="26" spans="1:9" ht="20.100000000000001" customHeight="1" thickBot="1">
      <c r="A26" s="1099"/>
      <c r="B26" s="1099" t="s">
        <v>304</v>
      </c>
      <c r="C26" s="1099"/>
      <c r="D26" s="1100">
        <f>SUM(D19:D24)</f>
        <v>5220</v>
      </c>
      <c r="E26" s="1101"/>
      <c r="F26" s="1102">
        <f>SUM(F19:F24)</f>
        <v>1243064</v>
      </c>
      <c r="G26" s="317"/>
      <c r="H26" s="317"/>
    </row>
    <row r="27" spans="1:9" ht="20.100000000000001" customHeight="1" thickBot="1">
      <c r="A27" s="318" t="s">
        <v>311</v>
      </c>
      <c r="B27" s="318"/>
      <c r="C27" s="318"/>
      <c r="D27" s="318"/>
      <c r="E27" s="318"/>
      <c r="F27" s="319"/>
      <c r="G27" s="557"/>
      <c r="H27" s="320">
        <f>H17+F26</f>
        <v>24707066</v>
      </c>
    </row>
    <row r="28" spans="1:9" ht="24.95" customHeight="1">
      <c r="I28" s="173"/>
    </row>
    <row r="29" spans="1:9" ht="24.95" customHeight="1">
      <c r="A29" s="772" t="s">
        <v>312</v>
      </c>
      <c r="B29" s="772"/>
      <c r="C29" s="772"/>
      <c r="D29" s="772"/>
      <c r="E29" s="772"/>
      <c r="F29" s="772"/>
      <c r="G29" s="772"/>
      <c r="H29" s="772"/>
      <c r="I29" s="173"/>
    </row>
    <row r="30" spans="1:9" ht="24.95" customHeight="1" thickBot="1">
      <c r="I30" s="173"/>
    </row>
    <row r="31" spans="1:9" ht="88.35" customHeight="1" thickBot="1">
      <c r="A31" s="312" t="s">
        <v>313</v>
      </c>
      <c r="B31" s="321" t="s">
        <v>292</v>
      </c>
      <c r="C31" s="312" t="s">
        <v>293</v>
      </c>
      <c r="D31" s="312" t="s">
        <v>314</v>
      </c>
      <c r="E31" s="312" t="s">
        <v>315</v>
      </c>
      <c r="F31" s="312" t="s">
        <v>296</v>
      </c>
      <c r="G31" s="312" t="s">
        <v>316</v>
      </c>
      <c r="H31" s="777" t="s">
        <v>298</v>
      </c>
      <c r="I31" s="173"/>
    </row>
    <row r="32" spans="1:9" ht="20.100000000000001" customHeight="1">
      <c r="A32" s="558" t="s">
        <v>317</v>
      </c>
      <c r="B32" s="558" t="s">
        <v>318</v>
      </c>
      <c r="C32" s="559" t="s">
        <v>319</v>
      </c>
      <c r="D32" s="560">
        <v>0</v>
      </c>
      <c r="E32" s="560">
        <v>0</v>
      </c>
      <c r="F32" s="561">
        <f>D32-E32</f>
        <v>0</v>
      </c>
      <c r="G32" s="561">
        <f>'EXHIBIT B'!B19</f>
        <v>30</v>
      </c>
      <c r="H32" s="562">
        <f>ROUND(+F32*G32,0)</f>
        <v>0</v>
      </c>
    </row>
    <row r="33" spans="1:8" ht="20.100000000000001" customHeight="1">
      <c r="A33" s="985" t="s">
        <v>317</v>
      </c>
      <c r="B33" s="985" t="s">
        <v>320</v>
      </c>
      <c r="C33" s="1091" t="s">
        <v>321</v>
      </c>
      <c r="D33" s="1092">
        <v>3338</v>
      </c>
      <c r="E33" s="1092">
        <v>0</v>
      </c>
      <c r="F33" s="1093">
        <f>D33-E33</f>
        <v>3338</v>
      </c>
      <c r="G33" s="1093">
        <f>'EXHIBIT B'!B20</f>
        <v>30</v>
      </c>
      <c r="H33" s="1094">
        <f>ROUND(+F33*G33,0)</f>
        <v>100140</v>
      </c>
    </row>
    <row r="34" spans="1:8" ht="20.100000000000001" customHeight="1">
      <c r="A34" s="985" t="s">
        <v>322</v>
      </c>
      <c r="B34" s="985" t="s">
        <v>318</v>
      </c>
      <c r="C34" s="1091">
        <v>40180</v>
      </c>
      <c r="D34" s="1092">
        <v>0</v>
      </c>
      <c r="E34" s="1092">
        <v>0</v>
      </c>
      <c r="F34" s="1093">
        <f>D34-E34</f>
        <v>0</v>
      </c>
      <c r="G34" s="1093">
        <f>'EXHIBIT B'!B22</f>
        <v>0</v>
      </c>
      <c r="H34" s="1094">
        <f>ROUND(+F34*G34,0)</f>
        <v>0</v>
      </c>
    </row>
    <row r="35" spans="1:8" ht="20.100000000000001" customHeight="1" thickBot="1">
      <c r="A35" s="1059" t="s">
        <v>322</v>
      </c>
      <c r="B35" s="1059" t="s">
        <v>320</v>
      </c>
      <c r="C35" s="1103">
        <v>40190</v>
      </c>
      <c r="D35" s="1104">
        <v>0</v>
      </c>
      <c r="E35" s="1104">
        <v>0</v>
      </c>
      <c r="F35" s="1105">
        <f>D35-E35</f>
        <v>0</v>
      </c>
      <c r="G35" s="1105">
        <f>'EXHIBIT B'!B23</f>
        <v>0</v>
      </c>
      <c r="H35" s="1106">
        <f>ROUND(+F35*G35,0)</f>
        <v>0</v>
      </c>
    </row>
    <row r="36" spans="1:8" ht="20.100000000000001" customHeight="1" thickBot="1">
      <c r="A36" s="322"/>
      <c r="B36" s="297" t="s">
        <v>323</v>
      </c>
      <c r="C36" s="297"/>
      <c r="D36" s="323">
        <f>SUM(D32:D35)</f>
        <v>3338</v>
      </c>
      <c r="E36" s="323">
        <f>SUM(E32:E35)</f>
        <v>0</v>
      </c>
      <c r="F36" s="324">
        <f>D36-E36</f>
        <v>3338</v>
      </c>
      <c r="G36" s="324"/>
      <c r="H36" s="325">
        <f>SUM(H32:H35)</f>
        <v>100140</v>
      </c>
    </row>
    <row r="37" spans="1:8" ht="24.95" customHeight="1" thickBot="1">
      <c r="A37" s="326"/>
      <c r="B37" s="327"/>
      <c r="C37" s="327"/>
      <c r="D37" s="327"/>
      <c r="E37" s="327"/>
      <c r="F37" s="327"/>
    </row>
    <row r="38" spans="1:8" ht="88.35" customHeight="1" thickBot="1">
      <c r="A38" s="328" t="s">
        <v>324</v>
      </c>
      <c r="B38" s="329" t="s">
        <v>292</v>
      </c>
      <c r="C38" s="312" t="s">
        <v>293</v>
      </c>
      <c r="D38" s="330" t="s">
        <v>314</v>
      </c>
      <c r="E38" s="330" t="s">
        <v>316</v>
      </c>
      <c r="F38" s="312" t="s">
        <v>298</v>
      </c>
      <c r="G38" s="19"/>
      <c r="H38" s="19"/>
    </row>
    <row r="39" spans="1:8" ht="20.100000000000001" customHeight="1">
      <c r="A39" s="558" t="s">
        <v>317</v>
      </c>
      <c r="B39" s="558" t="s">
        <v>318</v>
      </c>
      <c r="C39" s="559">
        <v>40380</v>
      </c>
      <c r="D39" s="560">
        <v>0</v>
      </c>
      <c r="E39" s="561">
        <f>'EXHIBIT B'!B34</f>
        <v>30</v>
      </c>
      <c r="F39" s="562">
        <f>D39*E39</f>
        <v>0</v>
      </c>
    </row>
    <row r="40" spans="1:8" ht="20.100000000000001" customHeight="1">
      <c r="A40" s="985" t="s">
        <v>317</v>
      </c>
      <c r="B40" s="985" t="s">
        <v>320</v>
      </c>
      <c r="C40" s="1091">
        <v>40390</v>
      </c>
      <c r="D40" s="1092">
        <v>0</v>
      </c>
      <c r="E40" s="1093">
        <f>'EXHIBIT B'!B35</f>
        <v>30</v>
      </c>
      <c r="F40" s="1094">
        <f>D40*E40</f>
        <v>0</v>
      </c>
    </row>
    <row r="41" spans="1:8" ht="20.100000000000001" customHeight="1">
      <c r="A41" s="985" t="s">
        <v>322</v>
      </c>
      <c r="B41" s="985" t="s">
        <v>318</v>
      </c>
      <c r="C41" s="1091" t="s">
        <v>325</v>
      </c>
      <c r="D41" s="1092">
        <v>0</v>
      </c>
      <c r="E41" s="1093">
        <f>'EXHIBIT B'!B37</f>
        <v>0</v>
      </c>
      <c r="F41" s="1094">
        <f>D41*E41</f>
        <v>0</v>
      </c>
    </row>
    <row r="42" spans="1:8" ht="20.100000000000001" customHeight="1" thickBot="1">
      <c r="A42" s="1059" t="s">
        <v>322</v>
      </c>
      <c r="B42" s="1059" t="s">
        <v>320</v>
      </c>
      <c r="C42" s="1103" t="s">
        <v>326</v>
      </c>
      <c r="D42" s="1104">
        <v>0</v>
      </c>
      <c r="E42" s="1105">
        <f>'EXHIBIT B'!B38</f>
        <v>0</v>
      </c>
      <c r="F42" s="1106">
        <f>D42*E42</f>
        <v>0</v>
      </c>
    </row>
    <row r="43" spans="1:8" ht="20.100000000000001" customHeight="1" thickBot="1">
      <c r="A43" s="331"/>
      <c r="B43" s="318" t="s">
        <v>304</v>
      </c>
      <c r="C43" s="318"/>
      <c r="D43" s="319">
        <f>SUM(D39:D42)</f>
        <v>0</v>
      </c>
      <c r="E43" s="332"/>
      <c r="F43" s="333">
        <f>SUM(F39:F42)</f>
        <v>0</v>
      </c>
    </row>
    <row r="44" spans="1:8" ht="20.100000000000001" customHeight="1" thickBot="1">
      <c r="A44" s="334" t="s">
        <v>327</v>
      </c>
      <c r="B44" s="318"/>
      <c r="C44" s="318"/>
      <c r="D44" s="318"/>
      <c r="E44" s="318"/>
      <c r="F44" s="318"/>
      <c r="G44" s="297"/>
      <c r="H44" s="563">
        <f>H36+F43</f>
        <v>100140</v>
      </c>
    </row>
    <row r="45" spans="1:8" ht="20.100000000000001" customHeight="1" thickBot="1">
      <c r="A45" s="314"/>
      <c r="B45" s="314"/>
      <c r="C45" s="314"/>
      <c r="D45" s="314"/>
      <c r="E45" s="314"/>
      <c r="F45" s="314"/>
      <c r="G45" s="314"/>
      <c r="H45" s="315"/>
    </row>
    <row r="46" spans="1:8" ht="20.100000000000001" customHeight="1" thickBot="1">
      <c r="A46" s="318" t="s">
        <v>328</v>
      </c>
      <c r="B46" s="318"/>
      <c r="C46" s="318"/>
      <c r="D46" s="318"/>
      <c r="E46" s="318"/>
      <c r="F46" s="318"/>
      <c r="G46" s="335"/>
      <c r="H46" s="320">
        <f>H27+H44</f>
        <v>24807206</v>
      </c>
    </row>
    <row r="47" spans="1:8" ht="24.75" customHeight="1">
      <c r="A47" s="778"/>
      <c r="B47" s="778"/>
      <c r="C47" s="778"/>
      <c r="D47" s="778"/>
      <c r="E47" s="778"/>
      <c r="F47" s="778"/>
      <c r="G47" s="336"/>
      <c r="H47" s="336"/>
    </row>
    <row r="48" spans="1:8" ht="24.95" customHeight="1">
      <c r="A48" s="28" t="s">
        <v>329</v>
      </c>
      <c r="H48" s="19"/>
    </row>
    <row r="49" spans="1:10" ht="24.95" customHeight="1">
      <c r="A49" s="28"/>
    </row>
    <row r="50" spans="1:10" ht="43.35" customHeight="1" thickBot="1">
      <c r="A50" s="851" t="s">
        <v>330</v>
      </c>
      <c r="B50" s="851"/>
    </row>
    <row r="51" spans="1:10" ht="44.45" customHeight="1" thickBot="1">
      <c r="A51" s="293" t="s">
        <v>331</v>
      </c>
      <c r="B51" s="293" t="s">
        <v>332</v>
      </c>
      <c r="C51" s="852" t="s">
        <v>333</v>
      </c>
      <c r="D51" s="853"/>
      <c r="E51" s="852" t="s">
        <v>334</v>
      </c>
      <c r="F51" s="853"/>
    </row>
    <row r="52" spans="1:10" ht="24.95" customHeight="1" thickBot="1">
      <c r="A52" s="294"/>
      <c r="B52" s="295"/>
      <c r="C52" s="564"/>
      <c r="D52" s="565"/>
      <c r="E52" s="564"/>
      <c r="F52" s="565"/>
    </row>
    <row r="53" spans="1:10" ht="24.95" customHeight="1" thickBot="1">
      <c r="A53" s="300" t="s">
        <v>191</v>
      </c>
      <c r="B53" s="296"/>
      <c r="C53" s="566"/>
      <c r="D53" s="567"/>
      <c r="E53" s="566"/>
      <c r="F53" s="567"/>
    </row>
    <row r="54" spans="1:10" ht="24.95" customHeight="1">
      <c r="A54" s="1163" t="s">
        <v>335</v>
      </c>
      <c r="B54" s="1107">
        <v>0</v>
      </c>
      <c r="C54" s="900"/>
      <c r="D54" s="901"/>
      <c r="E54" s="900"/>
      <c r="F54" s="901"/>
    </row>
    <row r="55" spans="1:10" ht="24.95" customHeight="1">
      <c r="A55" s="1108"/>
      <c r="B55" s="1092">
        <v>0</v>
      </c>
      <c r="C55" s="902"/>
      <c r="D55" s="903"/>
      <c r="E55" s="902"/>
      <c r="F55" s="903"/>
      <c r="J55" s="92"/>
    </row>
    <row r="56" spans="1:10" ht="24.95" customHeight="1">
      <c r="A56" s="1108"/>
      <c r="B56" s="1092">
        <v>0</v>
      </c>
      <c r="C56" s="902"/>
      <c r="D56" s="903"/>
      <c r="E56" s="902"/>
      <c r="F56" s="903"/>
    </row>
    <row r="57" spans="1:10" ht="24.95" customHeight="1">
      <c r="A57" s="1108"/>
      <c r="B57" s="1092">
        <v>0</v>
      </c>
      <c r="C57" s="902"/>
      <c r="D57" s="903"/>
      <c r="E57" s="902"/>
      <c r="F57" s="903"/>
    </row>
    <row r="58" spans="1:10" ht="24.95" customHeight="1">
      <c r="A58" s="1108"/>
      <c r="B58" s="1092">
        <v>0</v>
      </c>
      <c r="C58" s="902"/>
      <c r="D58" s="903"/>
      <c r="E58" s="902"/>
      <c r="F58" s="903"/>
    </row>
    <row r="59" spans="1:10" ht="24.95" customHeight="1" thickBot="1">
      <c r="A59" s="1109"/>
      <c r="B59" s="1110">
        <v>0</v>
      </c>
      <c r="C59" s="904"/>
      <c r="D59" s="905"/>
      <c r="E59" s="906"/>
      <c r="F59" s="907"/>
    </row>
    <row r="60" spans="1:10" ht="24.95" customHeight="1" thickBot="1">
      <c r="A60" s="297" t="s">
        <v>336</v>
      </c>
      <c r="B60" s="298">
        <f>SUM(B54:B59)</f>
        <v>0</v>
      </c>
      <c r="C60" s="908"/>
      <c r="D60" s="909"/>
      <c r="E60" s="908"/>
      <c r="F60" s="909"/>
    </row>
    <row r="61" spans="1:10" ht="24.95" customHeight="1" thickBot="1">
      <c r="A61" s="299"/>
      <c r="B61" s="299"/>
      <c r="C61" s="568"/>
      <c r="D61" s="569"/>
      <c r="E61" s="568"/>
      <c r="F61" s="569"/>
    </row>
    <row r="62" spans="1:10" ht="24.95" customHeight="1" thickBot="1">
      <c r="A62" s="300" t="s">
        <v>188</v>
      </c>
      <c r="B62" s="296"/>
      <c r="C62" s="566"/>
      <c r="D62" s="567"/>
      <c r="E62" s="566"/>
      <c r="F62" s="567"/>
    </row>
    <row r="63" spans="1:10" ht="24.95" customHeight="1">
      <c r="A63" s="1163" t="s">
        <v>337</v>
      </c>
      <c r="B63" s="1164">
        <v>129322</v>
      </c>
      <c r="C63" s="900">
        <v>3</v>
      </c>
      <c r="D63" s="901"/>
      <c r="E63" s="900">
        <v>1</v>
      </c>
      <c r="F63" s="901"/>
    </row>
    <row r="64" spans="1:10" ht="24.95" customHeight="1">
      <c r="A64" s="1108" t="s">
        <v>338</v>
      </c>
      <c r="B64" s="1092">
        <v>85284</v>
      </c>
      <c r="C64" s="902">
        <v>3</v>
      </c>
      <c r="D64" s="903"/>
      <c r="E64" s="902">
        <v>1</v>
      </c>
      <c r="F64" s="903"/>
    </row>
    <row r="65" spans="1:6" ht="24.95" customHeight="1">
      <c r="A65" s="1108" t="s">
        <v>339</v>
      </c>
      <c r="B65" s="1092">
        <v>56316</v>
      </c>
      <c r="C65" s="902">
        <v>3</v>
      </c>
      <c r="D65" s="903"/>
      <c r="E65" s="902">
        <v>1</v>
      </c>
      <c r="F65" s="903"/>
    </row>
    <row r="66" spans="1:6" ht="24.95" customHeight="1">
      <c r="A66" s="1108"/>
      <c r="B66" s="1092">
        <v>0</v>
      </c>
      <c r="C66" s="902"/>
      <c r="D66" s="903"/>
      <c r="E66" s="902"/>
      <c r="F66" s="903"/>
    </row>
    <row r="67" spans="1:6" ht="24.95" customHeight="1">
      <c r="A67" s="1108"/>
      <c r="B67" s="1092">
        <v>0</v>
      </c>
      <c r="C67" s="902"/>
      <c r="D67" s="903"/>
      <c r="E67" s="902"/>
      <c r="F67" s="903"/>
    </row>
    <row r="68" spans="1:6" ht="24.95" customHeight="1" thickBot="1">
      <c r="A68" s="1109"/>
      <c r="B68" s="1110">
        <v>0</v>
      </c>
      <c r="C68" s="906"/>
      <c r="D68" s="907"/>
      <c r="E68" s="906"/>
      <c r="F68" s="907"/>
    </row>
    <row r="69" spans="1:6" ht="24.95" customHeight="1" thickBot="1">
      <c r="A69" s="297" t="s">
        <v>340</v>
      </c>
      <c r="B69" s="298">
        <f>SUM(B63:B68)</f>
        <v>270922</v>
      </c>
      <c r="C69" s="910"/>
      <c r="D69" s="911"/>
      <c r="E69" s="910"/>
      <c r="F69" s="911"/>
    </row>
    <row r="70" spans="1:6" ht="24.95" customHeight="1" thickBot="1">
      <c r="A70" s="297" t="s">
        <v>341</v>
      </c>
      <c r="B70" s="298">
        <f>+B69+B60</f>
        <v>270922</v>
      </c>
      <c r="C70" s="910"/>
      <c r="D70" s="911"/>
      <c r="E70" s="912"/>
      <c r="F70" s="913"/>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 right="0" top="0" bottom="0" header="0" footer="0"/>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topLeftCell="A7" zoomScale="60" zoomScaleNormal="60" zoomScaleSheetLayoutView="70" zoomScalePageLayoutView="60" workbookViewId="0">
      <selection activeCell="A33" sqref="A33"/>
    </sheetView>
  </sheetViews>
  <sheetFormatPr defaultColWidth="9.140625" defaultRowHeight="12.75"/>
  <cols>
    <col min="1" max="1" width="31.28515625" style="181" customWidth="1"/>
    <col min="2" max="2" width="100.42578125" style="181" customWidth="1"/>
    <col min="3" max="3" width="18.7109375" style="181" customWidth="1"/>
    <col min="4" max="4" width="25.7109375" style="181" customWidth="1"/>
    <col min="5" max="5" width="21.42578125" style="181" customWidth="1"/>
    <col min="6" max="6" width="6.85546875" style="181" customWidth="1"/>
    <col min="7" max="7" width="9.140625" style="181"/>
    <col min="8" max="8" width="59" style="181" customWidth="1"/>
    <col min="9" max="9" width="13.7109375" style="181" customWidth="1"/>
    <col min="10" max="10" width="12.7109375" style="181" bestFit="1" customWidth="1"/>
    <col min="11" max="11" width="14" style="181" customWidth="1"/>
    <col min="12" max="28" width="12.7109375" style="181" customWidth="1"/>
    <col min="29" max="29" width="11" style="181" customWidth="1"/>
    <col min="30" max="30" width="12.7109375" style="181" customWidth="1"/>
    <col min="31" max="31" width="12.42578125" style="181" customWidth="1"/>
    <col min="32" max="32" width="11.42578125" style="181" customWidth="1"/>
    <col min="33" max="33" width="2.28515625" style="181" customWidth="1"/>
    <col min="34" max="34" width="20.140625" style="181" customWidth="1"/>
    <col min="35" max="35" width="6" style="181" customWidth="1"/>
    <col min="36" max="36" width="14.42578125" style="181" customWidth="1"/>
    <col min="37" max="37" width="13.7109375" style="181" customWidth="1"/>
    <col min="38" max="38" width="2.140625" style="181" customWidth="1"/>
    <col min="39" max="40" width="9.140625" style="181"/>
    <col min="41" max="41" width="11.28515625" style="181" customWidth="1"/>
    <col min="42" max="42" width="11.42578125" style="181" customWidth="1"/>
    <col min="43" max="43" width="11" style="181" customWidth="1"/>
    <col min="44" max="44" width="11.140625" style="181" customWidth="1"/>
    <col min="45" max="16384" width="9.140625" style="181"/>
  </cols>
  <sheetData>
    <row r="1" spans="1:47" s="17" customFormat="1" ht="24" customHeight="1">
      <c r="A1" s="291"/>
      <c r="B1" s="291"/>
      <c r="C1" s="291"/>
      <c r="D1" s="291"/>
      <c r="E1" s="341" t="s">
        <v>342</v>
      </c>
      <c r="F1" s="291"/>
    </row>
    <row r="2" spans="1:47" s="17" customFormat="1" ht="24" customHeight="1">
      <c r="A2" s="291"/>
      <c r="B2" s="291"/>
      <c r="C2" s="291"/>
      <c r="D2" s="291"/>
      <c r="E2" s="291"/>
      <c r="F2" s="291"/>
    </row>
    <row r="3" spans="1:47" s="17" customFormat="1" ht="24" customHeight="1">
      <c r="A3" s="843" t="s">
        <v>10</v>
      </c>
      <c r="B3" s="843"/>
      <c r="C3" s="843"/>
      <c r="D3" s="843"/>
      <c r="E3" s="843"/>
      <c r="F3" s="291"/>
    </row>
    <row r="4" spans="1:47" s="17" customFormat="1" ht="23.45" customHeight="1">
      <c r="A4" s="843" t="s">
        <v>343</v>
      </c>
      <c r="B4" s="843"/>
      <c r="C4" s="843"/>
      <c r="D4" s="843"/>
      <c r="E4" s="843"/>
      <c r="F4" s="291"/>
    </row>
    <row r="5" spans="1:47" s="17" customFormat="1" ht="23.1" customHeight="1">
      <c r="A5" s="843"/>
      <c r="B5" s="843"/>
      <c r="C5" s="843"/>
      <c r="D5" s="843"/>
      <c r="E5" s="843"/>
      <c r="F5" s="291"/>
    </row>
    <row r="6" spans="1:47" s="17" customFormat="1" ht="24.95" customHeight="1">
      <c r="A6" s="845"/>
      <c r="B6" s="845"/>
      <c r="C6" s="845"/>
      <c r="D6" s="845"/>
      <c r="E6" s="845"/>
      <c r="F6" s="291"/>
    </row>
    <row r="7" spans="1:47" s="17" customFormat="1" ht="24.95" customHeight="1" thickBot="1">
      <c r="A7" s="843" t="s">
        <v>289</v>
      </c>
      <c r="B7" s="846" t="str">
        <f>'CHECK SHEET'!D7</f>
        <v>Seminole State College of Florida</v>
      </c>
      <c r="C7" s="846"/>
      <c r="D7" s="846"/>
      <c r="E7" s="846"/>
      <c r="F7" s="774"/>
    </row>
    <row r="8" spans="1:47" s="17" customFormat="1" ht="24.95" customHeight="1">
      <c r="A8" s="854"/>
      <c r="B8" s="854"/>
      <c r="C8" s="854"/>
      <c r="D8" s="854"/>
      <c r="E8" s="854"/>
    </row>
    <row r="9" spans="1:47" s="17" customFormat="1" ht="24.95" customHeight="1">
      <c r="A9" s="855"/>
      <c r="B9" s="855"/>
      <c r="C9" s="855"/>
      <c r="D9" s="855"/>
      <c r="E9" s="855"/>
    </row>
    <row r="10" spans="1:47" s="17" customFormat="1" ht="42.6" customHeight="1">
      <c r="A10" s="856" t="s">
        <v>344</v>
      </c>
      <c r="B10" s="856"/>
      <c r="C10" s="856"/>
      <c r="D10" s="856"/>
      <c r="E10" s="856"/>
    </row>
    <row r="11" spans="1:47" ht="24.95" customHeight="1" thickBot="1">
      <c r="A11" s="180"/>
      <c r="B11" s="180"/>
      <c r="C11" s="180"/>
      <c r="D11" s="180"/>
      <c r="E11" s="180"/>
      <c r="AT11" s="180"/>
      <c r="AU11" s="180"/>
    </row>
    <row r="12" spans="1:47" ht="78" customHeight="1" thickBot="1">
      <c r="A12" s="425" t="s">
        <v>345</v>
      </c>
      <c r="B12" s="425" t="s">
        <v>292</v>
      </c>
      <c r="C12" s="426" t="s">
        <v>346</v>
      </c>
      <c r="D12" s="426" t="s">
        <v>347</v>
      </c>
      <c r="E12" s="426" t="s">
        <v>348</v>
      </c>
    </row>
    <row r="13" spans="1:47" ht="24" customHeight="1">
      <c r="A13" s="427" t="s">
        <v>269</v>
      </c>
      <c r="B13" s="427" t="s">
        <v>299</v>
      </c>
      <c r="C13" s="428">
        <v>40101</v>
      </c>
      <c r="D13" s="570">
        <v>0</v>
      </c>
      <c r="E13" s="570">
        <v>0</v>
      </c>
    </row>
    <row r="14" spans="1:47" ht="24.95" customHeight="1">
      <c r="A14" s="1111" t="s">
        <v>269</v>
      </c>
      <c r="B14" s="1111" t="s">
        <v>173</v>
      </c>
      <c r="C14" s="1112" t="s">
        <v>300</v>
      </c>
      <c r="D14" s="450">
        <v>0</v>
      </c>
      <c r="E14" s="450">
        <v>0</v>
      </c>
    </row>
    <row r="15" spans="1:47" ht="24.95" customHeight="1">
      <c r="A15" s="1111" t="s">
        <v>269</v>
      </c>
      <c r="B15" s="1111" t="s">
        <v>174</v>
      </c>
      <c r="C15" s="1112" t="s">
        <v>301</v>
      </c>
      <c r="D15" s="450">
        <v>0</v>
      </c>
      <c r="E15" s="450">
        <v>0</v>
      </c>
    </row>
    <row r="16" spans="1:47" ht="24.95" customHeight="1">
      <c r="A16" s="1111" t="s">
        <v>269</v>
      </c>
      <c r="B16" s="1111" t="s">
        <v>115</v>
      </c>
      <c r="C16" s="1112" t="s">
        <v>302</v>
      </c>
      <c r="D16" s="450">
        <v>0</v>
      </c>
      <c r="E16" s="450">
        <v>0</v>
      </c>
    </row>
    <row r="17" spans="1:5" ht="24.95" customHeight="1">
      <c r="A17" s="1111" t="s">
        <v>269</v>
      </c>
      <c r="B17" s="1111" t="s">
        <v>175</v>
      </c>
      <c r="C17" s="1112" t="s">
        <v>303</v>
      </c>
      <c r="D17" s="451">
        <v>0</v>
      </c>
      <c r="E17" s="451">
        <v>0</v>
      </c>
    </row>
    <row r="18" spans="1:5" ht="24.95" customHeight="1" thickBot="1">
      <c r="A18" s="1111" t="s">
        <v>269</v>
      </c>
      <c r="B18" s="1111" t="s">
        <v>176</v>
      </c>
      <c r="C18" s="1112">
        <v>40160</v>
      </c>
      <c r="D18" s="452">
        <v>0</v>
      </c>
      <c r="E18" s="452">
        <v>0</v>
      </c>
    </row>
    <row r="19" spans="1:5" ht="24.95" customHeight="1" thickBot="1">
      <c r="A19" s="429"/>
      <c r="B19" s="496"/>
      <c r="C19" s="497"/>
      <c r="D19" s="914"/>
      <c r="E19" s="915"/>
    </row>
    <row r="20" spans="1:5" ht="24.95" customHeight="1" thickBot="1">
      <c r="A20" s="1113"/>
      <c r="B20" s="1113" t="s">
        <v>304</v>
      </c>
      <c r="C20" s="1113"/>
      <c r="D20" s="1113"/>
      <c r="E20" s="1114">
        <f>SUM(E13:E18)</f>
        <v>0</v>
      </c>
    </row>
    <row r="21" spans="1:5" ht="78" customHeight="1" thickBot="1">
      <c r="A21" s="425" t="s">
        <v>345</v>
      </c>
      <c r="B21" s="425" t="s">
        <v>292</v>
      </c>
      <c r="C21" s="426" t="s">
        <v>346</v>
      </c>
      <c r="D21" s="426" t="s">
        <v>349</v>
      </c>
      <c r="E21" s="426" t="s">
        <v>348</v>
      </c>
    </row>
    <row r="22" spans="1:5" s="178" customFormat="1" ht="24.95" customHeight="1">
      <c r="A22" s="571" t="s">
        <v>284</v>
      </c>
      <c r="B22" s="178" t="s">
        <v>299</v>
      </c>
      <c r="C22" s="498">
        <v>40301</v>
      </c>
      <c r="D22" s="570">
        <v>0</v>
      </c>
      <c r="E22" s="570">
        <v>0</v>
      </c>
    </row>
    <row r="23" spans="1:5" s="178" customFormat="1" ht="24.95" customHeight="1">
      <c r="A23" s="1111" t="s">
        <v>284</v>
      </c>
      <c r="B23" s="613" t="s">
        <v>173</v>
      </c>
      <c r="C23" s="1115" t="s">
        <v>307</v>
      </c>
      <c r="D23" s="1116">
        <v>0</v>
      </c>
      <c r="E23" s="1116">
        <v>0</v>
      </c>
    </row>
    <row r="24" spans="1:5" s="178" customFormat="1" ht="24.95" customHeight="1">
      <c r="A24" s="1111" t="s">
        <v>284</v>
      </c>
      <c r="B24" s="613" t="s">
        <v>174</v>
      </c>
      <c r="C24" s="1115" t="s">
        <v>308</v>
      </c>
      <c r="D24" s="1116">
        <v>0</v>
      </c>
      <c r="E24" s="1116">
        <v>0</v>
      </c>
    </row>
    <row r="25" spans="1:5" s="178" customFormat="1" ht="24.95" customHeight="1">
      <c r="A25" s="1111" t="s">
        <v>284</v>
      </c>
      <c r="B25" s="613" t="s">
        <v>115</v>
      </c>
      <c r="C25" s="1115" t="s">
        <v>309</v>
      </c>
      <c r="D25" s="1116">
        <v>0</v>
      </c>
      <c r="E25" s="1116">
        <v>0</v>
      </c>
    </row>
    <row r="26" spans="1:5" s="178" customFormat="1" ht="24.95" customHeight="1">
      <c r="A26" s="1111" t="s">
        <v>284</v>
      </c>
      <c r="B26" s="613" t="s">
        <v>175</v>
      </c>
      <c r="C26" s="1115" t="s">
        <v>310</v>
      </c>
      <c r="D26" s="1116">
        <v>0</v>
      </c>
      <c r="E26" s="1116">
        <v>0</v>
      </c>
    </row>
    <row r="27" spans="1:5" s="178" customFormat="1" ht="24.95" customHeight="1" thickBot="1">
      <c r="A27" s="375" t="s">
        <v>284</v>
      </c>
      <c r="B27" s="178" t="s">
        <v>176</v>
      </c>
      <c r="C27" s="430">
        <v>40360</v>
      </c>
      <c r="D27" s="452">
        <v>0</v>
      </c>
      <c r="E27" s="453">
        <v>0</v>
      </c>
    </row>
    <row r="28" spans="1:5" ht="24.95" customHeight="1" thickBot="1">
      <c r="A28" s="499"/>
      <c r="B28" s="500"/>
      <c r="C28" s="499"/>
      <c r="D28" s="431"/>
      <c r="E28" s="501"/>
    </row>
    <row r="29" spans="1:5" ht="24.95" customHeight="1" thickBot="1">
      <c r="A29" s="572"/>
      <c r="B29" s="502" t="s">
        <v>304</v>
      </c>
      <c r="C29" s="432"/>
      <c r="D29" s="432"/>
      <c r="E29" s="503">
        <f>SUM(E22:E27)</f>
        <v>0</v>
      </c>
    </row>
    <row r="30" spans="1:5" ht="24.95" customHeight="1" thickBot="1">
      <c r="A30" s="432" t="s">
        <v>350</v>
      </c>
      <c r="B30" s="433"/>
      <c r="C30" s="434"/>
      <c r="D30" s="434"/>
      <c r="E30" s="435">
        <f>E20+E29</f>
        <v>0</v>
      </c>
    </row>
    <row r="31" spans="1:5" ht="24.95" customHeight="1">
      <c r="A31" s="180"/>
      <c r="B31" s="180"/>
      <c r="C31" s="180"/>
      <c r="D31" s="180"/>
      <c r="E31" s="180"/>
    </row>
    <row r="32" spans="1:5" ht="24.95" customHeight="1" thickBot="1">
      <c r="A32" s="16" t="s">
        <v>351</v>
      </c>
      <c r="B32" s="180"/>
      <c r="C32" s="180"/>
      <c r="D32" s="180"/>
      <c r="E32" s="180"/>
    </row>
    <row r="33" spans="1:5" ht="24.95" customHeight="1">
      <c r="A33" s="779"/>
      <c r="B33" s="780"/>
      <c r="C33" s="780"/>
      <c r="D33" s="780"/>
      <c r="E33" s="781"/>
    </row>
    <row r="34" spans="1:5" ht="24.95" customHeight="1">
      <c r="A34" s="782"/>
      <c r="B34" s="783"/>
      <c r="C34" s="783"/>
      <c r="D34" s="783"/>
      <c r="E34" s="784"/>
    </row>
    <row r="35" spans="1:5" ht="24.95" customHeight="1">
      <c r="A35" s="782"/>
      <c r="B35" s="783"/>
      <c r="C35" s="783"/>
      <c r="D35" s="783"/>
      <c r="E35" s="784"/>
    </row>
    <row r="36" spans="1:5" ht="24.95" customHeight="1">
      <c r="A36" s="782"/>
      <c r="B36" s="783"/>
      <c r="C36" s="783"/>
      <c r="D36" s="783"/>
      <c r="E36" s="784"/>
    </row>
    <row r="37" spans="1:5" ht="24.95" customHeight="1" thickBot="1">
      <c r="A37" s="785"/>
      <c r="B37" s="786"/>
      <c r="C37" s="786"/>
      <c r="D37" s="786"/>
      <c r="E37" s="787"/>
    </row>
    <row r="38" spans="1:5" ht="20.25" customHeight="1">
      <c r="A38" s="180"/>
      <c r="B38" s="180"/>
      <c r="C38" s="180"/>
      <c r="D38" s="180"/>
      <c r="E38" s="180"/>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6"/>
      <c r="AI59" s="436"/>
    </row>
    <row r="60" spans="34:35" ht="20.25" customHeight="1">
      <c r="AH60" s="436"/>
      <c r="AI60" s="436"/>
    </row>
    <row r="61" spans="34:35" ht="20.25" customHeight="1">
      <c r="AH61" s="436"/>
    </row>
    <row r="62" spans="34:35" ht="20.25" customHeight="1"/>
    <row r="63" spans="34:35" ht="20.25" customHeight="1">
      <c r="AH63" s="436"/>
      <c r="AI63" s="436"/>
    </row>
    <row r="64" spans="34:35" ht="20.25" customHeight="1">
      <c r="AH64" s="436"/>
      <c r="AI64" s="436"/>
    </row>
    <row r="65" spans="1:35" ht="20.25" customHeight="1">
      <c r="A65" s="180"/>
      <c r="B65" s="180"/>
      <c r="C65" s="180"/>
      <c r="D65" s="180"/>
      <c r="E65" s="180"/>
      <c r="AH65" s="436"/>
      <c r="AI65" s="436"/>
    </row>
    <row r="66" spans="1:35" ht="20.25" customHeight="1">
      <c r="A66" s="180"/>
      <c r="B66" s="180"/>
      <c r="C66" s="180"/>
      <c r="D66" s="180"/>
      <c r="E66" s="180"/>
    </row>
    <row r="67" spans="1:35" ht="20.25" customHeight="1">
      <c r="A67" s="180"/>
      <c r="B67" s="180"/>
      <c r="C67" s="180"/>
      <c r="D67" s="180"/>
      <c r="E67" s="180"/>
      <c r="AH67" s="436"/>
    </row>
    <row r="68" spans="1:35" ht="20.25" customHeight="1">
      <c r="A68" s="180"/>
      <c r="B68" s="180"/>
      <c r="C68" s="180"/>
      <c r="D68" s="180"/>
      <c r="E68" s="180"/>
      <c r="AH68" s="436"/>
      <c r="AI68" s="436"/>
    </row>
    <row r="69" spans="1:35" ht="20.25" customHeight="1">
      <c r="AH69" s="436"/>
      <c r="AI69" s="436"/>
    </row>
    <row r="70" spans="1:35" ht="20.25" customHeight="1">
      <c r="AH70" s="436"/>
    </row>
    <row r="71" spans="1:35" ht="20.25" customHeight="1">
      <c r="AH71" s="436"/>
    </row>
    <row r="72" spans="1:35" ht="20.25" customHeight="1">
      <c r="AH72" s="436"/>
    </row>
    <row r="73" spans="1:35" ht="20.25" customHeight="1">
      <c r="AH73" s="436"/>
      <c r="AI73" s="436"/>
    </row>
    <row r="74" spans="1:35" ht="20.25" customHeight="1"/>
    <row r="75" spans="1:35" ht="20.25" customHeight="1">
      <c r="AH75" s="436"/>
    </row>
    <row r="76" spans="1:35" ht="20.25" customHeight="1">
      <c r="AH76" s="436"/>
      <c r="AI76" s="436"/>
    </row>
    <row r="77" spans="1:35" ht="20.25" customHeight="1">
      <c r="AH77" s="436"/>
      <c r="AI77" s="436"/>
    </row>
    <row r="78" spans="1:35" ht="20.25" customHeight="1">
      <c r="AH78" s="436"/>
      <c r="AI78" s="436"/>
    </row>
    <row r="79" spans="1:35" ht="20.25" customHeight="1">
      <c r="AH79" s="436"/>
      <c r="AI79" s="436"/>
    </row>
    <row r="80" spans="1:35" ht="20.25" customHeight="1">
      <c r="AH80" s="436"/>
    </row>
    <row r="81" spans="3:35" ht="20.25" customHeight="1">
      <c r="AH81" s="436"/>
      <c r="AI81" s="436"/>
    </row>
    <row r="82" spans="3:35" ht="20.25" customHeight="1">
      <c r="AH82" s="436"/>
      <c r="AI82" s="436"/>
    </row>
    <row r="83" spans="3:35" ht="20.25" customHeight="1">
      <c r="AH83" s="436"/>
      <c r="AI83" s="436"/>
    </row>
    <row r="84" spans="3:35" ht="20.25" customHeight="1"/>
    <row r="85" spans="3:35" ht="20.25" customHeight="1">
      <c r="AH85" s="436"/>
      <c r="AI85" s="436"/>
    </row>
    <row r="86" spans="3:35" ht="18" customHeight="1">
      <c r="AH86" s="436"/>
      <c r="AI86" s="436"/>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1">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81"/>
  <sheetViews>
    <sheetView showGridLines="0" topLeftCell="A43" zoomScale="70" zoomScaleNormal="70" zoomScaleSheetLayoutView="70" zoomScalePageLayoutView="70" workbookViewId="0">
      <selection activeCell="G196" sqref="G196"/>
    </sheetView>
  </sheetViews>
  <sheetFormatPr defaultColWidth="9.140625" defaultRowHeight="18.75"/>
  <cols>
    <col min="1" max="1" width="57" style="178" customWidth="1"/>
    <col min="2" max="2" width="1.42578125" style="178" customWidth="1"/>
    <col min="3" max="3" width="21.28515625" style="178" customWidth="1"/>
    <col min="4" max="4" width="9.140625" style="178"/>
    <col min="5" max="5" width="49.42578125" style="178" customWidth="1"/>
    <col min="6" max="6" width="17" style="178" customWidth="1"/>
    <col min="7" max="7" width="25.42578125" style="178" customWidth="1"/>
    <col min="8" max="8" width="1.85546875" style="178" customWidth="1"/>
    <col min="9" max="9" width="11.7109375" style="178" bestFit="1" customWidth="1"/>
    <col min="10" max="10" width="15.42578125" style="178" bestFit="1" customWidth="1"/>
    <col min="11" max="16384" width="9.140625" style="178"/>
  </cols>
  <sheetData>
    <row r="1" spans="1:8" ht="26.25">
      <c r="A1" s="857"/>
      <c r="B1" s="857"/>
      <c r="C1" s="857"/>
      <c r="D1" s="857"/>
      <c r="E1" s="857"/>
      <c r="F1" s="857"/>
      <c r="G1" s="858"/>
    </row>
    <row r="2" spans="1:8" ht="30" customHeight="1" thickBot="1">
      <c r="A2" s="858" t="s">
        <v>237</v>
      </c>
      <c r="B2" s="846" t="str">
        <f>'CHECK SHEET'!D7</f>
        <v>Seminole State College of Florida</v>
      </c>
      <c r="C2" s="846"/>
      <c r="D2" s="846"/>
      <c r="E2" s="846"/>
      <c r="F2" s="846"/>
      <c r="G2" s="859"/>
    </row>
    <row r="3" spans="1:8" ht="23.1" customHeight="1">
      <c r="A3" s="843" t="s">
        <v>352</v>
      </c>
      <c r="B3" s="843"/>
      <c r="C3" s="843"/>
      <c r="D3" s="843"/>
      <c r="E3" s="843"/>
      <c r="F3" s="843"/>
      <c r="G3" s="843"/>
    </row>
    <row r="4" spans="1:8" ht="23.45" customHeight="1">
      <c r="A4" s="843" t="s">
        <v>353</v>
      </c>
      <c r="B4" s="843"/>
      <c r="C4" s="843"/>
      <c r="D4" s="843"/>
      <c r="E4" s="843"/>
      <c r="F4" s="843"/>
      <c r="G4" s="843"/>
    </row>
    <row r="5" spans="1:8" ht="23.45" customHeight="1">
      <c r="A5" s="843" t="s">
        <v>354</v>
      </c>
      <c r="B5" s="843"/>
      <c r="C5" s="843"/>
      <c r="D5" s="843"/>
      <c r="E5" s="843"/>
      <c r="F5" s="843"/>
      <c r="G5" s="843"/>
    </row>
    <row r="6" spans="1:8" ht="20.100000000000001" customHeight="1">
      <c r="A6" s="860"/>
      <c r="B6" s="860"/>
      <c r="C6" s="860"/>
      <c r="D6" s="860"/>
      <c r="E6" s="860"/>
      <c r="F6" s="860"/>
      <c r="G6" s="860"/>
    </row>
    <row r="7" spans="1:8" ht="38.450000000000003" customHeight="1">
      <c r="A7" s="861" t="s">
        <v>355</v>
      </c>
      <c r="B7" s="861"/>
      <c r="C7" s="861"/>
      <c r="D7" s="861"/>
      <c r="E7" s="861"/>
      <c r="F7" s="861"/>
      <c r="G7" s="861"/>
      <c r="H7" s="184"/>
    </row>
    <row r="8" spans="1:8" ht="20.100000000000001" customHeight="1">
      <c r="A8" s="183"/>
      <c r="B8" s="183"/>
      <c r="C8" s="183"/>
      <c r="D8" s="183"/>
      <c r="E8" s="183"/>
      <c r="F8" s="183"/>
      <c r="G8" s="183"/>
      <c r="H8" s="184"/>
    </row>
    <row r="9" spans="1:8" ht="76.349999999999994" customHeight="1">
      <c r="A9" s="524" t="s">
        <v>356</v>
      </c>
      <c r="B9" s="525" t="s">
        <v>357</v>
      </c>
      <c r="C9" s="525"/>
      <c r="D9" s="525"/>
      <c r="E9" s="525"/>
      <c r="F9" s="526" t="s">
        <v>346</v>
      </c>
      <c r="G9" s="527" t="s">
        <v>358</v>
      </c>
    </row>
    <row r="10" spans="1:8" ht="20.100000000000001" customHeight="1">
      <c r="A10" s="543" t="s">
        <v>291</v>
      </c>
      <c r="B10" s="544"/>
      <c r="C10" s="544"/>
      <c r="D10" s="544"/>
      <c r="E10" s="544"/>
      <c r="F10" s="545"/>
      <c r="G10" s="546"/>
    </row>
    <row r="11" spans="1:8" ht="20.100000000000001" customHeight="1">
      <c r="A11" s="507"/>
      <c r="B11" s="185"/>
      <c r="C11" s="185"/>
      <c r="D11" s="185"/>
      <c r="E11" s="185"/>
      <c r="F11" s="186"/>
      <c r="G11" s="187"/>
    </row>
    <row r="12" spans="1:8" ht="20.100000000000001" customHeight="1">
      <c r="A12" s="507" t="s">
        <v>269</v>
      </c>
      <c r="B12" s="185"/>
      <c r="C12" s="185" t="s">
        <v>299</v>
      </c>
      <c r="D12" s="185"/>
      <c r="E12" s="185"/>
      <c r="F12" s="188">
        <v>40101</v>
      </c>
      <c r="G12" s="189">
        <f>+'EXHIBIT C'!H10+'EXHIBIT C(2)'!E13</f>
        <v>2514128</v>
      </c>
    </row>
    <row r="13" spans="1:8" ht="20.100000000000001" customHeight="1">
      <c r="A13" s="507" t="s">
        <v>269</v>
      </c>
      <c r="B13" s="185"/>
      <c r="C13" s="178" t="s">
        <v>173</v>
      </c>
      <c r="D13" s="185"/>
      <c r="E13" s="185"/>
      <c r="F13" s="190" t="s">
        <v>300</v>
      </c>
      <c r="G13" s="189">
        <f>+'EXHIBIT C'!H11+'EXHIBIT C(2)'!E14</f>
        <v>14037291</v>
      </c>
    </row>
    <row r="14" spans="1:8" ht="20.100000000000001" customHeight="1">
      <c r="A14" s="507" t="s">
        <v>269</v>
      </c>
      <c r="B14" s="185"/>
      <c r="C14" s="185" t="s">
        <v>174</v>
      </c>
      <c r="D14" s="185"/>
      <c r="E14" s="185"/>
      <c r="F14" s="190" t="s">
        <v>301</v>
      </c>
      <c r="G14" s="528">
        <f>+'EXHIBIT C'!H12+'EXHIBIT C(2)'!E15</f>
        <v>6067269</v>
      </c>
    </row>
    <row r="15" spans="1:8" ht="20.100000000000001" customHeight="1">
      <c r="A15" s="507" t="s">
        <v>269</v>
      </c>
      <c r="B15" s="185"/>
      <c r="C15" s="191" t="s">
        <v>359</v>
      </c>
      <c r="D15" s="185"/>
      <c r="E15" s="185"/>
      <c r="F15" s="190" t="s">
        <v>302</v>
      </c>
      <c r="G15" s="528">
        <f>+'EXHIBIT C'!H13+'EXHIBIT C(2)'!E16</f>
        <v>335520</v>
      </c>
    </row>
    <row r="16" spans="1:8" ht="20.100000000000001" customHeight="1">
      <c r="A16" s="507" t="s">
        <v>269</v>
      </c>
      <c r="B16" s="185"/>
      <c r="C16" s="191" t="s">
        <v>360</v>
      </c>
      <c r="D16" s="185"/>
      <c r="E16" s="185"/>
      <c r="F16" s="190" t="s">
        <v>303</v>
      </c>
      <c r="G16" s="529">
        <f>+'EXHIBIT C'!H14+'EXHIBIT C(2)'!E17</f>
        <v>313535</v>
      </c>
    </row>
    <row r="17" spans="1:7" ht="20.100000000000001" customHeight="1">
      <c r="A17" s="507" t="s">
        <v>269</v>
      </c>
      <c r="B17" s="185"/>
      <c r="C17" s="178" t="s">
        <v>176</v>
      </c>
      <c r="D17" s="185"/>
      <c r="E17" s="185"/>
      <c r="F17" s="188">
        <v>40160</v>
      </c>
      <c r="G17" s="529">
        <f>+'EXHIBIT C'!H15+'EXHIBIT C(2)'!E18</f>
        <v>196259</v>
      </c>
    </row>
    <row r="18" spans="1:7" ht="20.100000000000001" customHeight="1">
      <c r="A18" s="507"/>
      <c r="B18" s="185"/>
      <c r="C18" s="185"/>
      <c r="D18" s="185"/>
      <c r="E18" s="185"/>
      <c r="F18" s="190"/>
      <c r="G18" s="192"/>
    </row>
    <row r="19" spans="1:7" ht="20.100000000000001" customHeight="1">
      <c r="A19" s="508" t="s">
        <v>361</v>
      </c>
      <c r="B19" s="185"/>
      <c r="C19" s="185"/>
      <c r="D19" s="185"/>
      <c r="E19" s="185"/>
      <c r="F19" s="190"/>
      <c r="G19" s="658">
        <f>SUM(G12:G17)</f>
        <v>23464002</v>
      </c>
    </row>
    <row r="20" spans="1:7" ht="20.100000000000001" customHeight="1">
      <c r="A20" s="507"/>
      <c r="B20" s="185"/>
      <c r="C20" s="185"/>
      <c r="D20" s="185"/>
      <c r="E20" s="185"/>
      <c r="F20" s="190"/>
      <c r="G20" s="193"/>
    </row>
    <row r="21" spans="1:7" ht="20.100000000000001" customHeight="1">
      <c r="A21" s="507" t="s">
        <v>284</v>
      </c>
      <c r="B21" s="185"/>
      <c r="C21" s="185" t="s">
        <v>299</v>
      </c>
      <c r="D21" s="185"/>
      <c r="E21" s="185"/>
      <c r="F21" s="188">
        <v>40301</v>
      </c>
      <c r="G21" s="194">
        <f>+'EXHIBIT C'!F19+'EXHIBIT C(2)'!E22</f>
        <v>102281</v>
      </c>
    </row>
    <row r="22" spans="1:7" ht="20.100000000000001" customHeight="1">
      <c r="A22" s="507" t="s">
        <v>284</v>
      </c>
      <c r="B22" s="185"/>
      <c r="C22" s="178" t="s">
        <v>173</v>
      </c>
      <c r="D22" s="185"/>
      <c r="E22" s="185"/>
      <c r="F22" s="190" t="s">
        <v>307</v>
      </c>
      <c r="G22" s="194">
        <f>+'EXHIBIT C'!F20+'EXHIBIT C(2)'!E23</f>
        <v>752674</v>
      </c>
    </row>
    <row r="23" spans="1:7" ht="20.100000000000001" customHeight="1">
      <c r="A23" s="507" t="s">
        <v>284</v>
      </c>
      <c r="B23" s="185"/>
      <c r="C23" s="185" t="s">
        <v>174</v>
      </c>
      <c r="D23" s="185"/>
      <c r="E23" s="185"/>
      <c r="F23" s="190" t="s">
        <v>308</v>
      </c>
      <c r="G23" s="199">
        <f>+'EXHIBIT C'!F21+'EXHIBIT C(2)'!E24</f>
        <v>298229</v>
      </c>
    </row>
    <row r="24" spans="1:7" ht="20.100000000000001" customHeight="1">
      <c r="A24" s="507" t="s">
        <v>284</v>
      </c>
      <c r="B24" s="185"/>
      <c r="C24" s="191" t="s">
        <v>359</v>
      </c>
      <c r="D24" s="185"/>
      <c r="E24" s="185"/>
      <c r="F24" s="190" t="s">
        <v>309</v>
      </c>
      <c r="G24" s="199">
        <f>+'EXHIBIT C'!F22+'EXHIBIT C(2)'!E25</f>
        <v>18873</v>
      </c>
    </row>
    <row r="25" spans="1:7" ht="20.100000000000001" customHeight="1">
      <c r="A25" s="507" t="s">
        <v>284</v>
      </c>
      <c r="B25" s="185"/>
      <c r="C25" s="191" t="s">
        <v>360</v>
      </c>
      <c r="D25" s="185"/>
      <c r="E25" s="185"/>
      <c r="F25" s="190" t="s">
        <v>310</v>
      </c>
      <c r="G25" s="199">
        <f>+'EXHIBIT C'!F23+'EXHIBIT C(2)'!E26</f>
        <v>71007</v>
      </c>
    </row>
    <row r="26" spans="1:7" ht="20.100000000000001" customHeight="1">
      <c r="A26" s="507" t="s">
        <v>284</v>
      </c>
      <c r="B26" s="185"/>
      <c r="C26" s="178" t="s">
        <v>176</v>
      </c>
      <c r="D26" s="185"/>
      <c r="E26" s="185"/>
      <c r="F26" s="188">
        <v>40360</v>
      </c>
      <c r="G26" s="199">
        <f>+'EXHIBIT C'!F24+'EXHIBIT C(2)'!E27</f>
        <v>0</v>
      </c>
    </row>
    <row r="27" spans="1:7" ht="20.100000000000001" customHeight="1">
      <c r="A27" s="507"/>
      <c r="B27" s="185"/>
      <c r="C27" s="185"/>
      <c r="D27" s="185"/>
      <c r="E27" s="185"/>
      <c r="F27" s="190"/>
      <c r="G27" s="195"/>
    </row>
    <row r="28" spans="1:7" ht="20.100000000000001" customHeight="1">
      <c r="A28" s="508" t="s">
        <v>362</v>
      </c>
      <c r="B28" s="185"/>
      <c r="C28" s="185"/>
      <c r="D28" s="185"/>
      <c r="E28" s="185"/>
      <c r="F28" s="190"/>
      <c r="G28" s="659">
        <f>SUM(G21:G26)</f>
        <v>1243064</v>
      </c>
    </row>
    <row r="29" spans="1:7" ht="20.100000000000001" customHeight="1">
      <c r="A29" s="507"/>
      <c r="B29" s="185"/>
      <c r="C29" s="185"/>
      <c r="D29" s="185"/>
      <c r="E29" s="185"/>
      <c r="F29" s="190"/>
      <c r="G29" s="196"/>
    </row>
    <row r="30" spans="1:7" ht="20.100000000000001" customHeight="1">
      <c r="A30" s="507" t="s">
        <v>363</v>
      </c>
      <c r="B30" s="185"/>
      <c r="C30" s="788" t="s">
        <v>318</v>
      </c>
      <c r="D30" s="788"/>
      <c r="E30" s="788"/>
      <c r="F30" s="190" t="s">
        <v>319</v>
      </c>
      <c r="G30" s="197">
        <f>'EXHIBIT C'!H32</f>
        <v>0</v>
      </c>
    </row>
    <row r="31" spans="1:7" ht="20.100000000000001" customHeight="1">
      <c r="A31" s="507" t="s">
        <v>363</v>
      </c>
      <c r="B31" s="185"/>
      <c r="C31" s="178" t="s">
        <v>320</v>
      </c>
      <c r="D31" s="185"/>
      <c r="E31" s="185"/>
      <c r="F31" s="190" t="s">
        <v>321</v>
      </c>
      <c r="G31" s="197">
        <f>'EXHIBIT C'!H33</f>
        <v>100140</v>
      </c>
    </row>
    <row r="32" spans="1:7" ht="20.100000000000001" customHeight="1">
      <c r="A32" s="507" t="s">
        <v>364</v>
      </c>
      <c r="B32" s="185"/>
      <c r="C32" s="185" t="s">
        <v>318</v>
      </c>
      <c r="D32" s="185"/>
      <c r="E32" s="185"/>
      <c r="F32" s="190" t="s">
        <v>319</v>
      </c>
      <c r="G32" s="197">
        <f>'EXHIBIT C'!H34</f>
        <v>0</v>
      </c>
    </row>
    <row r="33" spans="1:7" ht="20.100000000000001" customHeight="1">
      <c r="A33" s="507" t="s">
        <v>364</v>
      </c>
      <c r="B33" s="185"/>
      <c r="C33" s="178" t="s">
        <v>320</v>
      </c>
      <c r="D33" s="185"/>
      <c r="E33" s="185"/>
      <c r="F33" s="190" t="s">
        <v>321</v>
      </c>
      <c r="G33" s="197">
        <f>'EXHIBIT C'!H35</f>
        <v>0</v>
      </c>
    </row>
    <row r="34" spans="1:7" ht="20.100000000000001" customHeight="1">
      <c r="A34" s="507"/>
      <c r="B34" s="185"/>
      <c r="C34" s="185"/>
      <c r="D34" s="185"/>
      <c r="E34" s="185"/>
      <c r="F34" s="190"/>
      <c r="G34" s="198"/>
    </row>
    <row r="35" spans="1:7" ht="20.100000000000001" customHeight="1">
      <c r="A35" s="508" t="s">
        <v>365</v>
      </c>
      <c r="B35" s="185"/>
      <c r="C35" s="185"/>
      <c r="D35" s="185"/>
      <c r="E35" s="185"/>
      <c r="F35" s="190"/>
      <c r="G35" s="659">
        <f>SUM(G30:G33)</f>
        <v>100140</v>
      </c>
    </row>
    <row r="36" spans="1:7" ht="20.100000000000001" customHeight="1">
      <c r="A36" s="507"/>
      <c r="B36" s="185"/>
      <c r="C36" s="185"/>
      <c r="D36" s="185"/>
      <c r="E36" s="185"/>
      <c r="F36" s="190"/>
      <c r="G36" s="195"/>
    </row>
    <row r="37" spans="1:7" ht="20.100000000000001" customHeight="1">
      <c r="A37" s="507" t="s">
        <v>366</v>
      </c>
      <c r="B37" s="185"/>
      <c r="C37" s="185" t="s">
        <v>318</v>
      </c>
      <c r="D37" s="185"/>
      <c r="E37" s="185"/>
      <c r="F37" s="190" t="s">
        <v>325</v>
      </c>
      <c r="G37" s="199">
        <f>'EXHIBIT C'!F39</f>
        <v>0</v>
      </c>
    </row>
    <row r="38" spans="1:7" ht="20.100000000000001" customHeight="1">
      <c r="A38" s="507" t="s">
        <v>366</v>
      </c>
      <c r="B38" s="185"/>
      <c r="C38" s="789" t="s">
        <v>320</v>
      </c>
      <c r="D38" s="789"/>
      <c r="E38" s="789"/>
      <c r="F38" s="190" t="s">
        <v>326</v>
      </c>
      <c r="G38" s="199">
        <f>'EXHIBIT C'!F40</f>
        <v>0</v>
      </c>
    </row>
    <row r="39" spans="1:7" ht="20.100000000000001" customHeight="1">
      <c r="A39" s="507" t="s">
        <v>367</v>
      </c>
      <c r="B39" s="185"/>
      <c r="C39" s="185" t="s">
        <v>318</v>
      </c>
      <c r="D39" s="185"/>
      <c r="E39" s="185"/>
      <c r="F39" s="190" t="s">
        <v>325</v>
      </c>
      <c r="G39" s="199">
        <f>'EXHIBIT C'!F41</f>
        <v>0</v>
      </c>
    </row>
    <row r="40" spans="1:7" ht="20.100000000000001" customHeight="1">
      <c r="A40" s="507" t="s">
        <v>367</v>
      </c>
      <c r="B40" s="185"/>
      <c r="C40" s="789" t="s">
        <v>320</v>
      </c>
      <c r="D40" s="789"/>
      <c r="E40" s="789"/>
      <c r="F40" s="190" t="s">
        <v>326</v>
      </c>
      <c r="G40" s="199">
        <f>'EXHIBIT C'!F42</f>
        <v>0</v>
      </c>
    </row>
    <row r="41" spans="1:7" ht="20.100000000000001" customHeight="1">
      <c r="A41" s="507"/>
      <c r="B41" s="185"/>
      <c r="C41" s="185"/>
      <c r="D41" s="185"/>
      <c r="E41" s="185"/>
      <c r="F41" s="190"/>
      <c r="G41" s="195"/>
    </row>
    <row r="42" spans="1:7" ht="20.100000000000001" customHeight="1">
      <c r="A42" s="508" t="s">
        <v>368</v>
      </c>
      <c r="B42" s="185"/>
      <c r="C42" s="185"/>
      <c r="D42" s="185"/>
      <c r="E42" s="185"/>
      <c r="F42" s="190"/>
      <c r="G42" s="659">
        <f>SUM(G37:G41)</f>
        <v>0</v>
      </c>
    </row>
    <row r="43" spans="1:7" ht="20.100000000000001" customHeight="1">
      <c r="A43" s="507"/>
      <c r="B43" s="185"/>
      <c r="C43" s="185"/>
      <c r="D43" s="185"/>
      <c r="E43" s="185"/>
      <c r="F43" s="190"/>
      <c r="G43" s="196"/>
    </row>
    <row r="44" spans="1:7" ht="20.100000000000001" customHeight="1">
      <c r="A44" s="508" t="s">
        <v>369</v>
      </c>
      <c r="B44" s="185"/>
      <c r="C44" s="185"/>
      <c r="D44" s="185"/>
      <c r="E44" s="185"/>
      <c r="F44" s="190"/>
      <c r="G44" s="1165">
        <f>G19+G28+G35+G42</f>
        <v>24807206</v>
      </c>
    </row>
    <row r="45" spans="1:7" ht="20.100000000000001" customHeight="1">
      <c r="A45" s="507"/>
      <c r="B45" s="185"/>
      <c r="C45" s="185"/>
      <c r="D45" s="185"/>
      <c r="E45" s="185"/>
      <c r="F45" s="190"/>
      <c r="G45" s="195"/>
    </row>
    <row r="46" spans="1:7" ht="20.100000000000001" customHeight="1">
      <c r="A46" s="507" t="s">
        <v>370</v>
      </c>
      <c r="B46" s="185"/>
      <c r="C46" s="185"/>
      <c r="D46" s="185"/>
      <c r="E46" s="185"/>
      <c r="F46" s="190" t="s">
        <v>371</v>
      </c>
      <c r="G46" s="454">
        <v>0</v>
      </c>
    </row>
    <row r="47" spans="1:7" ht="20.100000000000001" customHeight="1">
      <c r="A47" s="507" t="s">
        <v>372</v>
      </c>
      <c r="B47" s="200"/>
      <c r="C47" s="200"/>
      <c r="D47" s="200"/>
      <c r="E47" s="200"/>
      <c r="F47" s="201" t="s">
        <v>373</v>
      </c>
      <c r="G47" s="454">
        <v>108000</v>
      </c>
    </row>
    <row r="48" spans="1:7" ht="20.100000000000001" customHeight="1">
      <c r="A48" s="507" t="s">
        <v>374</v>
      </c>
      <c r="C48" s="200"/>
      <c r="D48" s="200"/>
      <c r="E48" s="200"/>
      <c r="F48" s="201" t="s">
        <v>375</v>
      </c>
      <c r="G48" s="454">
        <v>0</v>
      </c>
    </row>
    <row r="49" spans="1:7" ht="20.100000000000001" customHeight="1">
      <c r="A49" s="507" t="s">
        <v>376</v>
      </c>
      <c r="B49" s="185"/>
      <c r="C49" s="185"/>
      <c r="D49" s="185"/>
      <c r="E49" s="185"/>
      <c r="F49" s="190" t="s">
        <v>377</v>
      </c>
      <c r="G49" s="454">
        <v>245136</v>
      </c>
    </row>
    <row r="50" spans="1:7" ht="20.100000000000001" customHeight="1">
      <c r="A50" s="507" t="s">
        <v>378</v>
      </c>
      <c r="B50" s="185"/>
      <c r="C50" s="185"/>
      <c r="D50" s="185"/>
      <c r="E50" s="185"/>
      <c r="F50" s="190" t="s">
        <v>379</v>
      </c>
      <c r="G50" s="454">
        <v>1100057</v>
      </c>
    </row>
    <row r="51" spans="1:7" ht="20.100000000000001" customHeight="1">
      <c r="A51" s="507" t="s">
        <v>380</v>
      </c>
      <c r="B51" s="185"/>
      <c r="C51" s="185"/>
      <c r="D51" s="185"/>
      <c r="E51" s="185"/>
      <c r="F51" s="188">
        <v>40450</v>
      </c>
      <c r="G51" s="454">
        <v>1688439</v>
      </c>
    </row>
    <row r="52" spans="1:7" ht="20.100000000000001" customHeight="1">
      <c r="A52" s="507" t="s">
        <v>381</v>
      </c>
      <c r="B52" s="185"/>
      <c r="C52" s="185"/>
      <c r="D52" s="185"/>
      <c r="E52" s="185"/>
      <c r="F52" s="190" t="s">
        <v>382</v>
      </c>
      <c r="G52" s="454">
        <v>0</v>
      </c>
    </row>
    <row r="53" spans="1:7" ht="20.100000000000001" customHeight="1">
      <c r="A53" s="507" t="s">
        <v>383</v>
      </c>
      <c r="B53" s="185"/>
      <c r="C53" s="185"/>
      <c r="D53" s="185"/>
      <c r="E53" s="185"/>
      <c r="F53" s="201" t="s">
        <v>384</v>
      </c>
      <c r="G53" s="454">
        <v>0</v>
      </c>
    </row>
    <row r="54" spans="1:7" ht="20.100000000000001" customHeight="1">
      <c r="A54" s="507" t="s">
        <v>385</v>
      </c>
      <c r="B54" s="185"/>
      <c r="C54" s="185"/>
      <c r="D54" s="185"/>
      <c r="E54" s="185"/>
      <c r="F54" s="190" t="s">
        <v>386</v>
      </c>
      <c r="G54" s="454">
        <v>1000</v>
      </c>
    </row>
    <row r="55" spans="1:7" ht="20.100000000000001" customHeight="1">
      <c r="A55" s="507" t="s">
        <v>387</v>
      </c>
      <c r="B55" s="185"/>
      <c r="C55" s="185"/>
      <c r="D55" s="185"/>
      <c r="E55" s="185"/>
      <c r="F55" s="201" t="s">
        <v>388</v>
      </c>
      <c r="G55" s="454">
        <v>0</v>
      </c>
    </row>
    <row r="56" spans="1:7" ht="20.100000000000001" customHeight="1">
      <c r="A56" s="507" t="s">
        <v>389</v>
      </c>
      <c r="B56" s="185"/>
      <c r="C56" s="185"/>
      <c r="D56" s="185"/>
      <c r="E56" s="185"/>
      <c r="F56" s="190" t="s">
        <v>390</v>
      </c>
      <c r="G56" s="454">
        <v>38000</v>
      </c>
    </row>
    <row r="57" spans="1:7" ht="20.100000000000001" customHeight="1">
      <c r="A57" s="507" t="s">
        <v>391</v>
      </c>
      <c r="B57" s="185"/>
      <c r="C57" s="185"/>
      <c r="D57" s="185"/>
      <c r="E57" s="185"/>
      <c r="F57" s="190" t="s">
        <v>392</v>
      </c>
      <c r="G57" s="454">
        <v>0</v>
      </c>
    </row>
    <row r="58" spans="1:7" ht="20.100000000000001" customHeight="1">
      <c r="A58" s="507" t="s">
        <v>393</v>
      </c>
      <c r="B58" s="185"/>
      <c r="C58" s="185"/>
      <c r="D58" s="185"/>
      <c r="E58" s="185"/>
      <c r="F58" s="202" t="s">
        <v>394</v>
      </c>
      <c r="G58" s="454">
        <v>1215770</v>
      </c>
    </row>
    <row r="59" spans="1:7" ht="20.100000000000001" customHeight="1">
      <c r="A59" s="507" t="s">
        <v>395</v>
      </c>
      <c r="B59" s="185"/>
      <c r="C59" s="185"/>
      <c r="D59" s="185"/>
      <c r="E59" s="185"/>
      <c r="F59" s="190" t="s">
        <v>396</v>
      </c>
      <c r="G59" s="454">
        <f>2160+210000+28000</f>
        <v>240160</v>
      </c>
    </row>
    <row r="60" spans="1:7" ht="20.100000000000001" customHeight="1">
      <c r="A60" s="507" t="s">
        <v>397</v>
      </c>
      <c r="B60" s="185"/>
      <c r="C60" s="185"/>
      <c r="D60" s="185"/>
      <c r="E60" s="185"/>
      <c r="F60" s="201" t="s">
        <v>398</v>
      </c>
      <c r="G60" s="454">
        <v>0</v>
      </c>
    </row>
    <row r="61" spans="1:7" ht="20.100000000000001" customHeight="1">
      <c r="A61" s="507" t="s">
        <v>399</v>
      </c>
      <c r="B61" s="185"/>
      <c r="C61" s="185"/>
      <c r="D61" s="185"/>
      <c r="E61" s="185"/>
      <c r="F61" s="201" t="s">
        <v>400</v>
      </c>
      <c r="G61" s="454">
        <v>0</v>
      </c>
    </row>
    <row r="62" spans="1:7" ht="20.100000000000001" customHeight="1">
      <c r="A62" s="507"/>
      <c r="B62" s="185"/>
      <c r="C62" s="185"/>
      <c r="D62" s="185"/>
      <c r="E62" s="185"/>
      <c r="F62" s="190"/>
      <c r="G62" s="660"/>
    </row>
    <row r="63" spans="1:7" ht="20.100000000000001" customHeight="1">
      <c r="A63" s="508" t="s">
        <v>401</v>
      </c>
      <c r="B63" s="185"/>
      <c r="C63" s="185"/>
      <c r="D63" s="185"/>
      <c r="E63" s="185"/>
      <c r="F63" s="190"/>
      <c r="G63" s="1166">
        <f>SUM(G44:G61)</f>
        <v>29443768</v>
      </c>
    </row>
    <row r="64" spans="1:7" ht="20.100000000000001" customHeight="1">
      <c r="A64" s="507"/>
      <c r="B64" s="185"/>
      <c r="C64" s="185"/>
      <c r="D64" s="185"/>
      <c r="E64" s="185"/>
      <c r="F64" s="190"/>
      <c r="G64" s="195"/>
    </row>
    <row r="65" spans="1:7" ht="20.100000000000001" customHeight="1">
      <c r="A65" s="1117" t="s">
        <v>402</v>
      </c>
      <c r="B65" s="790"/>
      <c r="C65" s="790"/>
      <c r="D65" s="790"/>
      <c r="E65" s="790"/>
      <c r="F65" s="791"/>
      <c r="G65" s="661"/>
    </row>
    <row r="66" spans="1:7" ht="20.100000000000001" customHeight="1">
      <c r="A66" s="507"/>
      <c r="B66" s="185"/>
      <c r="C66" s="185"/>
      <c r="D66" s="185"/>
      <c r="E66" s="185"/>
      <c r="F66" s="190"/>
      <c r="G66" s="195"/>
    </row>
    <row r="67" spans="1:7" ht="20.100000000000001" customHeight="1">
      <c r="A67" s="507" t="s">
        <v>403</v>
      </c>
      <c r="B67" s="185"/>
      <c r="C67" s="185"/>
      <c r="D67" s="185"/>
      <c r="E67" s="185"/>
      <c r="F67" s="190" t="s">
        <v>404</v>
      </c>
      <c r="G67" s="454">
        <v>0</v>
      </c>
    </row>
    <row r="68" spans="1:7" ht="20.100000000000001" customHeight="1">
      <c r="A68" s="507" t="s">
        <v>405</v>
      </c>
      <c r="B68" s="185"/>
      <c r="C68" s="185"/>
      <c r="D68" s="185"/>
      <c r="E68" s="185"/>
      <c r="F68" s="190" t="s">
        <v>406</v>
      </c>
      <c r="G68" s="454">
        <v>949000</v>
      </c>
    </row>
    <row r="69" spans="1:7" ht="20.100000000000001" customHeight="1">
      <c r="A69" s="507" t="s">
        <v>407</v>
      </c>
      <c r="B69" s="185"/>
      <c r="C69" s="185"/>
      <c r="D69" s="185"/>
      <c r="E69" s="185"/>
      <c r="F69" s="190" t="s">
        <v>408</v>
      </c>
      <c r="G69" s="454">
        <v>0</v>
      </c>
    </row>
    <row r="70" spans="1:7" ht="20.100000000000001" customHeight="1">
      <c r="A70" s="507"/>
      <c r="B70" s="185"/>
      <c r="C70" s="185"/>
      <c r="D70" s="185"/>
      <c r="E70" s="185"/>
      <c r="F70" s="190"/>
      <c r="G70" s="660"/>
    </row>
    <row r="71" spans="1:7" ht="20.100000000000001" customHeight="1">
      <c r="A71" s="508" t="s">
        <v>409</v>
      </c>
      <c r="B71" s="185"/>
      <c r="C71" s="185"/>
      <c r="D71" s="185"/>
      <c r="E71" s="185"/>
      <c r="F71" s="190"/>
      <c r="G71" s="227">
        <f>SUM(G67:G69)</f>
        <v>949000</v>
      </c>
    </row>
    <row r="72" spans="1:7" ht="20.100000000000001" customHeight="1">
      <c r="A72" s="1118"/>
      <c r="B72" s="582"/>
      <c r="C72" s="582"/>
      <c r="D72" s="582"/>
      <c r="E72" s="582"/>
      <c r="F72" s="583"/>
      <c r="G72" s="662"/>
    </row>
    <row r="73" spans="1:7" ht="20.100000000000001" customHeight="1">
      <c r="A73" s="1117" t="s">
        <v>410</v>
      </c>
      <c r="B73" s="790"/>
      <c r="C73" s="790"/>
      <c r="D73" s="790"/>
      <c r="E73" s="790"/>
      <c r="F73" s="791"/>
      <c r="G73" s="1119"/>
    </row>
    <row r="74" spans="1:7" ht="20.100000000000001" customHeight="1">
      <c r="A74" s="507"/>
      <c r="B74" s="185"/>
      <c r="C74" s="185"/>
      <c r="D74" s="185"/>
      <c r="E74" s="185"/>
      <c r="F74" s="190"/>
      <c r="G74" s="203"/>
    </row>
    <row r="75" spans="1:7" ht="20.100000000000001" customHeight="1">
      <c r="A75" s="507" t="s">
        <v>411</v>
      </c>
      <c r="B75" s="185"/>
      <c r="C75" s="185"/>
      <c r="D75" s="185"/>
      <c r="E75" s="185"/>
      <c r="F75" s="190" t="s">
        <v>412</v>
      </c>
      <c r="G75" s="530">
        <f>'CHECK SHEET'!D102</f>
        <v>41670946.726499997</v>
      </c>
    </row>
    <row r="76" spans="1:7" ht="20.100000000000001" customHeight="1">
      <c r="A76" s="507" t="s">
        <v>413</v>
      </c>
      <c r="B76" s="185"/>
      <c r="C76" s="185"/>
      <c r="D76" s="185"/>
      <c r="E76" s="185"/>
      <c r="F76" s="188">
        <v>42130</v>
      </c>
      <c r="G76" s="531">
        <f>1401163+756722</f>
        <v>2157885</v>
      </c>
    </row>
    <row r="77" spans="1:7" ht="20.100000000000001" customHeight="1">
      <c r="A77" s="509" t="s">
        <v>414</v>
      </c>
      <c r="B77" s="510"/>
      <c r="C77" s="510"/>
      <c r="D77" s="510"/>
      <c r="E77" s="510"/>
      <c r="F77" s="204" t="s">
        <v>415</v>
      </c>
      <c r="G77" s="532">
        <v>1571841</v>
      </c>
    </row>
    <row r="78" spans="1:7" ht="20.100000000000001" customHeight="1">
      <c r="A78" s="509" t="s">
        <v>416</v>
      </c>
      <c r="B78" s="510"/>
      <c r="C78" s="510"/>
      <c r="D78" s="510"/>
      <c r="E78" s="510"/>
      <c r="F78" s="204" t="s">
        <v>417</v>
      </c>
      <c r="G78" s="531">
        <v>0</v>
      </c>
    </row>
    <row r="79" spans="1:7" ht="20.100000000000001" customHeight="1">
      <c r="A79" s="507" t="s">
        <v>418</v>
      </c>
      <c r="B79" s="185"/>
      <c r="C79" s="185"/>
      <c r="D79" s="185"/>
      <c r="E79" s="185"/>
      <c r="F79" s="190" t="s">
        <v>419</v>
      </c>
      <c r="G79" s="531">
        <v>0</v>
      </c>
    </row>
    <row r="80" spans="1:7" ht="20.100000000000001" customHeight="1">
      <c r="A80" s="507" t="s">
        <v>420</v>
      </c>
      <c r="B80" s="185"/>
      <c r="C80" s="185"/>
      <c r="D80" s="185"/>
      <c r="E80" s="185"/>
      <c r="F80" s="190" t="s">
        <v>421</v>
      </c>
      <c r="G80" s="531">
        <f>608206+19000</f>
        <v>627206</v>
      </c>
    </row>
    <row r="81" spans="1:10" ht="20.100000000000001" customHeight="1">
      <c r="A81" s="507" t="s">
        <v>422</v>
      </c>
      <c r="B81" s="185"/>
      <c r="C81" s="185"/>
      <c r="D81" s="185"/>
      <c r="E81" s="185"/>
      <c r="F81" s="190" t="s">
        <v>423</v>
      </c>
      <c r="G81" s="530">
        <f>'CHECK SHEET'!D104</f>
        <v>8063557</v>
      </c>
    </row>
    <row r="82" spans="1:10" ht="20.100000000000001" customHeight="1">
      <c r="A82" s="511" t="s">
        <v>424</v>
      </c>
      <c r="B82" s="512"/>
      <c r="C82" s="512"/>
      <c r="D82" s="512"/>
      <c r="E82" s="512"/>
      <c r="F82" s="203" t="s">
        <v>425</v>
      </c>
      <c r="G82" s="531">
        <v>2000</v>
      </c>
    </row>
    <row r="83" spans="1:10" ht="20.100000000000001" customHeight="1">
      <c r="A83" s="507" t="s">
        <v>426</v>
      </c>
      <c r="B83" s="185"/>
      <c r="C83" s="185"/>
      <c r="D83" s="185"/>
      <c r="E83" s="185"/>
      <c r="F83" s="190" t="s">
        <v>427</v>
      </c>
      <c r="G83" s="531">
        <v>7000</v>
      </c>
    </row>
    <row r="84" spans="1:10" ht="20.100000000000001" customHeight="1">
      <c r="A84" s="507"/>
      <c r="B84" s="185"/>
      <c r="C84" s="185"/>
      <c r="D84" s="185"/>
      <c r="E84" s="185"/>
      <c r="F84" s="190"/>
      <c r="G84" s="663"/>
    </row>
    <row r="85" spans="1:10" ht="20.100000000000001" customHeight="1">
      <c r="A85" s="508" t="s">
        <v>428</v>
      </c>
      <c r="B85" s="185"/>
      <c r="C85" s="185"/>
      <c r="D85" s="185"/>
      <c r="E85" s="185"/>
      <c r="F85" s="190"/>
      <c r="G85" s="228">
        <f>SUM(G75:G83)</f>
        <v>54100435.726499997</v>
      </c>
    </row>
    <row r="86" spans="1:10" ht="20.100000000000001" customHeight="1">
      <c r="A86" s="1118"/>
      <c r="B86" s="582"/>
      <c r="C86" s="582"/>
      <c r="D86" s="582"/>
      <c r="E86" s="582"/>
      <c r="F86" s="583"/>
      <c r="G86" s="662"/>
    </row>
    <row r="87" spans="1:10" ht="20.100000000000001" customHeight="1">
      <c r="A87" s="792" t="s">
        <v>429</v>
      </c>
      <c r="B87" s="793"/>
      <c r="C87" s="793"/>
      <c r="D87" s="793"/>
      <c r="E87" s="793"/>
      <c r="F87" s="794"/>
      <c r="G87" s="1119"/>
    </row>
    <row r="88" spans="1:10" ht="20.100000000000001" customHeight="1">
      <c r="A88" s="507"/>
      <c r="B88" s="185"/>
      <c r="C88" s="185"/>
      <c r="D88" s="185"/>
      <c r="E88" s="185"/>
      <c r="F88" s="190"/>
      <c r="G88" s="203"/>
    </row>
    <row r="89" spans="1:10" ht="20.100000000000001" customHeight="1">
      <c r="A89" s="507" t="s">
        <v>430</v>
      </c>
      <c r="B89" s="185"/>
      <c r="C89" s="185"/>
      <c r="D89" s="185"/>
      <c r="E89" s="185"/>
      <c r="F89" s="190" t="s">
        <v>431</v>
      </c>
      <c r="G89" s="457">
        <v>0</v>
      </c>
    </row>
    <row r="90" spans="1:10" ht="20.100000000000001" customHeight="1">
      <c r="A90" s="507" t="s">
        <v>432</v>
      </c>
      <c r="B90" s="185"/>
      <c r="C90" s="185"/>
      <c r="D90" s="185"/>
      <c r="E90" s="185"/>
      <c r="F90" s="936">
        <v>43518</v>
      </c>
      <c r="G90" s="533">
        <v>0</v>
      </c>
      <c r="J90" s="205"/>
    </row>
    <row r="91" spans="1:10" ht="20.100000000000001" customHeight="1">
      <c r="A91" s="507" t="s">
        <v>433</v>
      </c>
      <c r="B91" s="185"/>
      <c r="C91" s="185"/>
      <c r="D91" s="185"/>
      <c r="E91" s="185"/>
      <c r="F91" s="936">
        <v>43519</v>
      </c>
      <c r="G91" s="533">
        <v>0</v>
      </c>
    </row>
    <row r="92" spans="1:10" ht="20.100000000000001" customHeight="1">
      <c r="A92" s="507" t="s">
        <v>434</v>
      </c>
      <c r="B92" s="185"/>
      <c r="C92" s="185"/>
      <c r="D92" s="185"/>
      <c r="E92" s="185"/>
      <c r="F92" s="208">
        <v>43521</v>
      </c>
      <c r="G92" s="533">
        <v>4400000</v>
      </c>
    </row>
    <row r="93" spans="1:10" ht="20.100000000000001" customHeight="1">
      <c r="A93" s="507" t="s">
        <v>435</v>
      </c>
      <c r="B93" s="185"/>
      <c r="C93" s="185"/>
      <c r="D93" s="185"/>
      <c r="E93" s="185"/>
      <c r="F93" s="208">
        <v>43526</v>
      </c>
      <c r="G93" s="533">
        <v>0</v>
      </c>
    </row>
    <row r="94" spans="1:10" ht="20.100000000000001" customHeight="1">
      <c r="A94" s="507" t="s">
        <v>436</v>
      </c>
      <c r="B94" s="185"/>
      <c r="C94" s="185"/>
      <c r="D94" s="185"/>
      <c r="E94" s="185"/>
      <c r="F94" s="190" t="s">
        <v>437</v>
      </c>
      <c r="G94" s="454">
        <v>212582</v>
      </c>
    </row>
    <row r="95" spans="1:10" ht="20.100000000000001" customHeight="1">
      <c r="A95" s="614"/>
      <c r="B95" s="584"/>
      <c r="C95" s="584"/>
      <c r="D95" s="584"/>
      <c r="E95" s="584"/>
      <c r="F95" s="601"/>
      <c r="G95" s="663"/>
    </row>
    <row r="96" spans="1:10" ht="20.100000000000001" customHeight="1">
      <c r="A96" s="508" t="s">
        <v>438</v>
      </c>
      <c r="B96" s="185"/>
      <c r="C96" s="185"/>
      <c r="D96" s="185"/>
      <c r="E96" s="185"/>
      <c r="F96" s="206"/>
      <c r="G96" s="1167">
        <f>SUM(G89:G94)</f>
        <v>4612582</v>
      </c>
    </row>
    <row r="97" spans="1:7" ht="20.100000000000001" customHeight="1">
      <c r="A97" s="507"/>
      <c r="B97" s="185"/>
      <c r="C97" s="185"/>
      <c r="D97" s="185"/>
      <c r="E97" s="185"/>
      <c r="F97" s="190"/>
      <c r="G97" s="207"/>
    </row>
    <row r="98" spans="1:7" ht="20.100000000000001" customHeight="1">
      <c r="A98" s="795" t="s">
        <v>439</v>
      </c>
      <c r="B98" s="796"/>
      <c r="C98" s="796"/>
      <c r="D98" s="796"/>
      <c r="E98" s="796"/>
      <c r="F98" s="797"/>
      <c r="G98" s="664"/>
    </row>
    <row r="99" spans="1:7" ht="20.100000000000001" customHeight="1">
      <c r="A99" s="507"/>
      <c r="B99" s="185"/>
      <c r="C99" s="185"/>
      <c r="D99" s="185"/>
      <c r="E99" s="185"/>
      <c r="F99" s="190"/>
      <c r="G99" s="207"/>
    </row>
    <row r="100" spans="1:7" ht="20.100000000000001" customHeight="1">
      <c r="A100" s="507" t="s">
        <v>440</v>
      </c>
      <c r="B100" s="185"/>
      <c r="C100" s="185"/>
      <c r="D100" s="185"/>
      <c r="E100" s="185"/>
      <c r="F100" s="190" t="s">
        <v>441</v>
      </c>
      <c r="G100" s="457">
        <v>0</v>
      </c>
    </row>
    <row r="101" spans="1:7" ht="20.100000000000001" customHeight="1">
      <c r="A101" s="507" t="s">
        <v>442</v>
      </c>
      <c r="B101" s="185"/>
      <c r="C101" s="185"/>
      <c r="D101" s="185"/>
      <c r="E101" s="185"/>
      <c r="F101" s="190" t="s">
        <v>443</v>
      </c>
      <c r="G101" s="455">
        <v>0</v>
      </c>
    </row>
    <row r="102" spans="1:7" ht="20.100000000000001" customHeight="1">
      <c r="A102" s="507" t="s">
        <v>444</v>
      </c>
      <c r="B102" s="185"/>
      <c r="C102" s="185"/>
      <c r="D102" s="185"/>
      <c r="E102" s="185"/>
      <c r="F102" s="208">
        <v>44400</v>
      </c>
      <c r="G102" s="456">
        <f>63400+453116</f>
        <v>516516</v>
      </c>
    </row>
    <row r="103" spans="1:7" ht="20.100000000000001" customHeight="1">
      <c r="A103" s="507" t="s">
        <v>445</v>
      </c>
      <c r="B103" s="185"/>
      <c r="C103" s="185"/>
      <c r="D103" s="185"/>
      <c r="E103" s="185"/>
      <c r="F103" s="190" t="s">
        <v>446</v>
      </c>
      <c r="G103" s="455">
        <v>177963</v>
      </c>
    </row>
    <row r="104" spans="1:7" ht="20.100000000000001" customHeight="1">
      <c r="A104" s="507"/>
      <c r="B104" s="185"/>
      <c r="C104" s="185"/>
      <c r="D104" s="185"/>
      <c r="E104" s="185"/>
      <c r="F104" s="190"/>
      <c r="G104" s="665"/>
    </row>
    <row r="105" spans="1:7" ht="20.100000000000001" customHeight="1">
      <c r="A105" s="508" t="s">
        <v>447</v>
      </c>
      <c r="B105" s="185"/>
      <c r="C105" s="185"/>
      <c r="D105" s="185"/>
      <c r="E105" s="185"/>
      <c r="F105" s="190"/>
      <c r="G105" s="1167">
        <f>SUM(G100:G103)</f>
        <v>694479</v>
      </c>
    </row>
    <row r="106" spans="1:7" ht="20.100000000000001" customHeight="1">
      <c r="A106" s="507"/>
      <c r="B106" s="185"/>
      <c r="C106" s="185"/>
      <c r="D106" s="185"/>
      <c r="E106" s="185"/>
      <c r="F106" s="190"/>
      <c r="G106" s="207"/>
    </row>
    <row r="107" spans="1:7" ht="20.100000000000001" customHeight="1">
      <c r="A107" s="1117" t="s">
        <v>448</v>
      </c>
      <c r="B107" s="790"/>
      <c r="C107" s="790"/>
      <c r="D107" s="790"/>
      <c r="E107" s="790"/>
      <c r="F107" s="791"/>
      <c r="G107" s="666"/>
    </row>
    <row r="108" spans="1:7" ht="20.100000000000001" customHeight="1">
      <c r="A108" s="507"/>
      <c r="B108" s="185"/>
      <c r="C108" s="185"/>
      <c r="D108" s="185"/>
      <c r="E108" s="185"/>
      <c r="F108" s="190"/>
      <c r="G108" s="207"/>
    </row>
    <row r="109" spans="1:7" ht="20.100000000000001" customHeight="1">
      <c r="A109" s="507" t="s">
        <v>449</v>
      </c>
      <c r="B109" s="185"/>
      <c r="C109" s="185"/>
      <c r="D109" s="185"/>
      <c r="E109" s="185"/>
      <c r="F109" s="190" t="s">
        <v>450</v>
      </c>
      <c r="G109" s="457">
        <v>0</v>
      </c>
    </row>
    <row r="110" spans="1:7" ht="20.100000000000001" customHeight="1">
      <c r="A110" s="507" t="s">
        <v>451</v>
      </c>
      <c r="B110" s="185"/>
      <c r="C110" s="185"/>
      <c r="D110" s="185"/>
      <c r="E110" s="185"/>
      <c r="F110" s="190" t="s">
        <v>452</v>
      </c>
      <c r="G110" s="455">
        <v>0</v>
      </c>
    </row>
    <row r="111" spans="1:7" ht="20.100000000000001" customHeight="1">
      <c r="A111" s="507" t="s">
        <v>453</v>
      </c>
      <c r="B111" s="185"/>
      <c r="C111" s="185"/>
      <c r="D111" s="185"/>
      <c r="E111" s="185"/>
      <c r="F111" s="190" t="s">
        <v>454</v>
      </c>
      <c r="G111" s="455">
        <v>1000</v>
      </c>
    </row>
    <row r="112" spans="1:7" ht="20.100000000000001" customHeight="1">
      <c r="A112" s="507" t="s">
        <v>455</v>
      </c>
      <c r="B112" s="185"/>
      <c r="C112" s="185"/>
      <c r="D112" s="185"/>
      <c r="E112" s="185"/>
      <c r="F112" s="190" t="s">
        <v>456</v>
      </c>
      <c r="G112" s="455">
        <v>0</v>
      </c>
    </row>
    <row r="113" spans="1:7" ht="20.100000000000001" customHeight="1">
      <c r="A113" s="507" t="s">
        <v>457</v>
      </c>
      <c r="B113" s="185"/>
      <c r="C113" s="185"/>
      <c r="D113" s="185"/>
      <c r="E113" s="185"/>
      <c r="F113" s="190" t="s">
        <v>458</v>
      </c>
      <c r="G113" s="1120">
        <v>0</v>
      </c>
    </row>
    <row r="114" spans="1:7" ht="20.100000000000001" customHeight="1">
      <c r="A114" s="507"/>
      <c r="B114" s="185"/>
      <c r="C114" s="185"/>
      <c r="D114" s="185"/>
      <c r="E114" s="185"/>
      <c r="F114" s="190"/>
      <c r="G114" s="665"/>
    </row>
    <row r="115" spans="1:7" ht="20.100000000000001" customHeight="1">
      <c r="A115" s="1121" t="s">
        <v>459</v>
      </c>
      <c r="B115" s="1168"/>
      <c r="C115" s="1168"/>
      <c r="D115" s="1168"/>
      <c r="E115" s="1168"/>
      <c r="F115" s="1169"/>
      <c r="G115" s="1167">
        <f>SUM(G109:G113)</f>
        <v>1000</v>
      </c>
    </row>
    <row r="116" spans="1:7" ht="20.100000000000001" customHeight="1">
      <c r="A116" s="507"/>
      <c r="B116" s="185"/>
      <c r="C116" s="185"/>
      <c r="D116" s="185"/>
      <c r="E116" s="185"/>
      <c r="F116" s="513"/>
      <c r="G116" s="514"/>
    </row>
    <row r="117" spans="1:7" ht="20.100000000000001" customHeight="1">
      <c r="A117" s="1122" t="s">
        <v>460</v>
      </c>
      <c r="B117" s="585"/>
      <c r="C117" s="585"/>
      <c r="D117" s="585"/>
      <c r="E117" s="585"/>
      <c r="F117" s="586" t="s">
        <v>461</v>
      </c>
      <c r="G117" s="1123">
        <v>0</v>
      </c>
    </row>
    <row r="118" spans="1:7" ht="20.100000000000001" customHeight="1">
      <c r="A118" s="515"/>
      <c r="F118" s="208"/>
      <c r="G118" s="209"/>
    </row>
    <row r="119" spans="1:7" ht="20.100000000000001" customHeight="1">
      <c r="A119" s="508" t="s">
        <v>462</v>
      </c>
      <c r="C119" s="185"/>
      <c r="D119" s="185"/>
      <c r="F119" s="208"/>
      <c r="G119" s="1167">
        <f>G117</f>
        <v>0</v>
      </c>
    </row>
    <row r="120" spans="1:7" ht="20.100000000000001" customHeight="1">
      <c r="A120" s="515"/>
      <c r="F120" s="208"/>
      <c r="G120" s="207"/>
    </row>
    <row r="121" spans="1:7" ht="20.100000000000001" customHeight="1">
      <c r="A121" s="795" t="s">
        <v>463</v>
      </c>
      <c r="B121" s="796"/>
      <c r="C121" s="796"/>
      <c r="D121" s="796"/>
      <c r="E121" s="796"/>
      <c r="F121" s="797"/>
      <c r="G121" s="664"/>
    </row>
    <row r="122" spans="1:7" ht="20.100000000000001" customHeight="1">
      <c r="A122" s="507"/>
      <c r="B122" s="185"/>
      <c r="C122" s="185"/>
      <c r="D122" s="185"/>
      <c r="E122" s="185"/>
      <c r="F122" s="190"/>
      <c r="G122" s="207"/>
    </row>
    <row r="123" spans="1:7" ht="20.100000000000001" customHeight="1">
      <c r="A123" s="507" t="s">
        <v>464</v>
      </c>
      <c r="B123" s="185"/>
      <c r="C123" s="185"/>
      <c r="D123" s="185"/>
      <c r="E123" s="185"/>
      <c r="F123" s="190" t="s">
        <v>465</v>
      </c>
      <c r="G123" s="457">
        <v>17000</v>
      </c>
    </row>
    <row r="124" spans="1:7" ht="20.100000000000001" customHeight="1">
      <c r="A124" s="507" t="s">
        <v>466</v>
      </c>
      <c r="B124" s="185"/>
      <c r="C124" s="185"/>
      <c r="D124" s="185"/>
      <c r="E124" s="185"/>
      <c r="F124" s="190" t="s">
        <v>467</v>
      </c>
      <c r="G124" s="455">
        <v>0</v>
      </c>
    </row>
    <row r="125" spans="1:7" ht="20.100000000000001" customHeight="1">
      <c r="A125" s="507" t="s">
        <v>468</v>
      </c>
      <c r="B125" s="185"/>
      <c r="C125" s="185"/>
      <c r="D125" s="185"/>
      <c r="E125" s="185"/>
      <c r="F125" s="190" t="s">
        <v>469</v>
      </c>
      <c r="G125" s="455">
        <v>1000</v>
      </c>
    </row>
    <row r="126" spans="1:7" ht="20.100000000000001" customHeight="1">
      <c r="A126" s="507" t="s">
        <v>470</v>
      </c>
      <c r="B126" s="185"/>
      <c r="C126" s="185"/>
      <c r="D126" s="185"/>
      <c r="E126" s="185"/>
      <c r="F126" s="190" t="s">
        <v>471</v>
      </c>
      <c r="G126" s="455">
        <v>8000</v>
      </c>
    </row>
    <row r="127" spans="1:7" ht="20.100000000000001" customHeight="1">
      <c r="A127" s="507"/>
      <c r="B127" s="185"/>
      <c r="C127" s="185"/>
      <c r="D127" s="185"/>
      <c r="E127" s="185"/>
      <c r="F127" s="190"/>
      <c r="G127" s="665"/>
    </row>
    <row r="128" spans="1:7" ht="20.100000000000001" customHeight="1">
      <c r="A128" s="508" t="s">
        <v>472</v>
      </c>
      <c r="B128" s="185"/>
      <c r="C128" s="185"/>
      <c r="D128" s="185"/>
      <c r="E128" s="185"/>
      <c r="F128" s="190"/>
      <c r="G128" s="1167">
        <f>SUM(G123:G126)</f>
        <v>26000</v>
      </c>
    </row>
    <row r="129" spans="1:7" ht="20.100000000000001" customHeight="1">
      <c r="A129" s="507"/>
      <c r="B129" s="185"/>
      <c r="C129" s="185"/>
      <c r="D129" s="185"/>
      <c r="E129" s="185"/>
      <c r="F129" s="190"/>
      <c r="G129" s="207"/>
    </row>
    <row r="130" spans="1:7" ht="20.100000000000001" customHeight="1">
      <c r="A130" s="1117" t="s">
        <v>473</v>
      </c>
      <c r="B130" s="790"/>
      <c r="C130" s="790"/>
      <c r="D130" s="790"/>
      <c r="E130" s="790"/>
      <c r="F130" s="791"/>
      <c r="G130" s="666"/>
    </row>
    <row r="131" spans="1:7" ht="20.100000000000001" customHeight="1">
      <c r="A131" s="507"/>
      <c r="B131" s="185"/>
      <c r="C131" s="185"/>
      <c r="D131" s="185"/>
      <c r="E131" s="185"/>
      <c r="F131" s="190"/>
      <c r="G131" s="207"/>
    </row>
    <row r="132" spans="1:7" ht="20.100000000000001" customHeight="1">
      <c r="A132" s="507" t="s">
        <v>474</v>
      </c>
      <c r="B132" s="185"/>
      <c r="C132" s="185"/>
      <c r="D132" s="516"/>
      <c r="E132" s="200"/>
      <c r="F132" s="204" t="s">
        <v>475</v>
      </c>
      <c r="G132" s="457">
        <v>0</v>
      </c>
    </row>
    <row r="133" spans="1:7" ht="20.100000000000001" customHeight="1">
      <c r="A133" s="507" t="s">
        <v>476</v>
      </c>
      <c r="B133" s="185"/>
      <c r="C133" s="185"/>
      <c r="D133" s="516"/>
      <c r="E133" s="200"/>
      <c r="F133" s="204" t="s">
        <v>477</v>
      </c>
      <c r="G133" s="455">
        <v>0</v>
      </c>
    </row>
    <row r="134" spans="1:7" ht="20.100000000000001" customHeight="1">
      <c r="A134" s="507" t="s">
        <v>478</v>
      </c>
      <c r="B134" s="185"/>
      <c r="C134" s="185"/>
      <c r="D134" s="516"/>
      <c r="E134" s="200"/>
      <c r="F134" s="210">
        <v>49230</v>
      </c>
      <c r="G134" s="456">
        <f>+'EXHIBIT C'!B69</f>
        <v>270922</v>
      </c>
    </row>
    <row r="135" spans="1:7" ht="20.100000000000001" customHeight="1">
      <c r="A135" s="507" t="s">
        <v>479</v>
      </c>
      <c r="B135" s="185"/>
      <c r="C135" s="185"/>
      <c r="D135" s="516"/>
      <c r="E135" s="200"/>
      <c r="F135" s="210">
        <v>49240</v>
      </c>
      <c r="G135" s="455">
        <v>0</v>
      </c>
    </row>
    <row r="136" spans="1:7" ht="20.100000000000001" customHeight="1">
      <c r="A136" s="507" t="s">
        <v>480</v>
      </c>
      <c r="B136" s="185"/>
      <c r="C136" s="185"/>
      <c r="D136" s="185"/>
      <c r="E136" s="185"/>
      <c r="F136" s="190" t="s">
        <v>481</v>
      </c>
      <c r="G136" s="455">
        <v>12000</v>
      </c>
    </row>
    <row r="137" spans="1:7" ht="20.100000000000001" customHeight="1">
      <c r="A137" s="507" t="s">
        <v>482</v>
      </c>
      <c r="B137" s="185"/>
      <c r="C137" s="185"/>
      <c r="D137" s="185"/>
      <c r="E137" s="185"/>
      <c r="F137" s="188">
        <v>49520</v>
      </c>
      <c r="G137" s="455">
        <v>0</v>
      </c>
    </row>
    <row r="138" spans="1:7" ht="20.100000000000001" customHeight="1">
      <c r="A138" s="951" t="s">
        <v>483</v>
      </c>
      <c r="B138" s="185"/>
      <c r="C138" s="185"/>
      <c r="D138" s="185"/>
      <c r="E138" s="185"/>
      <c r="F138" s="952" t="s">
        <v>484</v>
      </c>
      <c r="G138" s="455">
        <v>0</v>
      </c>
    </row>
    <row r="139" spans="1:7" ht="20.100000000000001" customHeight="1">
      <c r="A139" s="507" t="s">
        <v>485</v>
      </c>
      <c r="B139" s="185"/>
      <c r="C139" s="185"/>
      <c r="D139" s="185"/>
      <c r="E139" s="185"/>
      <c r="F139" s="190" t="s">
        <v>486</v>
      </c>
      <c r="G139" s="455">
        <v>0</v>
      </c>
    </row>
    <row r="140" spans="1:7" ht="20.100000000000001" customHeight="1">
      <c r="A140" s="507" t="s">
        <v>487</v>
      </c>
      <c r="B140" s="185"/>
      <c r="C140" s="185"/>
      <c r="D140" s="185"/>
      <c r="E140" s="185"/>
      <c r="F140" s="190" t="s">
        <v>488</v>
      </c>
      <c r="G140" s="455">
        <v>15</v>
      </c>
    </row>
    <row r="141" spans="1:7" ht="20.100000000000001" customHeight="1">
      <c r="A141" s="507"/>
      <c r="B141" s="185"/>
      <c r="C141" s="185"/>
      <c r="D141" s="185"/>
      <c r="E141" s="185"/>
      <c r="F141" s="190"/>
      <c r="G141" s="665"/>
    </row>
    <row r="142" spans="1:7" ht="20.100000000000001" customHeight="1">
      <c r="A142" s="508" t="s">
        <v>489</v>
      </c>
      <c r="B142" s="185"/>
      <c r="C142" s="185"/>
      <c r="D142" s="185"/>
      <c r="E142" s="185"/>
      <c r="F142" s="190"/>
      <c r="G142" s="1167">
        <f>SUM(G132:G140)</f>
        <v>282937</v>
      </c>
    </row>
    <row r="143" spans="1:7" ht="20.100000000000001" customHeight="1">
      <c r="A143" s="507"/>
      <c r="B143" s="185"/>
      <c r="C143" s="185"/>
      <c r="D143" s="185"/>
      <c r="E143" s="185"/>
      <c r="F143" s="190"/>
      <c r="G143" s="207"/>
    </row>
    <row r="144" spans="1:7" ht="20.100000000000001" customHeight="1" thickBot="1">
      <c r="A144" s="536" t="s">
        <v>490</v>
      </c>
      <c r="B144" s="537"/>
      <c r="C144" s="537"/>
      <c r="D144" s="537"/>
      <c r="E144" s="537"/>
      <c r="F144" s="538"/>
      <c r="G144" s="540">
        <f>G63+G71+G85+G96+G105+G115+G119+G128+G142</f>
        <v>90110201.726500005</v>
      </c>
    </row>
    <row r="145" spans="1:7" ht="20.100000000000001" customHeight="1" thickTop="1">
      <c r="A145" s="1118"/>
      <c r="B145" s="582"/>
      <c r="C145" s="582"/>
      <c r="D145" s="582"/>
      <c r="E145" s="582"/>
      <c r="F145" s="628"/>
      <c r="G145" s="629"/>
    </row>
    <row r="146" spans="1:7" ht="20.100000000000001" customHeight="1">
      <c r="A146" s="1117" t="s">
        <v>491</v>
      </c>
      <c r="B146" s="790"/>
      <c r="C146" s="790"/>
      <c r="D146" s="790"/>
      <c r="E146" s="790"/>
      <c r="F146" s="791"/>
      <c r="G146" s="1124"/>
    </row>
    <row r="147" spans="1:7" ht="20.100000000000001" customHeight="1">
      <c r="A147" s="507"/>
      <c r="B147" s="185"/>
      <c r="C147" s="185"/>
      <c r="D147" s="185"/>
      <c r="E147" s="185"/>
      <c r="F147" s="190"/>
      <c r="G147" s="211"/>
    </row>
    <row r="148" spans="1:7" ht="20.100000000000001" customHeight="1">
      <c r="A148" s="507" t="s">
        <v>492</v>
      </c>
      <c r="B148" s="185"/>
      <c r="C148" s="185"/>
      <c r="D148" s="185"/>
      <c r="E148" s="185"/>
      <c r="F148" s="190" t="s">
        <v>493</v>
      </c>
      <c r="G148" s="458">
        <v>1630307</v>
      </c>
    </row>
    <row r="149" spans="1:7" ht="20.100000000000001" customHeight="1">
      <c r="A149" s="507" t="s">
        <v>494</v>
      </c>
      <c r="F149" s="190" t="s">
        <v>495</v>
      </c>
      <c r="G149" s="459">
        <v>2111145</v>
      </c>
    </row>
    <row r="150" spans="1:7" ht="20.100000000000001" customHeight="1">
      <c r="A150" s="507" t="s">
        <v>496</v>
      </c>
      <c r="F150" s="190" t="s">
        <v>497</v>
      </c>
      <c r="G150" s="459">
        <v>1482049</v>
      </c>
    </row>
    <row r="151" spans="1:7" ht="20.100000000000001" customHeight="1">
      <c r="A151" s="507" t="s">
        <v>498</v>
      </c>
      <c r="F151" s="190" t="s">
        <v>499</v>
      </c>
      <c r="G151" s="459">
        <v>0</v>
      </c>
    </row>
    <row r="152" spans="1:7" ht="20.100000000000001" customHeight="1">
      <c r="A152" s="507" t="s">
        <v>500</v>
      </c>
      <c r="F152" s="190" t="s">
        <v>501</v>
      </c>
      <c r="G152" s="459">
        <v>0</v>
      </c>
    </row>
    <row r="153" spans="1:7" ht="20.100000000000001" customHeight="1">
      <c r="A153" s="507" t="s">
        <v>502</v>
      </c>
      <c r="B153" s="185"/>
      <c r="C153" s="185"/>
      <c r="D153" s="185"/>
      <c r="E153" s="185"/>
      <c r="F153" s="190" t="s">
        <v>503</v>
      </c>
      <c r="G153" s="459">
        <v>16561564</v>
      </c>
    </row>
    <row r="154" spans="1:7" ht="20.100000000000001" customHeight="1">
      <c r="A154" s="507" t="s">
        <v>504</v>
      </c>
      <c r="B154" s="185"/>
      <c r="C154" s="185"/>
      <c r="D154" s="185"/>
      <c r="E154" s="185"/>
      <c r="F154" s="190" t="s">
        <v>505</v>
      </c>
      <c r="G154" s="459">
        <v>2169380</v>
      </c>
    </row>
    <row r="155" spans="1:7" ht="20.100000000000001" customHeight="1">
      <c r="A155" s="507" t="s">
        <v>506</v>
      </c>
      <c r="B155" s="185"/>
      <c r="C155" s="185"/>
      <c r="D155" s="185"/>
      <c r="E155" s="185"/>
      <c r="F155" s="190" t="s">
        <v>507</v>
      </c>
      <c r="G155" s="459">
        <v>0</v>
      </c>
    </row>
    <row r="156" spans="1:7" ht="20.100000000000001" customHeight="1">
      <c r="A156" s="507" t="s">
        <v>508</v>
      </c>
      <c r="B156" s="185"/>
      <c r="C156" s="185"/>
      <c r="D156" s="185"/>
      <c r="E156" s="185"/>
      <c r="F156" s="190" t="s">
        <v>509</v>
      </c>
      <c r="G156" s="459">
        <v>245469</v>
      </c>
    </row>
    <row r="157" spans="1:7" ht="20.100000000000001" customHeight="1">
      <c r="A157" s="507" t="s">
        <v>510</v>
      </c>
      <c r="B157" s="185"/>
      <c r="C157" s="185"/>
      <c r="D157" s="185"/>
      <c r="E157" s="185"/>
      <c r="F157" s="190" t="s">
        <v>511</v>
      </c>
      <c r="G157" s="459">
        <v>59663</v>
      </c>
    </row>
    <row r="158" spans="1:7" ht="20.100000000000001" customHeight="1">
      <c r="A158" s="507" t="s">
        <v>512</v>
      </c>
      <c r="B158" s="185"/>
      <c r="C158" s="185"/>
      <c r="D158" s="185"/>
      <c r="E158" s="185"/>
      <c r="F158" s="188">
        <v>52500</v>
      </c>
      <c r="G158" s="459">
        <v>0</v>
      </c>
    </row>
    <row r="159" spans="1:7" ht="20.100000000000001" customHeight="1">
      <c r="A159" s="507" t="s">
        <v>513</v>
      </c>
      <c r="B159" s="185"/>
      <c r="C159" s="185"/>
      <c r="D159" s="185"/>
      <c r="E159" s="185"/>
      <c r="F159" s="190" t="s">
        <v>514</v>
      </c>
      <c r="G159" s="459">
        <v>0</v>
      </c>
    </row>
    <row r="160" spans="1:7" ht="20.100000000000001" customHeight="1">
      <c r="A160" s="507" t="s">
        <v>515</v>
      </c>
      <c r="B160" s="185"/>
      <c r="C160" s="185"/>
      <c r="D160" s="185"/>
      <c r="E160" s="185"/>
      <c r="F160" s="190" t="s">
        <v>516</v>
      </c>
      <c r="G160" s="459">
        <v>0</v>
      </c>
    </row>
    <row r="161" spans="1:7" ht="20.100000000000001" customHeight="1">
      <c r="A161" s="507" t="s">
        <v>517</v>
      </c>
      <c r="B161" s="185"/>
      <c r="C161" s="185"/>
      <c r="D161" s="185"/>
      <c r="E161" s="185"/>
      <c r="F161" s="190" t="s">
        <v>518</v>
      </c>
      <c r="G161" s="459">
        <v>0</v>
      </c>
    </row>
    <row r="162" spans="1:7" ht="20.100000000000001" customHeight="1">
      <c r="A162" s="507" t="s">
        <v>519</v>
      </c>
      <c r="B162" s="185"/>
      <c r="C162" s="185"/>
      <c r="D162" s="185"/>
      <c r="E162" s="185"/>
      <c r="F162" s="190" t="s">
        <v>520</v>
      </c>
      <c r="G162" s="459">
        <v>0</v>
      </c>
    </row>
    <row r="163" spans="1:7" ht="20.100000000000001" customHeight="1">
      <c r="A163" s="507" t="s">
        <v>521</v>
      </c>
      <c r="B163" s="185"/>
      <c r="C163" s="185"/>
      <c r="D163" s="185"/>
      <c r="E163" s="185"/>
      <c r="F163" s="190" t="s">
        <v>522</v>
      </c>
      <c r="G163" s="459">
        <v>10968386</v>
      </c>
    </row>
    <row r="164" spans="1:7" ht="20.100000000000001" customHeight="1">
      <c r="A164" s="507" t="s">
        <v>523</v>
      </c>
      <c r="B164" s="185"/>
      <c r="C164" s="185"/>
      <c r="D164" s="185"/>
      <c r="E164" s="185"/>
      <c r="F164" s="190" t="s">
        <v>524</v>
      </c>
      <c r="G164" s="459">
        <v>208077</v>
      </c>
    </row>
    <row r="165" spans="1:7" ht="20.100000000000001" customHeight="1">
      <c r="A165" s="507" t="s">
        <v>525</v>
      </c>
      <c r="B165" s="185"/>
      <c r="C165" s="185"/>
      <c r="D165" s="185"/>
      <c r="E165" s="185"/>
      <c r="F165" s="190" t="s">
        <v>526</v>
      </c>
      <c r="G165" s="459">
        <v>0</v>
      </c>
    </row>
    <row r="166" spans="1:7" ht="20.100000000000001" customHeight="1">
      <c r="A166" s="507" t="s">
        <v>527</v>
      </c>
      <c r="B166" s="185"/>
      <c r="C166" s="185"/>
      <c r="D166" s="185"/>
      <c r="E166" s="185"/>
      <c r="F166" s="190" t="s">
        <v>528</v>
      </c>
      <c r="G166" s="459">
        <v>4269928</v>
      </c>
    </row>
    <row r="167" spans="1:7" ht="20.100000000000001" customHeight="1">
      <c r="A167" s="507" t="s">
        <v>529</v>
      </c>
      <c r="B167" s="185"/>
      <c r="C167" s="185"/>
      <c r="D167" s="185"/>
      <c r="E167" s="185"/>
      <c r="F167" s="190" t="s">
        <v>530</v>
      </c>
      <c r="G167" s="459">
        <v>0</v>
      </c>
    </row>
    <row r="168" spans="1:7" ht="20.100000000000001" customHeight="1">
      <c r="A168" s="507" t="s">
        <v>531</v>
      </c>
      <c r="B168" s="185"/>
      <c r="C168" s="185"/>
      <c r="D168" s="185"/>
      <c r="E168" s="185"/>
      <c r="F168" s="190" t="s">
        <v>532</v>
      </c>
      <c r="G168" s="459">
        <v>5202593</v>
      </c>
    </row>
    <row r="169" spans="1:7" ht="20.100000000000001" customHeight="1">
      <c r="A169" s="507" t="s">
        <v>533</v>
      </c>
      <c r="B169" s="185"/>
      <c r="C169" s="185"/>
      <c r="D169" s="185"/>
      <c r="E169" s="185"/>
      <c r="F169" s="190" t="s">
        <v>534</v>
      </c>
      <c r="G169" s="459">
        <v>108727</v>
      </c>
    </row>
    <row r="170" spans="1:7" ht="20.100000000000001" customHeight="1">
      <c r="A170" s="507" t="s">
        <v>535</v>
      </c>
      <c r="B170" s="185"/>
      <c r="C170" s="185"/>
      <c r="D170" s="185"/>
      <c r="E170" s="185"/>
      <c r="F170" s="190" t="s">
        <v>536</v>
      </c>
      <c r="G170" s="459">
        <v>52055</v>
      </c>
    </row>
    <row r="171" spans="1:7" ht="20.100000000000001" customHeight="1">
      <c r="A171" s="507" t="s">
        <v>537</v>
      </c>
      <c r="B171" s="185"/>
      <c r="C171" s="185"/>
      <c r="D171" s="185"/>
      <c r="E171" s="185"/>
      <c r="F171" s="190" t="s">
        <v>538</v>
      </c>
      <c r="G171" s="459">
        <v>0</v>
      </c>
    </row>
    <row r="172" spans="1:7" ht="20.100000000000001" customHeight="1">
      <c r="A172" s="507" t="s">
        <v>539</v>
      </c>
      <c r="B172" s="185"/>
      <c r="C172" s="185"/>
      <c r="D172" s="185"/>
      <c r="E172" s="185"/>
      <c r="F172" s="190" t="s">
        <v>540</v>
      </c>
      <c r="G172" s="459">
        <v>6677624</v>
      </c>
    </row>
    <row r="173" spans="1:7" ht="20.100000000000001" customHeight="1">
      <c r="A173" s="507" t="s">
        <v>541</v>
      </c>
      <c r="B173" s="185"/>
      <c r="C173" s="185"/>
      <c r="D173" s="185"/>
      <c r="E173" s="185"/>
      <c r="F173" s="188">
        <v>56001</v>
      </c>
      <c r="G173" s="459">
        <v>0</v>
      </c>
    </row>
    <row r="174" spans="1:7" ht="20.100000000000001" customHeight="1">
      <c r="A174" s="507" t="s">
        <v>542</v>
      </c>
      <c r="B174" s="185"/>
      <c r="C174" s="185"/>
      <c r="D174" s="185"/>
      <c r="E174" s="185"/>
      <c r="F174" s="188">
        <v>56002</v>
      </c>
      <c r="G174" s="459">
        <v>0</v>
      </c>
    </row>
    <row r="175" spans="1:7" ht="20.100000000000001" customHeight="1">
      <c r="A175" s="507" t="s">
        <v>543</v>
      </c>
      <c r="B175" s="185"/>
      <c r="C175" s="185"/>
      <c r="D175" s="185"/>
      <c r="E175" s="185"/>
      <c r="F175" s="188">
        <v>56003</v>
      </c>
      <c r="G175" s="459">
        <v>0</v>
      </c>
    </row>
    <row r="176" spans="1:7" ht="20.100000000000001" customHeight="1">
      <c r="A176" s="507" t="s">
        <v>544</v>
      </c>
      <c r="B176" s="185"/>
      <c r="C176" s="185"/>
      <c r="D176" s="185"/>
      <c r="E176" s="185"/>
      <c r="F176" s="212" t="s">
        <v>545</v>
      </c>
      <c r="G176" s="459">
        <v>0</v>
      </c>
    </row>
    <row r="177" spans="1:7" ht="20.100000000000001" customHeight="1">
      <c r="A177" s="507" t="s">
        <v>546</v>
      </c>
      <c r="B177" s="185"/>
      <c r="C177" s="185"/>
      <c r="D177" s="185"/>
      <c r="E177" s="185"/>
      <c r="F177" s="190" t="s">
        <v>547</v>
      </c>
      <c r="G177" s="459">
        <v>0</v>
      </c>
    </row>
    <row r="178" spans="1:7" ht="20.100000000000001" customHeight="1">
      <c r="A178" s="515" t="s">
        <v>548</v>
      </c>
      <c r="F178" s="208" t="s">
        <v>549</v>
      </c>
      <c r="G178" s="459">
        <v>622815</v>
      </c>
    </row>
    <row r="179" spans="1:7" ht="20.100000000000001" customHeight="1">
      <c r="A179" s="507" t="s">
        <v>550</v>
      </c>
      <c r="B179" s="185"/>
      <c r="C179" s="185"/>
      <c r="D179" s="185"/>
      <c r="E179" s="185"/>
      <c r="F179" s="190" t="s">
        <v>551</v>
      </c>
      <c r="G179" s="459">
        <f>1608480*0+1640380</f>
        <v>1640380</v>
      </c>
    </row>
    <row r="180" spans="1:7" ht="20.100000000000001" customHeight="1">
      <c r="A180" s="507" t="s">
        <v>552</v>
      </c>
      <c r="B180" s="185"/>
      <c r="C180" s="185"/>
      <c r="D180" s="185"/>
      <c r="E180" s="185"/>
      <c r="F180" s="190" t="s">
        <v>553</v>
      </c>
      <c r="G180" s="459">
        <v>0</v>
      </c>
    </row>
    <row r="181" spans="1:7" ht="20.100000000000001" customHeight="1">
      <c r="A181" s="507" t="s">
        <v>554</v>
      </c>
      <c r="B181" s="185"/>
      <c r="C181" s="185"/>
      <c r="D181" s="185"/>
      <c r="E181" s="185"/>
      <c r="F181" s="190" t="s">
        <v>555</v>
      </c>
      <c r="G181" s="459">
        <v>0</v>
      </c>
    </row>
    <row r="182" spans="1:7" ht="20.100000000000001" customHeight="1">
      <c r="A182" s="507" t="s">
        <v>556</v>
      </c>
      <c r="B182" s="185"/>
      <c r="C182" s="185"/>
      <c r="D182" s="185"/>
      <c r="E182" s="185"/>
      <c r="F182" s="190" t="s">
        <v>557</v>
      </c>
      <c r="G182" s="459">
        <v>0</v>
      </c>
    </row>
    <row r="183" spans="1:7" ht="20.100000000000001" customHeight="1">
      <c r="A183" s="507" t="s">
        <v>558</v>
      </c>
      <c r="B183" s="185"/>
      <c r="C183" s="185"/>
      <c r="D183" s="185"/>
      <c r="E183" s="185"/>
      <c r="F183" s="190" t="s">
        <v>559</v>
      </c>
      <c r="G183" s="459">
        <v>18363</v>
      </c>
    </row>
    <row r="184" spans="1:7" ht="20.100000000000001" customHeight="1">
      <c r="A184" s="507" t="s">
        <v>560</v>
      </c>
      <c r="B184" s="185"/>
      <c r="C184" s="185"/>
      <c r="D184" s="185"/>
      <c r="E184" s="185"/>
      <c r="F184" s="190" t="s">
        <v>561</v>
      </c>
      <c r="G184" s="459">
        <v>0</v>
      </c>
    </row>
    <row r="185" spans="1:7" ht="20.100000000000001" customHeight="1">
      <c r="A185" s="507" t="s">
        <v>562</v>
      </c>
      <c r="B185" s="185"/>
      <c r="C185" s="185"/>
      <c r="D185" s="185"/>
      <c r="E185" s="185"/>
      <c r="F185" s="190" t="s">
        <v>563</v>
      </c>
      <c r="G185" s="459">
        <v>91000</v>
      </c>
    </row>
    <row r="186" spans="1:7" ht="20.100000000000001" customHeight="1">
      <c r="A186" s="507" t="s">
        <v>564</v>
      </c>
      <c r="B186" s="185"/>
      <c r="C186" s="185"/>
      <c r="D186" s="185"/>
      <c r="E186" s="185"/>
      <c r="F186" s="190" t="s">
        <v>565</v>
      </c>
      <c r="G186" s="459">
        <f>3693787*0+3695159</f>
        <v>3695159</v>
      </c>
    </row>
    <row r="187" spans="1:7" ht="20.100000000000001" customHeight="1">
      <c r="A187" s="507" t="s">
        <v>566</v>
      </c>
      <c r="B187" s="185"/>
      <c r="C187" s="185"/>
      <c r="D187" s="185"/>
      <c r="E187" s="185"/>
      <c r="F187" s="190" t="s">
        <v>567</v>
      </c>
      <c r="G187" s="459">
        <f>5732629*0+5734001</f>
        <v>5734001</v>
      </c>
    </row>
    <row r="188" spans="1:7" ht="20.100000000000001" customHeight="1">
      <c r="A188" s="507" t="s">
        <v>568</v>
      </c>
      <c r="B188" s="185"/>
      <c r="C188" s="185"/>
      <c r="D188" s="185"/>
      <c r="E188" s="185"/>
      <c r="F188" s="190" t="s">
        <v>569</v>
      </c>
      <c r="G188" s="459">
        <v>0</v>
      </c>
    </row>
    <row r="189" spans="1:7" ht="20.100000000000001" customHeight="1">
      <c r="A189" s="507" t="s">
        <v>570</v>
      </c>
      <c r="B189" s="185"/>
      <c r="C189" s="185"/>
      <c r="D189" s="185"/>
      <c r="E189" s="185"/>
      <c r="F189" s="190" t="s">
        <v>571</v>
      </c>
      <c r="G189" s="459">
        <v>0</v>
      </c>
    </row>
    <row r="190" spans="1:7" ht="20.100000000000001" customHeight="1">
      <c r="A190" s="507" t="s">
        <v>572</v>
      </c>
      <c r="B190" s="185"/>
      <c r="C190" s="185"/>
      <c r="D190" s="185"/>
      <c r="E190" s="185"/>
      <c r="F190" s="190" t="s">
        <v>573</v>
      </c>
      <c r="G190" s="459">
        <v>262854</v>
      </c>
    </row>
    <row r="191" spans="1:7" ht="20.100000000000001" customHeight="1">
      <c r="A191" s="507" t="s">
        <v>574</v>
      </c>
      <c r="B191" s="185"/>
      <c r="C191" s="185"/>
      <c r="D191" s="185"/>
      <c r="E191" s="185"/>
      <c r="F191" s="208">
        <v>59600</v>
      </c>
      <c r="G191" s="459">
        <v>0</v>
      </c>
    </row>
    <row r="192" spans="1:7" ht="20.100000000000001" customHeight="1">
      <c r="A192" s="507" t="s">
        <v>575</v>
      </c>
      <c r="B192" s="185"/>
      <c r="C192" s="185"/>
      <c r="D192" s="185"/>
      <c r="E192" s="185"/>
      <c r="F192" s="190" t="s">
        <v>576</v>
      </c>
      <c r="G192" s="459">
        <v>7085970</v>
      </c>
    </row>
    <row r="193" spans="1:7" ht="20.100000000000001" customHeight="1">
      <c r="A193" s="507" t="s">
        <v>577</v>
      </c>
      <c r="B193" s="185"/>
      <c r="C193" s="185"/>
      <c r="D193" s="185"/>
      <c r="E193" s="185"/>
      <c r="F193" s="190" t="s">
        <v>578</v>
      </c>
      <c r="G193" s="459">
        <v>255000</v>
      </c>
    </row>
    <row r="194" spans="1:7" ht="20.100000000000001" customHeight="1">
      <c r="A194" s="507" t="s">
        <v>579</v>
      </c>
      <c r="B194" s="185"/>
      <c r="C194" s="185"/>
      <c r="D194" s="185"/>
      <c r="E194" s="185"/>
      <c r="F194" s="190" t="s">
        <v>580</v>
      </c>
      <c r="G194" s="459">
        <f>78765*0+44121</f>
        <v>44121</v>
      </c>
    </row>
    <row r="195" spans="1:7" ht="20.100000000000001" customHeight="1">
      <c r="A195" s="507"/>
      <c r="B195" s="185"/>
      <c r="C195" s="185"/>
      <c r="D195" s="185"/>
      <c r="E195" s="185"/>
      <c r="F195" s="190"/>
      <c r="G195" s="667"/>
    </row>
    <row r="196" spans="1:7" ht="20.100000000000001" customHeight="1">
      <c r="A196" s="520" t="s">
        <v>581</v>
      </c>
      <c r="B196" s="521"/>
      <c r="C196" s="521"/>
      <c r="D196" s="521"/>
      <c r="E196" s="521"/>
      <c r="F196" s="534"/>
      <c r="G196" s="535">
        <f>SUM(G148:G194)</f>
        <v>71196630</v>
      </c>
    </row>
    <row r="197" spans="1:7" ht="20.100000000000001" customHeight="1">
      <c r="A197" s="517"/>
      <c r="B197" s="213"/>
      <c r="C197" s="213"/>
      <c r="D197" s="213"/>
      <c r="E197" s="213"/>
      <c r="F197" s="229"/>
      <c r="G197" s="214"/>
    </row>
    <row r="198" spans="1:7" ht="20.100000000000001" customHeight="1">
      <c r="A198" s="668" t="s">
        <v>582</v>
      </c>
      <c r="B198" s="615"/>
      <c r="C198" s="615"/>
      <c r="D198" s="615"/>
      <c r="E198" s="615"/>
      <c r="F198" s="661"/>
      <c r="G198" s="669"/>
    </row>
    <row r="199" spans="1:7" ht="20.100000000000001" customHeight="1">
      <c r="A199" s="507"/>
      <c r="B199" s="185"/>
      <c r="C199" s="185"/>
      <c r="D199" s="185"/>
      <c r="E199" s="185"/>
      <c r="F199" s="190"/>
      <c r="G199" s="211"/>
    </row>
    <row r="200" spans="1:7" ht="20.100000000000001" customHeight="1">
      <c r="A200" s="507" t="s">
        <v>583</v>
      </c>
      <c r="B200" s="185"/>
      <c r="C200" s="185"/>
      <c r="D200" s="185"/>
      <c r="E200" s="185"/>
      <c r="F200" s="190" t="s">
        <v>584</v>
      </c>
      <c r="G200" s="459">
        <v>310289</v>
      </c>
    </row>
    <row r="201" spans="1:7" ht="20.100000000000001" customHeight="1">
      <c r="A201" s="507" t="s">
        <v>585</v>
      </c>
      <c r="B201" s="185"/>
      <c r="C201" s="185"/>
      <c r="D201" s="185"/>
      <c r="E201" s="185"/>
      <c r="F201" s="190" t="s">
        <v>586</v>
      </c>
      <c r="G201" s="459">
        <v>72407</v>
      </c>
    </row>
    <row r="202" spans="1:7" ht="20.100000000000001" customHeight="1">
      <c r="A202" s="507" t="s">
        <v>587</v>
      </c>
      <c r="B202" s="185"/>
      <c r="C202" s="185"/>
      <c r="D202" s="185"/>
      <c r="E202" s="185"/>
      <c r="F202" s="190" t="s">
        <v>588</v>
      </c>
      <c r="G202" s="459">
        <v>469062</v>
      </c>
    </row>
    <row r="203" spans="1:7" ht="20.100000000000001" customHeight="1">
      <c r="A203" s="507" t="s">
        <v>589</v>
      </c>
      <c r="B203" s="185"/>
      <c r="C203" s="185"/>
      <c r="D203" s="185"/>
      <c r="E203" s="185"/>
      <c r="F203" s="190" t="s">
        <v>590</v>
      </c>
      <c r="G203" s="459">
        <v>171016</v>
      </c>
    </row>
    <row r="204" spans="1:7" ht="20.100000000000001" customHeight="1">
      <c r="A204" s="507" t="s">
        <v>591</v>
      </c>
      <c r="B204" s="185"/>
      <c r="C204" s="185"/>
      <c r="D204" s="185"/>
      <c r="E204" s="185"/>
      <c r="F204" s="190" t="s">
        <v>592</v>
      </c>
      <c r="G204" s="459">
        <v>794110</v>
      </c>
    </row>
    <row r="205" spans="1:7" ht="20.100000000000001" customHeight="1">
      <c r="A205" s="507" t="s">
        <v>593</v>
      </c>
      <c r="B205" s="185"/>
      <c r="C205" s="185"/>
      <c r="D205" s="185"/>
      <c r="E205" s="185"/>
      <c r="F205" s="190" t="s">
        <v>594</v>
      </c>
      <c r="G205" s="459">
        <f>89761+2364</f>
        <v>92125</v>
      </c>
    </row>
    <row r="206" spans="1:7" ht="20.100000000000001" customHeight="1">
      <c r="A206" s="507" t="s">
        <v>595</v>
      </c>
      <c r="B206" s="185"/>
      <c r="C206" s="185"/>
      <c r="D206" s="185"/>
      <c r="E206" s="185"/>
      <c r="F206" s="936">
        <v>63100</v>
      </c>
      <c r="G206" s="459">
        <v>177729</v>
      </c>
    </row>
    <row r="207" spans="1:7" ht="20.100000000000001" customHeight="1">
      <c r="A207" s="507" t="s">
        <v>596</v>
      </c>
      <c r="B207" s="185"/>
      <c r="C207" s="185"/>
      <c r="D207" s="185"/>
      <c r="E207" s="185"/>
      <c r="F207" s="190" t="s">
        <v>597</v>
      </c>
      <c r="G207" s="459">
        <v>1769406</v>
      </c>
    </row>
    <row r="208" spans="1:7" ht="20.100000000000001" customHeight="1">
      <c r="A208" s="507" t="s">
        <v>598</v>
      </c>
      <c r="B208" s="185"/>
      <c r="C208" s="185"/>
      <c r="D208" s="185"/>
      <c r="E208" s="185"/>
      <c r="F208" s="190" t="s">
        <v>599</v>
      </c>
      <c r="G208" s="459">
        <v>2616966</v>
      </c>
    </row>
    <row r="209" spans="1:7" ht="20.100000000000001" customHeight="1">
      <c r="A209" s="507" t="s">
        <v>600</v>
      </c>
      <c r="B209" s="185"/>
      <c r="C209" s="185"/>
      <c r="D209" s="185"/>
      <c r="E209" s="185"/>
      <c r="F209" s="190" t="s">
        <v>601</v>
      </c>
      <c r="G209" s="459">
        <v>0</v>
      </c>
    </row>
    <row r="210" spans="1:7" ht="20.100000000000001" customHeight="1">
      <c r="A210" s="507" t="s">
        <v>602</v>
      </c>
      <c r="B210" s="185"/>
      <c r="C210" s="185"/>
      <c r="D210" s="185"/>
      <c r="E210" s="185"/>
      <c r="F210" s="190" t="s">
        <v>603</v>
      </c>
      <c r="G210" s="459">
        <v>0</v>
      </c>
    </row>
    <row r="211" spans="1:7" ht="20.100000000000001" customHeight="1">
      <c r="A211" s="507" t="s">
        <v>604</v>
      </c>
      <c r="B211" s="185"/>
      <c r="C211" s="185"/>
      <c r="D211" s="185"/>
      <c r="E211" s="185"/>
      <c r="F211" s="190" t="s">
        <v>605</v>
      </c>
      <c r="G211" s="459">
        <v>0</v>
      </c>
    </row>
    <row r="212" spans="1:7" ht="20.100000000000001" customHeight="1">
      <c r="A212" s="507" t="s">
        <v>606</v>
      </c>
      <c r="B212" s="185"/>
      <c r="C212" s="185"/>
      <c r="D212" s="185"/>
      <c r="E212" s="185"/>
      <c r="F212" s="190" t="s">
        <v>607</v>
      </c>
      <c r="G212" s="459">
        <v>0</v>
      </c>
    </row>
    <row r="213" spans="1:7" ht="20.100000000000001" customHeight="1">
      <c r="A213" s="507" t="s">
        <v>608</v>
      </c>
      <c r="B213" s="185"/>
      <c r="C213" s="185"/>
      <c r="D213" s="185"/>
      <c r="E213" s="185"/>
      <c r="F213" s="190" t="s">
        <v>609</v>
      </c>
      <c r="G213" s="459">
        <v>0</v>
      </c>
    </row>
    <row r="214" spans="1:7" ht="20.100000000000001" customHeight="1">
      <c r="A214" s="507" t="s">
        <v>610</v>
      </c>
      <c r="F214" s="190" t="s">
        <v>611</v>
      </c>
      <c r="G214" s="459">
        <v>0</v>
      </c>
    </row>
    <row r="215" spans="1:7" ht="20.100000000000001" customHeight="1">
      <c r="A215" s="507" t="s">
        <v>612</v>
      </c>
      <c r="F215" s="188">
        <v>64007</v>
      </c>
      <c r="G215" s="459">
        <v>0</v>
      </c>
    </row>
    <row r="216" spans="1:7" ht="20.100000000000001" customHeight="1">
      <c r="A216" s="507" t="s">
        <v>613</v>
      </c>
      <c r="B216" s="185"/>
      <c r="C216" s="185"/>
      <c r="D216" s="185"/>
      <c r="E216" s="185"/>
      <c r="F216" s="190" t="s">
        <v>614</v>
      </c>
      <c r="G216" s="459">
        <v>2823299</v>
      </c>
    </row>
    <row r="217" spans="1:7" ht="20.100000000000001" customHeight="1">
      <c r="A217" s="507" t="s">
        <v>615</v>
      </c>
      <c r="B217" s="185"/>
      <c r="C217" s="185"/>
      <c r="D217" s="185"/>
      <c r="E217" s="185"/>
      <c r="F217" s="190" t="s">
        <v>616</v>
      </c>
      <c r="G217" s="459">
        <v>0</v>
      </c>
    </row>
    <row r="218" spans="1:7" ht="20.100000000000001" customHeight="1">
      <c r="A218" s="507" t="s">
        <v>617</v>
      </c>
      <c r="B218" s="185"/>
      <c r="C218" s="185"/>
      <c r="D218" s="185"/>
      <c r="E218" s="185"/>
      <c r="F218" s="190" t="s">
        <v>618</v>
      </c>
      <c r="G218" s="459">
        <v>0</v>
      </c>
    </row>
    <row r="219" spans="1:7" ht="20.100000000000001" customHeight="1">
      <c r="A219" s="507" t="s">
        <v>619</v>
      </c>
      <c r="B219" s="185"/>
      <c r="C219" s="185"/>
      <c r="D219" s="185"/>
      <c r="E219" s="185"/>
      <c r="F219" s="190" t="s">
        <v>620</v>
      </c>
      <c r="G219" s="459">
        <v>1203368</v>
      </c>
    </row>
    <row r="220" spans="1:7" ht="20.100000000000001" customHeight="1">
      <c r="A220" s="507" t="s">
        <v>621</v>
      </c>
      <c r="B220" s="185"/>
      <c r="C220" s="185"/>
      <c r="D220" s="185"/>
      <c r="E220" s="185"/>
      <c r="F220" s="190" t="s">
        <v>622</v>
      </c>
      <c r="G220" s="459">
        <v>974795</v>
      </c>
    </row>
    <row r="221" spans="1:7" ht="20.100000000000001" customHeight="1">
      <c r="A221" s="507" t="s">
        <v>623</v>
      </c>
      <c r="F221" s="208" t="s">
        <v>624</v>
      </c>
      <c r="G221" s="459">
        <v>3705740</v>
      </c>
    </row>
    <row r="222" spans="1:7" ht="20.100000000000001" customHeight="1">
      <c r="A222" s="507" t="s">
        <v>625</v>
      </c>
      <c r="B222" s="185"/>
      <c r="C222" s="185"/>
      <c r="D222" s="185"/>
      <c r="E222" s="185"/>
      <c r="F222" s="190" t="s">
        <v>626</v>
      </c>
      <c r="G222" s="459">
        <v>253725</v>
      </c>
    </row>
    <row r="223" spans="1:7" ht="20.100000000000001" customHeight="1">
      <c r="A223" s="507" t="s">
        <v>627</v>
      </c>
      <c r="B223" s="185"/>
      <c r="C223" s="185"/>
      <c r="D223" s="185"/>
      <c r="E223" s="185"/>
      <c r="F223" s="190" t="s">
        <v>628</v>
      </c>
      <c r="G223" s="459">
        <v>222076</v>
      </c>
    </row>
    <row r="224" spans="1:7" ht="20.100000000000001" customHeight="1">
      <c r="A224" s="507" t="s">
        <v>629</v>
      </c>
      <c r="B224" s="185"/>
      <c r="C224" s="185"/>
      <c r="D224" s="185"/>
      <c r="E224" s="185"/>
      <c r="F224" s="190" t="s">
        <v>630</v>
      </c>
      <c r="G224" s="459">
        <v>389557</v>
      </c>
    </row>
    <row r="225" spans="1:9" ht="20.100000000000001" customHeight="1">
      <c r="A225" s="507" t="s">
        <v>631</v>
      </c>
      <c r="B225" s="185"/>
      <c r="C225" s="185"/>
      <c r="D225" s="185"/>
      <c r="E225" s="185"/>
      <c r="F225" s="206" t="s">
        <v>632</v>
      </c>
      <c r="G225" s="459">
        <v>0</v>
      </c>
    </row>
    <row r="226" spans="1:9" ht="20.100000000000001" customHeight="1">
      <c r="A226" s="507" t="s">
        <v>633</v>
      </c>
      <c r="B226" s="185"/>
      <c r="C226" s="185"/>
      <c r="D226" s="185"/>
      <c r="E226" s="185"/>
      <c r="F226" s="190" t="s">
        <v>634</v>
      </c>
      <c r="G226" s="459">
        <v>0</v>
      </c>
    </row>
    <row r="227" spans="1:9" ht="20.100000000000001" customHeight="1">
      <c r="A227" s="507" t="s">
        <v>635</v>
      </c>
      <c r="B227" s="185"/>
      <c r="C227" s="185"/>
      <c r="D227" s="185"/>
      <c r="E227" s="185"/>
      <c r="F227" s="190" t="s">
        <v>636</v>
      </c>
      <c r="G227" s="459">
        <v>0</v>
      </c>
    </row>
    <row r="228" spans="1:9" ht="20.100000000000001" customHeight="1">
      <c r="A228" s="507" t="s">
        <v>637</v>
      </c>
      <c r="B228" s="185"/>
      <c r="C228" s="185"/>
      <c r="D228" s="185"/>
      <c r="E228" s="185"/>
      <c r="F228" s="190" t="s">
        <v>638</v>
      </c>
      <c r="G228" s="459">
        <v>0</v>
      </c>
    </row>
    <row r="229" spans="1:9" ht="20.100000000000001" customHeight="1">
      <c r="A229" s="507" t="s">
        <v>639</v>
      </c>
      <c r="B229" s="185"/>
      <c r="C229" s="185"/>
      <c r="D229" s="185"/>
      <c r="E229" s="185"/>
      <c r="F229" s="190" t="s">
        <v>640</v>
      </c>
      <c r="G229" s="459">
        <v>0</v>
      </c>
    </row>
    <row r="230" spans="1:9" ht="20.100000000000001" customHeight="1">
      <c r="A230" s="507" t="s">
        <v>641</v>
      </c>
      <c r="B230" s="185"/>
      <c r="C230" s="185"/>
      <c r="D230" s="185"/>
      <c r="E230" s="185"/>
      <c r="F230" s="190" t="s">
        <v>642</v>
      </c>
      <c r="G230" s="459">
        <v>0</v>
      </c>
    </row>
    <row r="231" spans="1:9" ht="20.100000000000001" customHeight="1">
      <c r="A231" s="518" t="s">
        <v>643</v>
      </c>
      <c r="B231" s="185"/>
      <c r="C231" s="185"/>
      <c r="D231" s="215"/>
      <c r="E231" s="185"/>
      <c r="F231" s="201" t="s">
        <v>644</v>
      </c>
      <c r="G231" s="459">
        <v>0</v>
      </c>
    </row>
    <row r="232" spans="1:9" ht="20.100000000000001" customHeight="1">
      <c r="A232" s="518" t="s">
        <v>645</v>
      </c>
      <c r="B232" s="216"/>
      <c r="C232" s="216"/>
      <c r="D232" s="217"/>
      <c r="E232" s="216"/>
      <c r="F232" s="218" t="s">
        <v>646</v>
      </c>
      <c r="G232" s="459">
        <v>0</v>
      </c>
    </row>
    <row r="233" spans="1:9" ht="20.100000000000001" customHeight="1">
      <c r="A233" s="518" t="s">
        <v>647</v>
      </c>
      <c r="B233" s="216"/>
      <c r="C233" s="216"/>
      <c r="D233" s="217"/>
      <c r="E233" s="216"/>
      <c r="F233" s="218" t="s">
        <v>648</v>
      </c>
      <c r="G233" s="459">
        <v>0</v>
      </c>
    </row>
    <row r="234" spans="1:9" ht="20.100000000000001" customHeight="1">
      <c r="A234" s="518" t="s">
        <v>649</v>
      </c>
      <c r="B234" s="216"/>
      <c r="C234" s="216"/>
      <c r="D234" s="217"/>
      <c r="E234" s="216"/>
      <c r="F234" s="219" t="s">
        <v>650</v>
      </c>
      <c r="G234" s="459">
        <v>0</v>
      </c>
    </row>
    <row r="235" spans="1:9" ht="20.100000000000001" customHeight="1">
      <c r="A235" s="518" t="s">
        <v>651</v>
      </c>
      <c r="B235" s="216"/>
      <c r="C235" s="216"/>
      <c r="D235" s="217"/>
      <c r="E235" s="216"/>
      <c r="F235" s="220">
        <v>69270</v>
      </c>
      <c r="G235" s="459">
        <v>0</v>
      </c>
    </row>
    <row r="236" spans="1:9" ht="20.100000000000001" customHeight="1">
      <c r="A236" s="507" t="s">
        <v>652</v>
      </c>
      <c r="B236" s="185"/>
      <c r="C236" s="185"/>
      <c r="D236" s="185"/>
      <c r="E236" s="185"/>
      <c r="F236" s="190" t="s">
        <v>653</v>
      </c>
      <c r="G236" s="459">
        <v>273050</v>
      </c>
      <c r="I236" s="221"/>
    </row>
    <row r="237" spans="1:9" ht="20.100000000000001" customHeight="1">
      <c r="A237" s="507" t="s">
        <v>654</v>
      </c>
      <c r="B237" s="185"/>
      <c r="C237" s="185"/>
      <c r="D237" s="185"/>
      <c r="E237" s="185"/>
      <c r="F237" s="190" t="s">
        <v>655</v>
      </c>
      <c r="G237" s="459">
        <v>0</v>
      </c>
    </row>
    <row r="238" spans="1:9" ht="20.100000000000001" customHeight="1">
      <c r="A238" s="507" t="s">
        <v>656</v>
      </c>
      <c r="B238" s="185"/>
      <c r="C238" s="185"/>
      <c r="D238" s="185"/>
      <c r="E238" s="185"/>
      <c r="F238" s="190" t="s">
        <v>657</v>
      </c>
      <c r="G238" s="1125">
        <v>654405</v>
      </c>
    </row>
    <row r="239" spans="1:9" ht="20.100000000000001" customHeight="1">
      <c r="A239" s="507"/>
      <c r="B239" s="185"/>
      <c r="C239" s="185"/>
      <c r="D239" s="185"/>
      <c r="E239" s="185"/>
      <c r="F239" s="190"/>
      <c r="G239" s="222"/>
    </row>
    <row r="240" spans="1:9" ht="20.100000000000001" customHeight="1">
      <c r="A240" s="1122" t="s">
        <v>658</v>
      </c>
      <c r="B240" s="582"/>
      <c r="C240" s="582"/>
      <c r="D240" s="582"/>
      <c r="E240" s="582"/>
      <c r="F240" s="583"/>
      <c r="G240" s="1126">
        <f>SUM(G200:G238)</f>
        <v>16973125</v>
      </c>
    </row>
    <row r="241" spans="1:7" ht="20.100000000000001" customHeight="1">
      <c r="A241" s="517"/>
      <c r="B241" s="213"/>
      <c r="C241" s="213"/>
      <c r="D241" s="213"/>
      <c r="E241" s="213"/>
      <c r="F241" s="587"/>
      <c r="G241" s="588"/>
    </row>
    <row r="242" spans="1:7" ht="20.100000000000001" customHeight="1">
      <c r="A242" s="1117" t="s">
        <v>208</v>
      </c>
      <c r="B242" s="790"/>
      <c r="C242" s="790"/>
      <c r="D242" s="790"/>
      <c r="E242" s="790"/>
      <c r="F242" s="791"/>
      <c r="G242" s="670"/>
    </row>
    <row r="243" spans="1:7" ht="20.100000000000001" customHeight="1">
      <c r="A243" s="507"/>
      <c r="B243" s="185"/>
      <c r="C243" s="185"/>
      <c r="D243" s="185"/>
      <c r="E243" s="185"/>
      <c r="F243" s="190"/>
      <c r="G243" s="222"/>
    </row>
    <row r="244" spans="1:7" ht="20.100000000000001" customHeight="1">
      <c r="A244" s="507" t="s">
        <v>659</v>
      </c>
      <c r="B244" s="185"/>
      <c r="C244" s="185"/>
      <c r="D244" s="185"/>
      <c r="E244" s="185"/>
      <c r="F244" s="190" t="s">
        <v>660</v>
      </c>
      <c r="G244" s="459">
        <v>87292</v>
      </c>
    </row>
    <row r="245" spans="1:7" ht="20.100000000000001" customHeight="1">
      <c r="A245" s="507" t="s">
        <v>661</v>
      </c>
      <c r="B245" s="185"/>
      <c r="C245" s="185"/>
      <c r="D245" s="185"/>
      <c r="E245" s="185"/>
      <c r="F245" s="190" t="s">
        <v>662</v>
      </c>
      <c r="G245" s="459">
        <v>382725</v>
      </c>
    </row>
    <row r="246" spans="1:7" ht="20.100000000000001" customHeight="1">
      <c r="A246" s="507" t="s">
        <v>663</v>
      </c>
      <c r="B246" s="185"/>
      <c r="C246" s="185"/>
      <c r="D246" s="185"/>
      <c r="E246" s="185"/>
      <c r="F246" s="190" t="s">
        <v>664</v>
      </c>
      <c r="G246" s="459">
        <v>833182</v>
      </c>
    </row>
    <row r="247" spans="1:7" ht="20.100000000000001" customHeight="1">
      <c r="A247" s="507" t="s">
        <v>665</v>
      </c>
      <c r="B247" s="185"/>
      <c r="C247" s="185"/>
      <c r="D247" s="185"/>
      <c r="E247" s="185"/>
      <c r="F247" s="984" t="s">
        <v>666</v>
      </c>
      <c r="G247" s="459">
        <v>0</v>
      </c>
    </row>
    <row r="248" spans="1:7" ht="20.100000000000001" customHeight="1">
      <c r="A248" s="992" t="s">
        <v>667</v>
      </c>
      <c r="B248" s="993"/>
      <c r="C248" s="993"/>
      <c r="D248" s="993"/>
      <c r="E248" s="993"/>
      <c r="F248" s="1018">
        <v>73001</v>
      </c>
      <c r="G248" s="459">
        <v>0</v>
      </c>
    </row>
    <row r="249" spans="1:7" ht="20.100000000000001" customHeight="1">
      <c r="A249" s="992" t="s">
        <v>668</v>
      </c>
      <c r="B249" s="993"/>
      <c r="C249" s="993"/>
      <c r="D249" s="993"/>
      <c r="E249" s="993"/>
      <c r="F249" s="1018">
        <v>73002</v>
      </c>
      <c r="G249" s="459">
        <v>0</v>
      </c>
    </row>
    <row r="250" spans="1:7" ht="20.100000000000001" customHeight="1">
      <c r="A250" s="507" t="s">
        <v>669</v>
      </c>
      <c r="B250" s="185"/>
      <c r="C250" s="185"/>
      <c r="D250" s="185"/>
      <c r="E250" s="185"/>
      <c r="F250" s="208">
        <v>73050</v>
      </c>
      <c r="G250" s="459">
        <v>0</v>
      </c>
    </row>
    <row r="251" spans="1:7" ht="20.100000000000001" customHeight="1">
      <c r="A251" s="507" t="s">
        <v>670</v>
      </c>
      <c r="B251" s="185"/>
      <c r="C251" s="185"/>
      <c r="D251" s="185"/>
      <c r="E251" s="185"/>
      <c r="F251" s="208">
        <v>73100</v>
      </c>
      <c r="G251" s="459">
        <v>637154</v>
      </c>
    </row>
    <row r="252" spans="1:7" ht="20.100000000000001" customHeight="1">
      <c r="A252" s="507" t="s">
        <v>671</v>
      </c>
      <c r="B252" s="185"/>
      <c r="C252" s="185"/>
      <c r="D252" s="185"/>
      <c r="E252" s="185"/>
      <c r="F252" s="190" t="s">
        <v>672</v>
      </c>
      <c r="G252" s="459">
        <v>0</v>
      </c>
    </row>
    <row r="253" spans="1:7" ht="20.100000000000001" customHeight="1">
      <c r="A253" s="507" t="s">
        <v>673</v>
      </c>
      <c r="B253" s="185"/>
      <c r="C253" s="185"/>
      <c r="D253" s="185"/>
      <c r="E253" s="185"/>
      <c r="F253" s="190" t="s">
        <v>674</v>
      </c>
      <c r="G253" s="459">
        <v>0</v>
      </c>
    </row>
    <row r="254" spans="1:7" ht="20.100000000000001" customHeight="1">
      <c r="A254" s="507" t="s">
        <v>675</v>
      </c>
      <c r="B254" s="185"/>
      <c r="C254" s="185"/>
      <c r="D254" s="185"/>
      <c r="E254" s="185"/>
      <c r="F254" s="190" t="s">
        <v>676</v>
      </c>
      <c r="G254" s="459">
        <v>0</v>
      </c>
    </row>
    <row r="255" spans="1:7" ht="20.100000000000001" customHeight="1">
      <c r="A255" s="507" t="s">
        <v>677</v>
      </c>
      <c r="B255" s="185"/>
      <c r="C255" s="185"/>
      <c r="D255" s="185"/>
      <c r="E255" s="185"/>
      <c r="F255" s="190" t="s">
        <v>678</v>
      </c>
      <c r="G255" s="459">
        <v>0</v>
      </c>
    </row>
    <row r="256" spans="1:7" ht="20.100000000000001" customHeight="1">
      <c r="A256" s="507" t="s">
        <v>679</v>
      </c>
      <c r="B256" s="185"/>
      <c r="C256" s="185"/>
      <c r="D256" s="185"/>
      <c r="E256" s="185"/>
      <c r="F256" s="190" t="s">
        <v>680</v>
      </c>
      <c r="G256" s="459">
        <v>0</v>
      </c>
    </row>
    <row r="257" spans="1:7" ht="20.100000000000001" customHeight="1">
      <c r="A257" s="507"/>
      <c r="B257" s="185"/>
      <c r="C257" s="185"/>
      <c r="D257" s="185"/>
      <c r="E257" s="185"/>
      <c r="F257" s="190"/>
      <c r="G257" s="671"/>
    </row>
    <row r="258" spans="1:7" ht="20.100000000000001" customHeight="1">
      <c r="A258" s="1122" t="s">
        <v>681</v>
      </c>
      <c r="B258" s="582"/>
      <c r="C258" s="582"/>
      <c r="D258" s="582"/>
      <c r="E258" s="582"/>
      <c r="F258" s="583"/>
      <c r="G258" s="1126">
        <f>SUM(G244:G256)</f>
        <v>1940353</v>
      </c>
    </row>
    <row r="259" spans="1:7" ht="20.100000000000001" customHeight="1">
      <c r="A259" s="517"/>
      <c r="B259" s="213"/>
      <c r="C259" s="213"/>
      <c r="D259" s="213"/>
      <c r="E259" s="213"/>
      <c r="F259" s="213"/>
      <c r="G259" s="589"/>
    </row>
    <row r="260" spans="1:7" ht="20.100000000000001" customHeight="1" thickBot="1">
      <c r="A260" s="536" t="s">
        <v>682</v>
      </c>
      <c r="B260" s="537"/>
      <c r="C260" s="537"/>
      <c r="D260" s="537"/>
      <c r="E260" s="537"/>
      <c r="F260" s="538"/>
      <c r="G260" s="539">
        <f>SUM(G196+G240+G258)</f>
        <v>90110108</v>
      </c>
    </row>
    <row r="261" spans="1:7" ht="20.100000000000001" customHeight="1" thickTop="1">
      <c r="A261" s="1127"/>
      <c r="B261" s="1128"/>
      <c r="C261" s="1128"/>
      <c r="D261" s="1128"/>
      <c r="E261" s="1128"/>
      <c r="F261" s="1129"/>
      <c r="G261" s="1130"/>
    </row>
    <row r="262" spans="1:7" ht="20.100000000000001" customHeight="1">
      <c r="A262" s="798"/>
      <c r="B262" s="799"/>
      <c r="C262" s="799"/>
      <c r="D262" s="799"/>
      <c r="E262" s="799"/>
      <c r="F262" s="800"/>
      <c r="G262" s="672"/>
    </row>
    <row r="263" spans="1:7" ht="20.100000000000001" customHeight="1">
      <c r="A263" s="507"/>
      <c r="B263" s="185"/>
      <c r="C263" s="185"/>
      <c r="D263" s="185"/>
      <c r="E263" s="185"/>
      <c r="F263" s="190"/>
      <c r="G263" s="222"/>
    </row>
    <row r="264" spans="1:7" ht="20.100000000000001" customHeight="1">
      <c r="A264" s="507" t="s">
        <v>683</v>
      </c>
      <c r="B264" s="185"/>
      <c r="C264" s="185"/>
      <c r="D264" s="185"/>
      <c r="E264" s="185"/>
      <c r="F264" s="202">
        <v>30100</v>
      </c>
      <c r="G264" s="458">
        <v>0</v>
      </c>
    </row>
    <row r="265" spans="1:7" ht="20.100000000000001" customHeight="1">
      <c r="A265" s="507" t="s">
        <v>684</v>
      </c>
      <c r="B265" s="185"/>
      <c r="C265" s="185"/>
      <c r="D265" s="185"/>
      <c r="E265" s="185"/>
      <c r="F265" s="202">
        <v>30200</v>
      </c>
      <c r="G265" s="459">
        <v>0</v>
      </c>
    </row>
    <row r="266" spans="1:7" ht="20.100000000000001" customHeight="1">
      <c r="A266" s="507" t="s">
        <v>685</v>
      </c>
      <c r="B266" s="185"/>
      <c r="C266" s="185"/>
      <c r="D266" s="185"/>
      <c r="E266" s="185"/>
      <c r="F266" s="202">
        <v>30300</v>
      </c>
      <c r="G266" s="459">
        <v>0</v>
      </c>
    </row>
    <row r="267" spans="1:7" ht="20.100000000000001" customHeight="1">
      <c r="A267" s="507" t="s">
        <v>686</v>
      </c>
      <c r="B267" s="185"/>
      <c r="C267" s="185"/>
      <c r="D267" s="185"/>
      <c r="E267" s="185"/>
      <c r="F267" s="202">
        <v>30400</v>
      </c>
      <c r="G267" s="459">
        <v>0</v>
      </c>
    </row>
    <row r="268" spans="1:7" ht="20.100000000000001" customHeight="1">
      <c r="A268" s="507" t="s">
        <v>687</v>
      </c>
      <c r="B268" s="185"/>
      <c r="C268" s="185"/>
      <c r="D268" s="185"/>
      <c r="E268" s="185"/>
      <c r="F268" s="202">
        <v>30500</v>
      </c>
      <c r="G268" s="459">
        <v>0</v>
      </c>
    </row>
    <row r="269" spans="1:7" ht="20.100000000000001" customHeight="1">
      <c r="A269" s="507" t="s">
        <v>688</v>
      </c>
      <c r="B269" s="185"/>
      <c r="C269" s="185"/>
      <c r="D269" s="185"/>
      <c r="E269" s="185"/>
      <c r="F269" s="202">
        <v>30600</v>
      </c>
      <c r="G269" s="459">
        <v>0</v>
      </c>
    </row>
    <row r="270" spans="1:7" ht="20.100000000000001" customHeight="1">
      <c r="A270" s="507" t="s">
        <v>689</v>
      </c>
      <c r="B270" s="185"/>
      <c r="C270" s="185"/>
      <c r="D270" s="185"/>
      <c r="E270" s="185"/>
      <c r="F270" s="202">
        <v>30700</v>
      </c>
      <c r="G270" s="459">
        <v>0</v>
      </c>
    </row>
    <row r="271" spans="1:7" ht="20.100000000000001" customHeight="1">
      <c r="A271" s="507" t="s">
        <v>690</v>
      </c>
      <c r="B271" s="185"/>
      <c r="C271" s="185"/>
      <c r="D271" s="185"/>
      <c r="E271" s="185"/>
      <c r="F271" s="202">
        <v>30900</v>
      </c>
      <c r="G271" s="459">
        <f>+'EXHIBIT A'!D32-'EXHIBIT D'!G272</f>
        <v>4444267.7265000045</v>
      </c>
    </row>
    <row r="272" spans="1:7" ht="20.100000000000001" customHeight="1">
      <c r="A272" s="507" t="s">
        <v>691</v>
      </c>
      <c r="B272" s="185"/>
      <c r="C272" s="185"/>
      <c r="D272" s="185"/>
      <c r="E272" s="185"/>
      <c r="F272" s="202">
        <v>31100</v>
      </c>
      <c r="G272" s="1131">
        <f>ROUND('EXHIBIT A'!E23*0.05,0)</f>
        <v>4976546</v>
      </c>
    </row>
    <row r="273" spans="1:12" ht="20.100000000000001" customHeight="1">
      <c r="A273" s="507"/>
      <c r="B273" s="185"/>
      <c r="C273" s="185"/>
      <c r="D273" s="185"/>
      <c r="E273" s="185"/>
      <c r="F273" s="202"/>
      <c r="G273" s="673"/>
    </row>
    <row r="274" spans="1:12" ht="20.100000000000001" customHeight="1">
      <c r="A274" s="508" t="s">
        <v>692</v>
      </c>
      <c r="B274" s="185"/>
      <c r="C274" s="185"/>
      <c r="D274" s="185"/>
      <c r="E274" s="185"/>
      <c r="F274" s="202"/>
      <c r="G274" s="1170">
        <f>SUM(G264:G272)</f>
        <v>9420813.7265000045</v>
      </c>
    </row>
    <row r="275" spans="1:12" ht="20.100000000000001" customHeight="1">
      <c r="A275" s="508"/>
      <c r="B275" s="185"/>
      <c r="C275" s="185"/>
      <c r="D275" s="185"/>
      <c r="E275" s="185"/>
      <c r="F275" s="202"/>
      <c r="G275" s="222"/>
    </row>
    <row r="276" spans="1:12" ht="20.100000000000001" customHeight="1" thickBot="1">
      <c r="A276" s="519" t="s">
        <v>693</v>
      </c>
      <c r="F276" s="208">
        <v>30800</v>
      </c>
      <c r="G276" s="460">
        <f>-'EXHIBIT A'!E14</f>
        <v>-53044286</v>
      </c>
      <c r="H276" s="541"/>
    </row>
    <row r="277" spans="1:12" ht="20.100000000000001" customHeight="1">
      <c r="A277" s="515"/>
      <c r="F277" s="208"/>
      <c r="G277" s="222"/>
    </row>
    <row r="278" spans="1:12" ht="20.100000000000001" customHeight="1">
      <c r="A278" s="520" t="s">
        <v>694</v>
      </c>
      <c r="B278" s="521"/>
      <c r="C278" s="521"/>
      <c r="D278" s="521"/>
      <c r="E278" s="521"/>
      <c r="F278" s="522"/>
      <c r="G278" s="523">
        <f>G274+G276</f>
        <v>-43623472.273499995</v>
      </c>
      <c r="H278" s="542"/>
    </row>
    <row r="279" spans="1:12">
      <c r="A279" s="223"/>
      <c r="B279" s="223"/>
      <c r="C279" s="223"/>
      <c r="D279" s="223"/>
      <c r="E279" s="223"/>
      <c r="F279" s="224"/>
      <c r="G279" s="225"/>
      <c r="H279" s="226"/>
      <c r="I279" s="226"/>
      <c r="J279" s="226"/>
      <c r="K279" s="226"/>
      <c r="L279" s="226"/>
    </row>
    <row r="280" spans="1:12" ht="13.5" customHeight="1">
      <c r="I280" s="226"/>
      <c r="J280" s="226"/>
      <c r="K280" s="226"/>
      <c r="L280" s="226"/>
    </row>
    <row r="281" spans="1:12">
      <c r="I281" s="226"/>
      <c r="J281" s="226"/>
      <c r="K281" s="226"/>
      <c r="L281" s="226"/>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 right="0" top="0" bottom="0" header="0" footer="0"/>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7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C3E3A07F853DC428540681EA194AEED" ma:contentTypeVersion="6" ma:contentTypeDescription="Create a new document." ma:contentTypeScope="" ma:versionID="7fd024f47616f493a43843147ab8877c">
  <xsd:schema xmlns:xsd="http://www.w3.org/2001/XMLSchema" xmlns:xs="http://www.w3.org/2001/XMLSchema" xmlns:p="http://schemas.microsoft.com/office/2006/metadata/properties" xmlns:ns2="27174ae1-81cd-4bb7-bf87-827be7ff6b13" xmlns:ns3="f8faf0ee-b2c3-4f93-b354-9318c1f936ea" targetNamespace="http://schemas.microsoft.com/office/2006/metadata/properties" ma:root="true" ma:fieldsID="5a98416d4b835c6932350848e33e1d76" ns2:_="" ns3:_="">
    <xsd:import namespace="27174ae1-81cd-4bb7-bf87-827be7ff6b13"/>
    <xsd:import namespace="f8faf0ee-b2c3-4f93-b354-9318c1f936ea"/>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7174ae1-81cd-4bb7-bf87-827be7ff6b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8faf0ee-b2c3-4f93-b354-9318c1f936e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4EB99F0-3281-401A-A88B-34022978AF3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3.xml><?xml version="1.0" encoding="utf-8"?>
<ds:datastoreItem xmlns:ds="http://schemas.openxmlformats.org/officeDocument/2006/customXml" ds:itemID="{02795884-F9BB-48CA-8D83-47215A5542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7174ae1-81cd-4bb7-bf87-827be7ff6b13"/>
    <ds:schemaRef ds:uri="f8faf0ee-b2c3-4f93-b354-9318c1f936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Ngamy N. Pham</cp:lastModifiedBy>
  <cp:revision/>
  <cp:lastPrinted>2022-06-14T19:57:27Z</cp:lastPrinted>
  <dcterms:created xsi:type="dcterms:W3CDTF">2005-03-22T15:46:43Z</dcterms:created>
  <dcterms:modified xsi:type="dcterms:W3CDTF">2022-06-28T17:01:50Z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0x010100BC3E3A07F853DC428540681EA194AEED</vt:lpwstr>
  </property>
</Properties>
</file>