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2-2023 Operating Budget\Received from Colleges\Pensacola\"/>
    </mc:Choice>
  </mc:AlternateContent>
  <bookViews>
    <workbookView xWindow="-120" yWindow="-120" windowWidth="29040" windowHeight="17640" tabRatio="769"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33" i="6" l="1"/>
  <c r="D14" i="6"/>
  <c r="D13" i="6"/>
  <c r="D12" i="6"/>
  <c r="D11" i="6"/>
  <c r="D10" i="6"/>
  <c r="D54" i="15" l="1"/>
  <c r="D49" i="15"/>
  <c r="D48" i="15"/>
  <c r="D15" i="15"/>
  <c r="D84" i="15"/>
  <c r="D16" i="15"/>
  <c r="C17" i="8"/>
  <c r="B17" i="8"/>
  <c r="B18" i="8"/>
  <c r="B16" i="8"/>
  <c r="B15" i="8"/>
  <c r="B14" i="8"/>
  <c r="B12" i="8"/>
  <c r="B10" i="8"/>
  <c r="C15" i="8"/>
  <c r="E13" i="4"/>
  <c r="G236" i="7" l="1"/>
  <c r="G192" i="7" l="1"/>
  <c r="G59" i="7"/>
  <c r="G50" i="7"/>
  <c r="G126" i="7"/>
  <c r="G111" i="7"/>
  <c r="G110" i="7"/>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H15" i="6" s="1"/>
  <c r="G17" i="7" s="1"/>
  <c r="F32" i="6"/>
  <c r="G32" i="6"/>
  <c r="H32" i="6"/>
  <c r="G30" i="7" s="1"/>
  <c r="F33" i="6"/>
  <c r="H33" i="6" s="1"/>
  <c r="G31" i="7" s="1"/>
  <c r="G33" i="6"/>
  <c r="F34" i="6"/>
  <c r="G34" i="6"/>
  <c r="H34" i="6"/>
  <c r="G32" i="7" s="1"/>
  <c r="F35" i="6"/>
  <c r="G35" i="6"/>
  <c r="E19" i="6"/>
  <c r="F19" i="6" s="1"/>
  <c r="G21" i="7" s="1"/>
  <c r="E20" i="6"/>
  <c r="F20" i="6" s="1"/>
  <c r="G22" i="7" s="1"/>
  <c r="E21" i="6"/>
  <c r="F21" i="6" s="1"/>
  <c r="G23" i="7" s="1"/>
  <c r="E22" i="6"/>
  <c r="F22" i="6"/>
  <c r="G24" i="7" s="1"/>
  <c r="E23" i="6"/>
  <c r="F23" i="6" s="1"/>
  <c r="G25" i="7" s="1"/>
  <c r="E24" i="6"/>
  <c r="F24" i="6"/>
  <c r="G26" i="7" s="1"/>
  <c r="B34" i="5"/>
  <c r="E39" i="6" s="1"/>
  <c r="F39" i="6" s="1"/>
  <c r="B35" i="5"/>
  <c r="E40" i="6" s="1"/>
  <c r="F40" i="6" s="1"/>
  <c r="G38" i="7" s="1"/>
  <c r="B37" i="5"/>
  <c r="E41" i="6" s="1"/>
  <c r="F41" i="6" s="1"/>
  <c r="G39" i="7" s="1"/>
  <c r="B38" i="5"/>
  <c r="E42" i="6"/>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E69" i="22" s="1"/>
  <c r="D65" i="22"/>
  <c r="D67" i="22"/>
  <c r="D69" i="22" s="1"/>
  <c r="D59" i="22"/>
  <c r="D62" i="22" s="1"/>
  <c r="D60" i="22"/>
  <c r="B52" i="22"/>
  <c r="E33" i="22"/>
  <c r="E34" i="22"/>
  <c r="D33" i="22"/>
  <c r="D34" i="22"/>
  <c r="D26" i="22"/>
  <c r="D38" i="22"/>
  <c r="C38" i="22"/>
  <c r="E15" i="22"/>
  <c r="D15" i="22"/>
  <c r="B46" i="22"/>
  <c r="E26" i="22"/>
  <c r="E59" i="22"/>
  <c r="E61" i="22" s="1"/>
  <c r="E38" i="22"/>
  <c r="B29" i="5"/>
  <c r="G14" i="5"/>
  <c r="H14" i="5" s="1"/>
  <c r="G258" i="7"/>
  <c r="E15" i="8"/>
  <c r="E36" i="6"/>
  <c r="D36" i="6"/>
  <c r="D43" i="6"/>
  <c r="D26" i="6"/>
  <c r="E17" i="6"/>
  <c r="G20" i="5"/>
  <c r="H20" i="5" s="1"/>
  <c r="G19" i="5"/>
  <c r="H19" i="5" s="1"/>
  <c r="G22" i="5"/>
  <c r="H22" i="5" s="1"/>
  <c r="G23" i="5"/>
  <c r="H23" i="5" s="1"/>
  <c r="E20" i="12"/>
  <c r="E29" i="12"/>
  <c r="E30" i="12"/>
  <c r="G196" i="7"/>
  <c r="D21" i="8"/>
  <c r="E68" i="3"/>
  <c r="C94" i="12"/>
  <c r="B31" i="5"/>
  <c r="H31" i="5" s="1"/>
  <c r="I31" i="5" s="1"/>
  <c r="B30" i="5"/>
  <c r="G16" i="5"/>
  <c r="H16" i="5" s="1"/>
  <c r="G15" i="5"/>
  <c r="H15" i="5"/>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E60" i="22"/>
  <c r="E70" i="22"/>
  <c r="E68" i="22"/>
  <c r="D66" i="22"/>
  <c r="H35" i="6"/>
  <c r="G33" i="7"/>
  <c r="H34" i="5"/>
  <c r="I34" i="5" s="1"/>
  <c r="E62" i="22"/>
  <c r="H38" i="5"/>
  <c r="I38" i="5"/>
  <c r="H30" i="5"/>
  <c r="I30" i="5" s="1"/>
  <c r="H37" i="5"/>
  <c r="I37" i="5"/>
  <c r="D17" i="6"/>
  <c r="F12" i="6"/>
  <c r="E46" i="3" s="1"/>
  <c r="F11" i="6"/>
  <c r="F14" i="6"/>
  <c r="H14" i="6" s="1"/>
  <c r="G16" i="7" s="1"/>
  <c r="F15" i="6"/>
  <c r="E49" i="3"/>
  <c r="F10" i="6"/>
  <c r="E44" i="3" s="1"/>
  <c r="E47" i="3"/>
  <c r="E48" i="3"/>
  <c r="F36" i="6" l="1"/>
  <c r="H12" i="6"/>
  <c r="G14" i="7" s="1"/>
  <c r="E21" i="8"/>
  <c r="C111" i="3"/>
  <c r="C95" i="3"/>
  <c r="C93" i="3"/>
  <c r="B70" i="6"/>
  <c r="F17" i="6"/>
  <c r="E50" i="3" s="1"/>
  <c r="H10" i="6"/>
  <c r="D128" i="15" s="1"/>
  <c r="C144" i="3" s="1"/>
  <c r="H36" i="6"/>
  <c r="H11" i="6"/>
  <c r="G13" i="7" s="1"/>
  <c r="G37" i="7"/>
  <c r="F43" i="6"/>
  <c r="D70" i="22"/>
  <c r="E74" i="3"/>
  <c r="E45" i="3"/>
  <c r="D68" i="22"/>
  <c r="C113" i="3"/>
  <c r="G75" i="7"/>
  <c r="G85" i="7" s="1"/>
  <c r="D106" i="3"/>
  <c r="H29" i="5"/>
  <c r="I29" i="5" s="1"/>
  <c r="F121" i="15"/>
  <c r="G260" i="7"/>
  <c r="E25" i="4" s="1"/>
  <c r="E28" i="4" s="1"/>
  <c r="G35" i="7"/>
  <c r="T119" i="23"/>
  <c r="C112" i="3"/>
  <c r="C121" i="3"/>
  <c r="G28" i="7"/>
  <c r="G42"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H44" i="6" l="1"/>
  <c r="F45" i="3"/>
  <c r="G45" i="3" s="1"/>
  <c r="C137" i="3"/>
  <c r="F128" i="15"/>
  <c r="H17" i="6"/>
  <c r="H27" i="6"/>
  <c r="H46" i="6" s="1"/>
  <c r="G12" i="7"/>
  <c r="G19" i="7" s="1"/>
  <c r="G44" i="7" s="1"/>
  <c r="G63" i="7" s="1"/>
  <c r="G144" i="7" s="1"/>
  <c r="E18" i="4" s="1"/>
  <c r="E21" i="4" s="1"/>
  <c r="E23" i="4" s="1"/>
  <c r="E44" i="4" s="1"/>
  <c r="C17" i="3" s="1"/>
  <c r="D139" i="15"/>
  <c r="D141" i="15" s="1"/>
  <c r="E102" i="3"/>
  <c r="E106" i="3" s="1"/>
  <c r="F123" i="15"/>
  <c r="C114" i="3"/>
  <c r="C139" i="3"/>
  <c r="F129" i="15"/>
  <c r="F139" i="15" s="1"/>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34" i="3" l="1"/>
  <c r="D32" i="4"/>
  <c r="E35" i="4" s="1"/>
  <c r="E38" i="4" s="1"/>
  <c r="C153" i="3"/>
  <c r="F141"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6"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5"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8"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8"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8"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8"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8"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8"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8"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8"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8"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8"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8"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8"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8"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8"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20"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21"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4"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9"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<sst xmlns="http://schemas.openxmlformats.org/spreadsheetml/2006/main" count="1352" uniqueCount="826">
  <si>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</si>
  <si>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</si>
  <si>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</si>
  <si>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</si>
  <si>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</si>
  <si>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</si>
  <si>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</si>
  <si>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</si>
  <si>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</si>
  <si>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</si>
  <si>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</si>
  <si>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</si>
  <si>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</si>
  <si>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</si>
  <si>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</si>
  <si>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</si>
  <si>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</si>
  <si>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</si>
  <si>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</si>
  <si>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</si>
  <si>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</si>
  <si>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</si>
  <si>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</si>
  <si>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</si>
  <si>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</si>
  <si>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</si>
  <si>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</si>
  <si>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</si>
  <si>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</si>
  <si>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</si>
  <si>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</si>
  <si>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</si>
  <si>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</si>
  <si>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</si>
  <si>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</si>
  <si>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</si>
  <si>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</si>
  <si>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</si>
  <si>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</si>
  <si>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</si>
  <si>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</si>
  <si>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</si>
  <si>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</si>
  <si>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</si>
  <si>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</si>
  <si>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</si>
  <si>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</si>
  <si>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</si>
  <si>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</si>
  <si>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</si>
  <si>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</si>
  <si>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</si>
  <si>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</si>
  <si>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</si>
  <si>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</si>
  <si>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</si>
  <si>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</si>
  <si>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</si>
  <si>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</si>
  <si>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</si>
  <si>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</si>
  <si>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</si>
  <si>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</si>
  <si>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</si>
  <si>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</si>
  <si>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</si>
  <si>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</si>
  <si>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</si>
  <si>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</si>
  <si>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</si>
  <si>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</si>
  <si>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</si>
  <si>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</si>
  <si>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</si>
  <si>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</si>
  <si>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</si>
  <si>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</si>
  <si>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</si>
  <si>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</si>
  <si>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</si>
  <si>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</si>
  <si>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</si>
  <si>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</si>
  <si>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</si>
  <si>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</si>
  <si>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</si>
  <si>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</si>
  <si>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</si>
  <si>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</si>
  <si>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</si>
  <si>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</si>
  <si>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</si>
  <si>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</si>
  <si>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</si>
  <si>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</si>
  <si>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</si>
  <si>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</si>
  <si>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</si>
  <si>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</si>
  <si>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</si>
  <si>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</si>
  <si>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</si>
  <si>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</si>
  <si>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</si>
  <si>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</si>
  <si>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</si>
  <si>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</si>
  <si>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</si>
  <si>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</si>
  <si>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</si>
  <si>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</si>
  <si>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</si>
  <si>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</si>
  <si>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</si>
  <si>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</si>
  <si>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</si>
  <si>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</si>
  <si>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</si>
  <si>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</si>
  <si>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</si>
  <si>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</si>
  <si>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</si>
  <si>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</si>
  <si>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</si>
  <si>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</si>
  <si>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</si>
  <si>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</si>
  <si>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</si>
  <si>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</si>
  <si>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</si>
  <si>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</si>
  <si>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</si>
  <si>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</si>
  <si>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</si>
  <si>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</si>
  <si>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</si>
  <si>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</si>
  <si>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</si>
  <si>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</si>
  <si>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</si>
  <si>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</si>
  <si>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</si>
  <si>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</si>
  <si>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</si>
  <si>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</si>
  <si>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</si>
  <si>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</si>
  <si>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</si>
  <si>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</si>
  <si>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</si>
  <si>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</si>
  <si>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</si>
  <si>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</si>
  <si>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</si>
  <si>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</si>
  <si>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</si>
  <si>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</si>
  <si>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</si>
  <si>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</si>
  <si>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</si>
  <si>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</si>
  <si>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</si>
  <si>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</si>
  <si>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</si>
  <si>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</si>
  <si>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</si>
  <si>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</si>
  <si>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</si>
  <si>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</si>
  <si>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</si>
  <si>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</si>
  <si>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</si>
  <si>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</si>
  <si>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</si>
  <si>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</si>
  <si>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</si>
  <si>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</si>
  <si>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</si>
  <si>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</si>
  <si>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</si>
  <si>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</si>
  <si>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</si>
  <si>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</si>
  <si>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</si>
  <si>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</si>
  <si>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</si>
  <si>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</si>
  <si>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</si>
  <si>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</si>
  <si>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</si>
  <si>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</si>
  <si>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</si>
  <si>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</si>
  <si>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</si>
  <si>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</si>
  <si>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</si>
  <si>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</si>
  <si>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</si>
  <si>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</si>
  <si>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</si>
  <si>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</si>
  <si>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</si>
  <si>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</si>
  <si>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</si>
  <si>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</si>
  <si>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</si>
  <si>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</si>
  <si>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</si>
  <si>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</si>
  <si>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</si>
  <si>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</si>
  <si>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</si>
  <si>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</si>
  <si>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</si>
  <si>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</si>
  <si>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</si>
  <si>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</si>
  <si>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</si>
  <si>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</si>
  <si>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</si>
  <si>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</si>
  <si>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</si>
  <si>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</si>
  <si>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</si>
  <si>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</si>
  <si>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</si>
  <si>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</si>
  <si>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</si>
  <si>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</si>
  <si>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</si>
  <si>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</si>
  <si>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</si>
  <si>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</si>
  <si>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</si>
  <si>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</si>
  <si>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</si>
  <si>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</si>
  <si>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</si>
  <si>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</si>
  <si>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</si>
  <si>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</si>
  <si>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</si>
  <si>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</si>
  <si>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</si>
  <si>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</si>
  <si>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</si>
  <si>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</si>
  <si>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</si>
  <si>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</si>
  <si>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</si>
  <si>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</si>
  <si>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</si>
  <si>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</si>
  <si>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</si>
  <si>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</si>
  <si>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</si>
  <si>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</si>
  <si>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</si>
  <si>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</si>
  <si>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</si>
  <si>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</si>
  <si>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</si>
  <si>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</si>
  <si>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</si>
  <si>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</si>
  <si>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</si>
  <si>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</si>
  <si>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</si>
  <si>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</si>
  <si>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</si>
  <si>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</si>
  <si>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</si>
  <si>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</si>
  <si>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</si>
  <si>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</si>
  <si>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</si>
  <si>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</si>
  <si>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</si>
  <si>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</si>
  <si>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</si>
  <si>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</si>
  <si>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</si>
  <si>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</si>
  <si>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</si>
  <si>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</si>
  <si>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</si>
  <si>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</si>
  <si>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</si>
  <si>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</si>
  <si>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</si>
  <si>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</si>
  <si>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</si>
  <si>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</si>
  <si>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</si>
  <si>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</si>
  <si>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</si>
  <si>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</si>
  <si>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</si>
  <si>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</si>
  <si>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</si>
  <si>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</si>
  <si>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</si>
  <si>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</si>
  <si>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</si>
  <si>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</si>
  <si>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</si>
  <si>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</si>
  <si>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</si>
  <si>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</si>
  <si>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</si>
  <si>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</si>
  <si>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</si>
  <si>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</si>
  <si>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</si>
  <si>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</si>
  <si>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</si>
  <si>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</si>
  <si>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</si>
  <si>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</si>
  <si>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</si>
  <si>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</si>
  <si>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</si>
  <si>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</si>
  <si>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</si>
  <si>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</si>
  <si>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</si>
  <si>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</si>
  <si>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</si>
  <si>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</si>
  <si>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</si>
  <si>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</si>
  <si>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</si>
  <si>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</si>
  <si>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</si>
  <si>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</si>
  <si>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</si>
  <si>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</si>
  <si>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</si>
  <si>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</si>
  <si>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</si>
  <si>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</si>
  <si>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</si>
  <si>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</si>
  <si>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</si>
  <si>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</si>
  <si>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</si>
  <si>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</si>
  <si>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</si>
  <si>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</si>
  <si>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</si>
  <si>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</si>
  <si>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</si>
  <si>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</si>
  <si>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</si>
  <si>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</si>
  <si>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</si>
  <si>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</si>
  <si>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</si>
  <si>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</si>
  <si>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</si>
  <si>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</si>
  <si>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</si>
  <si>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</si>
  <si>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</si>
  <si>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</si>
  <si>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</si>
  <si>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</si>
  <si>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</si>
  <si>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</si>
  <si>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</si>
  <si>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</si>
  <si>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</si>
  <si>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</si>
  <si>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</si>
  <si>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</si>
  <si>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</si>
  <si>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</si>
  <si>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</si>
  <si>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</si>
  <si>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</si>
  <si>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</si>
  <si>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</si>
  <si>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</si>
  <si>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</si>
  <si>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</si>
  <si>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</si>
  <si>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</si>
  <si>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</si>
  <si>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</si>
  <si>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</si>
  <si>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</si>
  <si>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</si>
  <si>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</si>
  <si>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</si>
  <si>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</si>
  <si>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</si>
  <si>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</si>
  <si>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</si>
  <si>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</si>
  <si>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</si>
  <si>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</si>
  <si>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</si>
  <si>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</si>
  <si>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</si>
  <si>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</si>
  <si>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</si>
  <si>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</si>
  <si>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</si>
  <si>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</si>
  <si>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</si>
  <si>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</si>
  <si>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</si>
  <si>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</si>
  <si>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</si>
  <si>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</si>
  <si>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</si>
  <si>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</si>
  <si>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</si>
  <si>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</si>
  <si>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</si>
  <si>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</si>
  <si>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</si>
  <si>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</si>
  <si>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</si>
  <si>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</si>
  <si>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</si>
  <si>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</si>
  <si>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</si>
  <si>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</si>
  <si>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</si>
  <si>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</si>
  <si>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</si>
  <si>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</si>
  <si>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</si>
  <si>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</si>
  <si>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</si>
  <si>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</si>
  <si>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</si>
  <si>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</si>
  <si>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</si>
  <si>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</si>
  <si>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</si>
  <si>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</si>
  <si>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</si>
  <si>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</si>
  <si>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</si>
  <si>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</si>
  <si>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</si>
  <si>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</si>
  <si>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</si>
  <si>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</si>
  <si>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</si>
  <si>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</si>
  <si>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</si>
  <si>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</si>
  <si>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</si>
  <si>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</si>
  <si>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</si>
  <si>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</si>
  <si>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</si>
  <si>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</si>
  <si>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</si>
  <si>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</si>
  <si>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</si>
  <si>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</si>
  <si>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</si>
  <si>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</si>
  <si>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</si>
  <si>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</si>
  <si>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</si>
  <si>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</si>
  <si>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</si>
  <si>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</si>
  <si>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</si>
  <si>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</si>
  <si>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</si>
  <si>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</si>
  <si>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</si>
  <si>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</si>
  <si>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</si>
  <si>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</si>
  <si>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</si>
  <si>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</si>
  <si>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</si>
  <si>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</si>
  <si>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</si>
  <si>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</si>
  <si>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</si>
  <si>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</si>
  <si>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</si>
  <si>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</si>
  <si>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</si>
  <si>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</si>
  <si>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</si>
  <si>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</si>
  <si>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</si>
  <si>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</si>
  <si>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</si>
  <si>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</si>
  <si>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</si>
  <si>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</si>
  <si>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</si>
  <si>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</si>
  <si>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</si>
  <si>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</si>
  <si>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</si>
  <si>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</si>
  <si>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</si>
  <si>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</si>
  <si>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</si>
  <si>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</si>
  <si>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</si>
  <si>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</si>
  <si>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</si>
  <si>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</si>
  <si>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</si>
  <si>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</si>
  <si>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</si>
  <si>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</si>
  <si>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</si>
  <si>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</si>
  <si>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</si>
  <si>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</si>
  <si>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</si>
  <si>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</si>
  <si>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</si>
  <si>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</si>
  <si>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</si>
  <si>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</si>
  <si>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</si>
  <si>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</si>
  <si>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</si>
  <si>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</si>
  <si>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</si>
  <si>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</si>
  <si>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</si>
  <si>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</si>
  <si>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</si>
  <si>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</si>
  <si>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</si>
  <si>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</si>
  <si>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</si>
  <si>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</si>
  <si>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</si>
  <si>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</si>
  <si>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</si>
  <si>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</si>
  <si>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</si>
  <si>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</si>
  <si>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</si>
  <si>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</si>
  <si>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</si>
  <si>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</si>
  <si>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</si>
  <si>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</si>
  <si>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</si>
  <si>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</si>
  <si>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</si>
  <si>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</si>
  <si>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</si>
  <si>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</si>
  <si>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</si>
  <si>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</si>
  <si>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</si>
  <si>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</si>
  <si>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</si>
  <si>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</si>
  <si>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</si>
  <si>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</si>
  <si>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</si>
  <si>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</si>
  <si>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</si>
  <si>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</si>
  <si>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</si>
  <si>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</si>
  <si>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</si>
  <si>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</si>
  <si>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</si>
  <si>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</si>
  <si>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</si>
  <si>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</si>
  <si>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</si>
  <si>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</si>
  <si>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</si>
  <si>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</si>
  <si>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</si>
  <si>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</si>
  <si>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</si>
  <si>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</si>
  <si>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</si>
  <si>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</si>
  <si>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</si>
  <si>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</si>
  <si>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</si>
  <si>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</si>
  <si>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</si>
  <si>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</si>
  <si>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</si>
  <si>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</si>
  <si>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</si>
  <si>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</si>
  <si>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</si>
  <si>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</si>
  <si>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</si>
  <si>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</si>
  <si>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</si>
  <si>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</si>
  <si>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</si>
  <si>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</si>
  <si>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</si>
  <si>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</si>
  <si>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</si>
  <si>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</si>
  <si>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</si>
  <si>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</si>
  <si>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</si>
  <si>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</si>
  <si>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</si>
  <si>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</si>
  <si>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</si>
  <si>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</si>
  <si>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</si>
  <si>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</si>
  <si>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</si>
  <si>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</si>
  <si>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</si>
  <si>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</si>
  <si>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</si>
  <si>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</si>
  <si>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</si>
  <si>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</si>
  <si>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</si>
  <si>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</si>
  <si>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</si>
  <si>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</si>
  <si>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</si>
  <si>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</si>
  <si>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</si>
  <si>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</si>
  <si>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</si>
  <si>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</si>
  <si>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</si>
  <si>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</si>
  <si>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</si>
  <si>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</si>
  <si>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</si>
  <si>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</si>
  <si>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</si>
  <si>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</si>
  <si>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</si>
  <si>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</si>
  <si>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</si>
  <si>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</si>
  <si>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</si>
  <si>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</si>
  <si>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</si>
  <si>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</si>
  <si>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</si>
  <si>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</si>
  <si>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</si>
  <si>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</si>
  <si>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</si>
  <si>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</si>
  <si>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</si>
  <si>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</si>
  <si>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</si>
  <si>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</si>
  <si>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</si>
  <si>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</si>
  <si>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</si>
  <si>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</si>
  <si>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</si>
  <si>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</si>
  <si>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</si>
  <si>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</si>
  <si>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</si>
  <si>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</si>
  <si>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</si>
  <si>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</si>
  <si>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</si>
  <si>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</si>
  <si>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</si>
  <si>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</si>
  <si>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</si>
  <si>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</si>
  <si>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</si>
  <si>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</si>
  <si>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</si>
  <si>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</si>
  <si>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</si>
  <si>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</si>
  <si>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</si>
  <si>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</si>
  <si>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</si>
  <si>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</si>
  <si>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</si>
  <si>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</si>
  <si>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</si>
  <si>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</si>
  <si>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</si>
  <si>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</si>
  <si>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</si>
  <si>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</si>
  <si>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</si>
  <si>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</si>
  <si>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</si>
  <si>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</si>
  <si>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</si>
  <si>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</si>
  <si>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</si>
  <si>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</si>
  <si>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</si>
  <si>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</si>
  <si>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</si>
  <si>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</si>
  <si>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</si>
  <si>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</si>
  <si>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</si>
  <si>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</si>
  <si>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</si>
  <si>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</si>
  <si>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</si>
  <si>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</si>
  <si>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</si>
  <si>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</si>
  <si>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</si>
  <si>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</si>
  <si>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</si>
  <si>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</si>
  <si>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</si>
  <si>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</si>
  <si>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</si>
  <si>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</si>
  <si>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</si>
  <si>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</si>
  <si>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</si>
  <si>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</si>
  <si>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</si>
  <si>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</si>
  <si>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</si>
  <si>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</si>
  <si>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</si>
  <si>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</si>
  <si>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</si>
  <si>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</si>
  <si>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</si>
  <si>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</si>
  <si>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</si>
  <si>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</si>
  <si>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</si>
  <si>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</si>
  <si>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</si>
  <si>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</si>
  <si>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</si>
  <si>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</si>
  <si>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</si>
  <si>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</si>
  <si>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</si>
  <si>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</si>
  <si>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</si>
  <si>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</si>
  <si>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</si>
  <si>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</si>
  <si>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</si>
  <si>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</si>
  <si>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</si>
  <si>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</si>
  <si>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</si>
  <si>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</si>
  <si>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</si>
  <si>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</si>
  <si>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</si>
  <si>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</si>
  <si>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</si>
  <si>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</si>
  <si>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</si>
  <si>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</si>
  <si>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</si>
  <si>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</si>
  <si>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</si>
  <si>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</si>
  <si>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</si>
  <si>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</si>
  <si>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</si>
  <si>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</si>
  <si>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</si>
  <si>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</si>
  <si>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</si>
  <si>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</si>
  <si>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</si>
  <si>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</si>
  <si>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</si>
  <si>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</si>
  <si>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</si>
  <si>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</si>
  <si>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</si>
  <si>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</si>
  <si>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</si>
  <si>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</si>
  <si>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</si>
  <si>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</si>
  <si>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</si>
  <si>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</si>
  <si>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</si>
  <si>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</si>
  <si>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</si>
  <si>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</si>
  <si>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Fund 3</t>
  </si>
  <si>
    <t>Fund 1</t>
  </si>
  <si>
    <t>Transfer to Fund 2 -PALS Program</t>
  </si>
  <si>
    <t>Fund 2</t>
  </si>
  <si>
    <t xml:space="preserve">No changes in tuition </t>
  </si>
  <si>
    <t>planned.</t>
  </si>
  <si>
    <t>The revenues exceed the direct expenditures.  Additional revenues that are generated will go towards institutional costs to keep the College in operation.</t>
  </si>
  <si>
    <t>that are generated will go towards institutional costs to keep the College in operation.</t>
  </si>
  <si>
    <t>College in operation.</t>
  </si>
  <si>
    <t>Not Applicable</t>
  </si>
  <si>
    <t xml:space="preserve">Pensacola State College as allowed by Statute charges an out of state </t>
  </si>
  <si>
    <t xml:space="preserve">differential fee that skews this calculation to demonstrate more FTE </t>
  </si>
  <si>
    <t>than what the revenue actually produces.</t>
  </si>
  <si>
    <t>revenues that are generated will go towards institutional costs to keep the College in operation.</t>
  </si>
  <si>
    <t>to keep the College in operation.</t>
  </si>
  <si>
    <t xml:space="preserve">Overall, the College estimates are just slightly higher than the Division estimates.  The College is budgetng the same as what is expected for the </t>
  </si>
  <si>
    <t xml:space="preserve">The College is budgetng the same as what is expected for the current </t>
  </si>
  <si>
    <t>year and the Division is projecting what appears to be a small decline.  The difference is less than 5%.</t>
  </si>
  <si>
    <t>The difference is less than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</si>
</sst>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4" zoomScale="80" zoomScaleNormal="80" zoomScalePageLayoutView="80" workbookViewId="0">
      <selection activeCell="F29" sqref="F29"/>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Pensacola State College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755</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f>4042327+11046073.06+5429919.05+147000+2043637.15</f>
        <v>22708956.259999998</v>
      </c>
      <c r="C10" s="577">
        <v>1962553.69</v>
      </c>
      <c r="D10" s="577">
        <v>0</v>
      </c>
      <c r="E10" s="480">
        <f>SUM(B10:D10)</f>
        <v>24671509.949999999</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f>1111990.55+109967.1</f>
        <v>1221957.6500000001</v>
      </c>
      <c r="C12" s="567">
        <v>73010</v>
      </c>
      <c r="D12" s="567">
        <v>0</v>
      </c>
      <c r="E12" s="481">
        <f>SUM(B12:D12)</f>
        <v>1294967.6500000001</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f>114001+3177050.74+325459.1</f>
        <v>3616510.8400000003</v>
      </c>
      <c r="C14" s="579">
        <v>1171879</v>
      </c>
      <c r="D14" s="579">
        <v>52000</v>
      </c>
      <c r="E14" s="481">
        <f t="shared" ref="E14:E20" si="0">SUM(B14:D14)</f>
        <v>4840389.84</v>
      </c>
      <c r="F14" s="457"/>
    </row>
    <row r="15" spans="1:8" s="37" customFormat="1" ht="20.100000000000001" customHeight="1">
      <c r="A15" s="479" t="s">
        <v>625</v>
      </c>
      <c r="B15" s="578">
        <f>88258.08+8728.03</f>
        <v>96986.11</v>
      </c>
      <c r="C15" s="567">
        <f>125400</f>
        <v>125400</v>
      </c>
      <c r="D15" s="567">
        <v>0</v>
      </c>
      <c r="E15" s="481">
        <f>SUM(B15:D15)</f>
        <v>222386.11</v>
      </c>
      <c r="F15" s="457"/>
    </row>
    <row r="16" spans="1:8" s="37" customFormat="1" ht="20.100000000000001" customHeight="1">
      <c r="A16" s="479" t="s">
        <v>626</v>
      </c>
      <c r="B16" s="578">
        <f>280900+4614339.68+75000+15000+493000.9</f>
        <v>5478240.5800000001</v>
      </c>
      <c r="C16" s="567">
        <v>1306674.48</v>
      </c>
      <c r="D16" s="567">
        <v>2500</v>
      </c>
      <c r="E16" s="481">
        <f t="shared" si="0"/>
        <v>6787415.0600000005</v>
      </c>
      <c r="F16" s="457"/>
    </row>
    <row r="17" spans="1:6" s="37" customFormat="1" ht="20.100000000000001" customHeight="1">
      <c r="A17" s="479" t="s">
        <v>627</v>
      </c>
      <c r="B17" s="578">
        <f>305000+5780565.93+601814.5-0.17</f>
        <v>6687380.2599999998</v>
      </c>
      <c r="C17" s="567">
        <f>5965328+11005+1-0.17</f>
        <v>5976333.8300000001</v>
      </c>
      <c r="D17" s="567">
        <v>300021</v>
      </c>
      <c r="E17" s="481">
        <f t="shared" si="0"/>
        <v>12963735.09</v>
      </c>
      <c r="F17" s="457"/>
    </row>
    <row r="18" spans="1:6" s="37" customFormat="1" ht="20.100000000000001" customHeight="1">
      <c r="A18" s="479" t="s">
        <v>628</v>
      </c>
      <c r="B18" s="578">
        <f>71450+1913358.86+32500+199495.94</f>
        <v>2216804.8000000003</v>
      </c>
      <c r="C18" s="567">
        <v>8830144</v>
      </c>
      <c r="D18" s="567">
        <v>0</v>
      </c>
      <c r="E18" s="481">
        <f t="shared" si="0"/>
        <v>11046948.800000001</v>
      </c>
      <c r="F18" s="457"/>
    </row>
    <row r="19" spans="1:6" s="37" customFormat="1" ht="20.100000000000001" customHeight="1">
      <c r="A19" s="479" t="s">
        <v>629</v>
      </c>
      <c r="B19" s="578">
        <v>0</v>
      </c>
      <c r="C19" s="567">
        <v>929000</v>
      </c>
      <c r="D19" s="567">
        <v>0</v>
      </c>
      <c r="E19" s="481">
        <f t="shared" si="0"/>
        <v>929000</v>
      </c>
      <c r="F19" s="457"/>
    </row>
    <row r="20" spans="1:6" s="37" customFormat="1" ht="20.100000000000001" customHeight="1" thickBot="1">
      <c r="A20" s="479" t="s">
        <v>630</v>
      </c>
      <c r="B20" s="578">
        <v>0</v>
      </c>
      <c r="C20" s="568">
        <v>1000000</v>
      </c>
      <c r="D20" s="568">
        <v>0</v>
      </c>
      <c r="E20" s="481">
        <f t="shared" si="0"/>
        <v>1000000</v>
      </c>
      <c r="F20" s="457"/>
    </row>
    <row r="21" spans="1:6" s="37" customFormat="1" ht="24" customHeight="1" thickBot="1">
      <c r="A21" s="377" t="s">
        <v>50</v>
      </c>
      <c r="B21" s="458">
        <f>SUM(B10:B20)</f>
        <v>42026836.499999993</v>
      </c>
      <c r="C21" s="461">
        <f>SUM(C10:C20)</f>
        <v>21374995</v>
      </c>
      <c r="D21" s="461">
        <f>SUM(D10:D20)</f>
        <v>354521</v>
      </c>
      <c r="E21" s="460">
        <f>SUM(E10:E20)</f>
        <v>63756352.5</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topLeftCell="A40" zoomScale="60" zoomScaleNormal="60" zoomScaleSheetLayoutView="50" zoomScalePageLayoutView="60" workbookViewId="0">
      <selection activeCell="L57" sqref="L57"/>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9" t="s">
        <v>183</v>
      </c>
      <c r="B1" s="1153" t="str">
        <f>'CHECK SHEET'!D7</f>
        <v>Pensacola State College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755</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737</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89226.37</v>
      </c>
      <c r="E11" s="925">
        <v>0</v>
      </c>
      <c r="F11" s="926">
        <f t="shared" si="0"/>
        <v>89226.37</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f>138928.24+36597.6</f>
        <v>175525.84</v>
      </c>
      <c r="E15" s="925">
        <v>0</v>
      </c>
      <c r="F15" s="926">
        <f t="shared" si="0"/>
        <v>175525.84</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f>85860+8400</f>
        <v>94260</v>
      </c>
      <c r="E16" s="925">
        <v>0</v>
      </c>
      <c r="F16" s="926">
        <f t="shared" si="0"/>
        <v>94260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804</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49893.49</v>
      </c>
      <c r="E25" s="925">
        <v>0</v>
      </c>
      <c r="F25" s="926">
        <f t="shared" si="0"/>
        <v>49893.49</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97992</v>
      </c>
      <c r="E35" s="925">
        <v>0</v>
      </c>
      <c r="F35" s="926">
        <f>+D35+E35</f>
        <v>97992</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f>(SUM(D11:D25)*0.0765)+(D35*0.0165)</f>
        <v>32898.154049999997</v>
      </c>
      <c r="E48" s="925">
        <v>0</v>
      </c>
      <c r="F48" s="926">
        <f t="shared" si="0"/>
        <v>32898.154049999997</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f>(SUM(D12:D25)*0.12)+(D11*0.25)</f>
        <v>60668.112099999991</v>
      </c>
      <c r="E49" s="925">
        <v>0</v>
      </c>
      <c r="F49" s="926">
        <f t="shared" si="0"/>
        <v>60668.112099999991</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f>10500*4</f>
        <v>42000</v>
      </c>
      <c r="E54" s="925">
        <v>0</v>
      </c>
      <c r="F54" s="926">
        <f t="shared" si="0"/>
        <v>42000</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642463.96614999999</v>
      </c>
      <c r="E57" s="346">
        <f>SUM(E10:E56)</f>
        <v>0</v>
      </c>
      <c r="F57" s="346">
        <f t="shared" si="0"/>
        <v>642463.96614999999</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0</v>
      </c>
      <c r="E64" s="580">
        <v>0</v>
      </c>
      <c r="F64" s="304">
        <f t="shared" si="0"/>
        <v>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6000</v>
      </c>
      <c r="E67" s="925">
        <v>0</v>
      </c>
      <c r="F67" s="926">
        <f t="shared" si="0"/>
        <v>6000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0" t="s">
        <v>732</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5539</v>
      </c>
      <c r="E80" s="925">
        <v>0</v>
      </c>
      <c r="F80" s="926">
        <f t="shared" si="0"/>
        <v>5539</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3977</v>
      </c>
      <c r="E83" s="925">
        <v>0</v>
      </c>
      <c r="F83" s="926">
        <f t="shared" si="1"/>
        <v>3977</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f>550+600</f>
        <v>1150</v>
      </c>
      <c r="E84" s="925">
        <v>0</v>
      </c>
      <c r="F84" s="926">
        <f t="shared" si="1"/>
        <v>1150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3000</v>
      </c>
      <c r="E102" s="925">
        <v>0</v>
      </c>
      <c r="F102" s="931">
        <f t="shared" si="1"/>
        <v>3000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19666</v>
      </c>
      <c r="E103" s="342">
        <f>SUM(E64:E102)</f>
        <v>0</v>
      </c>
      <c r="F103" s="342">
        <f t="shared" si="1"/>
        <v>19666</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763</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764</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731</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662129.96614999999</v>
      </c>
      <c r="E123" s="342">
        <f>+E57+E103+E121</f>
        <v>0</v>
      </c>
      <c r="F123" s="342">
        <f>SUM(D123:E123)</f>
        <v>662129.96614999999</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1150500</v>
      </c>
      <c r="E128" s="925">
        <v>0</v>
      </c>
      <c r="F128" s="926">
        <f t="shared" ref="F128:F138" si="3">+D128+E128</f>
        <v>1150500</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30000</v>
      </c>
      <c r="E129" s="925">
        <v>0</v>
      </c>
      <c r="F129" s="926">
        <f t="shared" si="3"/>
        <v>30000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9" t="s">
        <v>729</v>
      </c>
      <c r="B132" s="1220"/>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1180500</v>
      </c>
      <c r="E139" s="334">
        <f>SUM(E127:E138)</f>
        <v>0</v>
      </c>
      <c r="F139" s="335">
        <f>SUM(F127:F138)</f>
        <v>1180500</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799</v>
      </c>
      <c r="B141" s="1156"/>
      <c r="C141" s="1157"/>
      <c r="D141" s="326">
        <f>D139-D123</f>
        <v>518370.03385000001</v>
      </c>
      <c r="E141" s="326">
        <f t="shared" ref="E141:F141" si="4">E139-E123</f>
        <v>0</v>
      </c>
      <c r="F141" s="326">
        <f t="shared" si="4"/>
        <v>518370.03385000001</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800</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t="s">
        <v>813</v>
      </c>
      <c r="C145" s="1029"/>
      <c r="D145" s="1029"/>
      <c r="E145" s="1029"/>
      <c r="F145" s="1077"/>
      <c r="G145" s="322"/>
      <c r="H145" s="322"/>
      <c r="I145" s="322"/>
      <c r="J145" s="322"/>
      <c r="K145" s="322"/>
      <c r="L145" s="322"/>
      <c r="M145" s="322"/>
      <c r="N145" s="322"/>
      <c r="O145" s="322"/>
      <c r="P145" s="322"/>
      <c r="Q145" s="322"/>
    </row>
    <row r="146" spans="1:17" ht="30" customHeight="1">
      <c r="A146" s="1076"/>
      <c r="B146" s="1029" t="s">
        <v>814</v>
      </c>
      <c r="C146" s="1029"/>
      <c r="D146" s="1029"/>
      <c r="E146" s="1029"/>
      <c r="F146" s="1077"/>
      <c r="G146" s="322"/>
      <c r="H146" s="322"/>
      <c r="I146" s="322"/>
      <c r="J146" s="322"/>
      <c r="K146" s="322"/>
      <c r="L146" s="322"/>
      <c r="M146" s="322"/>
      <c r="N146" s="322"/>
      <c r="O146" s="322"/>
      <c r="P146" s="322"/>
      <c r="Q146" s="322"/>
    </row>
    <row r="147" spans="1:17" ht="30" customHeight="1">
      <c r="A147" s="1076"/>
      <c r="B147" s="1029" t="s">
        <v>815</v>
      </c>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t="s">
        <v>816</v>
      </c>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9" t="s">
        <v>11</v>
      </c>
      <c r="C1" s="1129"/>
      <c r="D1" s="1129"/>
      <c r="E1" s="1129"/>
      <c r="F1" s="352"/>
      <c r="G1" s="352"/>
    </row>
    <row r="2" spans="2:7" ht="26.25">
      <c r="B2" s="1129" t="s">
        <v>756</v>
      </c>
      <c r="C2" s="1129"/>
      <c r="D2" s="1129"/>
      <c r="E2" s="1129"/>
      <c r="F2" s="352"/>
      <c r="G2" s="352"/>
    </row>
    <row r="3" spans="2:7" ht="21">
      <c r="B3" s="1115"/>
      <c r="C3" s="1115"/>
      <c r="D3" s="1115"/>
      <c r="E3" s="1115"/>
      <c r="F3" s="352"/>
      <c r="G3" s="352"/>
    </row>
    <row r="4" spans="2:7" ht="21.75"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5"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9" t="s">
        <v>11</v>
      </c>
      <c r="B1" s="1129"/>
      <c r="C1" s="1129"/>
    </row>
    <row r="2" spans="1:21" s="101" customFormat="1" ht="21" customHeight="1" thickBot="1">
      <c r="A2" s="1129" t="s">
        <v>757</v>
      </c>
      <c r="B2" s="1129"/>
      <c r="C2" s="1129"/>
      <c r="D2" s="102"/>
      <c r="E2" s="102"/>
      <c r="F2" s="102"/>
      <c r="G2" s="102"/>
      <c r="H2" s="102"/>
      <c r="I2" s="102"/>
      <c r="J2" s="102"/>
      <c r="K2" s="102"/>
      <c r="L2" s="102"/>
      <c r="M2" s="102"/>
      <c r="N2" s="102"/>
      <c r="O2" s="102"/>
      <c r="P2" s="102"/>
      <c r="Q2" s="102"/>
      <c r="R2" s="102"/>
      <c r="S2" s="102"/>
      <c r="T2" s="102"/>
      <c r="U2" s="102"/>
    </row>
    <row r="3" spans="1:21" s="101" customFormat="1" ht="26.45"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3" t="s">
        <v>716</v>
      </c>
      <c r="B30" s="1233"/>
      <c r="C30" s="1233"/>
    </row>
    <row r="31" spans="1:21" ht="14.45" customHeight="1">
      <c r="A31" s="1234"/>
      <c r="B31" s="1234"/>
      <c r="C31" s="1234"/>
    </row>
    <row r="32" spans="1:21" ht="31.35" customHeight="1">
      <c r="A32" s="1233" t="s">
        <v>717</v>
      </c>
      <c r="B32" s="1233"/>
      <c r="C32" s="1233"/>
    </row>
    <row r="33" spans="1:3" ht="14.45" customHeight="1">
      <c r="A33" s="1234"/>
      <c r="B33" s="1234"/>
      <c r="C33" s="1234"/>
    </row>
    <row r="34" spans="1:3" ht="30" customHeight="1">
      <c r="A34" s="1233" t="s">
        <v>718</v>
      </c>
      <c r="B34" s="1233"/>
      <c r="C34" s="1233"/>
    </row>
    <row r="35" spans="1:3" ht="14.45"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5" t="s">
        <v>14</v>
      </c>
      <c r="B1" s="1255"/>
      <c r="C1" s="1255"/>
      <c r="D1" s="1255"/>
      <c r="E1" s="18"/>
      <c r="F1" s="19"/>
    </row>
    <row r="2" spans="1:10" ht="33.6" customHeight="1" thickBot="1">
      <c r="A2" s="1262" t="s">
        <v>15</v>
      </c>
      <c r="B2" s="1262"/>
      <c r="C2" s="1262"/>
      <c r="D2" s="1262"/>
      <c r="E2" s="19"/>
    </row>
    <row r="3" spans="1:10" ht="25.35" customHeight="1" thickBot="1">
      <c r="A3" s="75"/>
      <c r="B3" s="76" t="s">
        <v>794</v>
      </c>
      <c r="C3" s="77"/>
      <c r="D3" s="86"/>
      <c r="E3" s="85"/>
      <c r="F3" s="25"/>
    </row>
    <row r="4" spans="1:10" ht="25.35" customHeight="1" thickBot="1">
      <c r="A4" s="75">
        <v>1</v>
      </c>
      <c r="B4" s="64">
        <v>2</v>
      </c>
      <c r="C4" s="64">
        <v>3</v>
      </c>
      <c r="D4" s="64">
        <v>4</v>
      </c>
      <c r="E4" s="68"/>
      <c r="F4" s="25"/>
    </row>
    <row r="5" spans="1:10" ht="44.1" customHeight="1" thickBot="1">
      <c r="A5" s="1272" t="s">
        <v>16</v>
      </c>
      <c r="B5" s="1321" t="s">
        <v>775</v>
      </c>
      <c r="C5" s="1322"/>
      <c r="D5" s="1323"/>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4" t="s">
        <v>51</v>
      </c>
      <c r="B36" s="1324"/>
      <c r="C36" s="1324"/>
      <c r="D36" s="1324"/>
      <c r="E36" s="607"/>
      <c r="F36" s="24"/>
      <c r="K36" s="529"/>
    </row>
    <row r="37" spans="1:21" ht="44.45" customHeight="1">
      <c r="A37" s="1325" t="s">
        <v>795</v>
      </c>
      <c r="B37" s="1325"/>
      <c r="C37" s="1325"/>
      <c r="D37" s="1325"/>
      <c r="E37" s="606"/>
      <c r="F37" s="24"/>
      <c r="K37" s="529"/>
    </row>
    <row r="38" spans="1:21" ht="26.45" customHeight="1">
      <c r="A38" s="1283"/>
      <c r="B38" s="1283"/>
      <c r="C38" s="1283"/>
      <c r="D38" s="1283"/>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758</v>
      </c>
      <c r="B40" s="1161" t="s">
        <v>793</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6" t="s">
        <v>777</v>
      </c>
      <c r="C44" s="1252"/>
      <c r="D44" s="1252">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776</v>
      </c>
      <c r="C46" s="781"/>
      <c r="D46" s="781">
        <v>315500</v>
      </c>
      <c r="E46" s="782">
        <f t="shared" si="1"/>
        <v>315500</v>
      </c>
      <c r="H46" s="24"/>
    </row>
    <row r="47" spans="1:21" ht="84.75" customHeight="1">
      <c r="A47" s="1169" t="s">
        <v>25</v>
      </c>
      <c r="B47" s="1251" t="s">
        <v>779</v>
      </c>
      <c r="C47" s="1252"/>
      <c r="D47" s="1252">
        <v>447123</v>
      </c>
      <c r="E47" s="782">
        <f t="shared" si="1"/>
        <v>447123</v>
      </c>
      <c r="H47" s="24"/>
    </row>
    <row r="48" spans="1:21" ht="84.75" customHeight="1">
      <c r="A48" s="1169" t="s">
        <v>21</v>
      </c>
      <c r="B48" s="1251" t="s">
        <v>778</v>
      </c>
      <c r="C48" s="1252"/>
      <c r="D48" s="1252">
        <v>1200000</v>
      </c>
      <c r="E48" s="782">
        <f t="shared" si="1"/>
        <v>1200000</v>
      </c>
      <c r="H48" s="24"/>
    </row>
    <row r="49" spans="1:8" ht="62.45" customHeight="1">
      <c r="A49" s="1169" t="s">
        <v>30</v>
      </c>
      <c r="B49" s="783" t="s">
        <v>58</v>
      </c>
      <c r="C49" s="781">
        <v>2500000</v>
      </c>
      <c r="D49" s="781"/>
      <c r="E49" s="782">
        <f t="shared" si="1"/>
        <v>2500000</v>
      </c>
      <c r="H49" s="24"/>
    </row>
    <row r="50" spans="1:8" ht="62.45" customHeight="1">
      <c r="A50" s="1169" t="s">
        <v>35</v>
      </c>
      <c r="B50" s="1251" t="s">
        <v>781</v>
      </c>
      <c r="C50" s="1252"/>
      <c r="D50" s="1252">
        <v>1000000</v>
      </c>
      <c r="E50" s="782">
        <f t="shared" si="1"/>
        <v>1000000</v>
      </c>
      <c r="H50" s="24"/>
    </row>
    <row r="51" spans="1:8" ht="62.45" customHeight="1">
      <c r="A51" s="1169" t="s">
        <v>35</v>
      </c>
      <c r="B51" s="1251" t="s">
        <v>780</v>
      </c>
      <c r="C51" s="1252"/>
      <c r="D51" s="1252">
        <v>600050</v>
      </c>
      <c r="E51" s="782">
        <f t="shared" si="1"/>
        <v>600050</v>
      </c>
      <c r="H51" s="24"/>
    </row>
    <row r="52" spans="1:8" ht="62.45" customHeight="1">
      <c r="A52" s="1169" t="s">
        <v>36</v>
      </c>
      <c r="B52" s="1251" t="s">
        <v>782</v>
      </c>
      <c r="C52" s="1252"/>
      <c r="D52" s="1252">
        <v>400000</v>
      </c>
      <c r="E52" s="782">
        <f t="shared" si="1"/>
        <v>400000</v>
      </c>
      <c r="H52" s="24"/>
    </row>
    <row r="53" spans="1:8" ht="62.45" customHeight="1">
      <c r="A53" s="1169" t="s">
        <v>37</v>
      </c>
      <c r="B53" s="1251" t="s">
        <v>783</v>
      </c>
      <c r="C53" s="1252"/>
      <c r="D53" s="1252">
        <v>500000</v>
      </c>
      <c r="E53" s="782">
        <f t="shared" si="1"/>
        <v>500000</v>
      </c>
      <c r="H53" s="24"/>
    </row>
    <row r="54" spans="1:8" ht="62.45" customHeight="1">
      <c r="A54" s="1169" t="s">
        <v>39</v>
      </c>
      <c r="B54" s="1251" t="s">
        <v>784</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785</v>
      </c>
      <c r="B56" s="1251" t="s">
        <v>786</v>
      </c>
      <c r="C56" s="1252"/>
      <c r="D56" s="1252">
        <v>765645</v>
      </c>
      <c r="E56" s="782">
        <f t="shared" si="1"/>
        <v>765645</v>
      </c>
      <c r="H56" s="24"/>
    </row>
    <row r="57" spans="1:8" ht="42">
      <c r="A57" s="1328" t="s">
        <v>787</v>
      </c>
      <c r="B57" s="1251" t="s">
        <v>788</v>
      </c>
      <c r="C57" s="1252"/>
      <c r="D57" s="1252">
        <v>5000000</v>
      </c>
      <c r="E57" s="782">
        <f t="shared" si="1"/>
        <v>5000000</v>
      </c>
      <c r="H57" s="24"/>
    </row>
    <row r="58" spans="1:8" ht="42">
      <c r="A58" s="1327" t="s">
        <v>726</v>
      </c>
      <c r="B58" s="1251" t="s">
        <v>789</v>
      </c>
      <c r="C58" s="1252"/>
      <c r="D58" s="1252">
        <v>756722</v>
      </c>
      <c r="E58" s="782">
        <f t="shared" si="1"/>
        <v>756722</v>
      </c>
      <c r="H58" s="24"/>
    </row>
    <row r="59" spans="1:8" ht="63">
      <c r="A59" s="1172" t="s">
        <v>43</v>
      </c>
      <c r="B59" s="783" t="s">
        <v>790</v>
      </c>
      <c r="C59" s="781"/>
      <c r="D59" s="781">
        <v>955600</v>
      </c>
      <c r="E59" s="782">
        <f t="shared" si="1"/>
        <v>955600</v>
      </c>
      <c r="H59" s="24"/>
    </row>
    <row r="60" spans="1:8" ht="62.45" customHeight="1">
      <c r="A60" s="1172" t="s">
        <v>46</v>
      </c>
      <c r="B60" s="1251" t="s">
        <v>723</v>
      </c>
      <c r="C60" s="1252"/>
      <c r="D60" s="1252">
        <v>1400000</v>
      </c>
      <c r="E60" s="782">
        <f t="shared" si="1"/>
        <v>1400000</v>
      </c>
      <c r="H60" s="24"/>
    </row>
    <row r="61" spans="1:8" ht="86.25" customHeight="1">
      <c r="A61" s="1172" t="s">
        <v>60</v>
      </c>
      <c r="B61" s="1251" t="s">
        <v>791</v>
      </c>
      <c r="C61" s="1252"/>
      <c r="D61" s="1252">
        <v>50000</v>
      </c>
      <c r="E61" s="782">
        <f t="shared" si="1"/>
        <v>50000</v>
      </c>
      <c r="H61" s="24"/>
    </row>
    <row r="62" spans="1:8" ht="86.25" customHeight="1" thickBot="1">
      <c r="A62" s="1327" t="s">
        <v>49</v>
      </c>
      <c r="B62" s="730" t="s">
        <v>792</v>
      </c>
      <c r="C62" s="731"/>
      <c r="D62" s="731">
        <v>1000000</v>
      </c>
      <c r="E62" s="1329">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05.03.22    BY:  EN</v>
      </c>
      <c r="C67" s="53" t="s">
        <v>10</v>
      </c>
      <c r="D67" s="53"/>
      <c r="F67" s="24"/>
      <c r="G67" s="24"/>
      <c r="H67" s="24"/>
    </row>
    <row r="68" spans="1:13" ht="45" customHeight="1" thickBot="1">
      <c r="A68" s="1276" t="s">
        <v>727</v>
      </c>
      <c r="B68" s="1277"/>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759</v>
      </c>
      <c r="B75" s="1280" t="s">
        <v>766</v>
      </c>
      <c r="C75" s="1281"/>
      <c r="D75" s="1281"/>
      <c r="E75" s="1282"/>
      <c r="F75" s="21"/>
      <c r="G75" s="53"/>
      <c r="H75" s="24"/>
    </row>
    <row r="76" spans="1:13" ht="87.6" customHeight="1" thickBot="1">
      <c r="A76" s="50" t="s">
        <v>17</v>
      </c>
      <c r="B76" s="30" t="s">
        <v>796</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3" t="s">
        <v>767</v>
      </c>
      <c r="B108" s="1263"/>
      <c r="C108" s="1263"/>
      <c r="D108" s="1263"/>
      <c r="E108" s="1263"/>
      <c r="F108" s="1263"/>
      <c r="G108" s="1263"/>
      <c r="H108" s="1263"/>
      <c r="I108" s="1263"/>
      <c r="J108" s="1263"/>
      <c r="K108" s="1263"/>
      <c r="L108" s="1263"/>
      <c r="M108" s="1263"/>
      <c r="N108" s="1263"/>
      <c r="O108" s="1263"/>
      <c r="P108" s="1263"/>
      <c r="Q108" s="1263"/>
      <c r="R108" s="1263"/>
    </row>
    <row r="109" spans="1:19" ht="20.100000000000001"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00000000000001" customHeight="1">
      <c r="A112" s="1261"/>
      <c r="B112" s="1261"/>
      <c r="C112" s="1261"/>
      <c r="D112" s="1261"/>
      <c r="E112" s="1261"/>
      <c r="F112" s="1261"/>
      <c r="G112" s="1261"/>
    </row>
    <row r="113" spans="1:54" ht="32.450000000000003" customHeight="1" thickBot="1">
      <c r="E113" s="599"/>
      <c r="F113" s="599"/>
      <c r="G113" s="599"/>
      <c r="H113" s="27"/>
      <c r="I113" s="27"/>
      <c r="J113" s="27"/>
      <c r="K113" s="27"/>
    </row>
    <row r="114" spans="1:54" ht="43.35" customHeight="1" thickBot="1">
      <c r="A114" s="58" t="s">
        <v>760</v>
      </c>
      <c r="B114" s="1256" t="s">
        <v>773</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45"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768</v>
      </c>
      <c r="U116" s="41"/>
      <c r="V116" s="42"/>
      <c r="W116" s="43"/>
      <c r="X116" s="44"/>
      <c r="Y116" s="72"/>
      <c r="Z116" s="1289"/>
      <c r="AA116" s="1290"/>
      <c r="AB116" s="1291"/>
      <c r="AC116" s="22"/>
      <c r="AD116" s="729" t="s">
        <v>769</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770</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772</v>
      </c>
      <c r="AJ128" s="1284"/>
      <c r="AK128" s="1284"/>
      <c r="AL128" s="1284"/>
      <c r="AM128" s="1284"/>
      <c r="AN128" s="1284"/>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5" t="s">
        <v>11</v>
      </c>
      <c r="B1" s="1115"/>
      <c r="C1" s="1115"/>
      <c r="D1" s="1115"/>
      <c r="E1" s="1115"/>
      <c r="F1" s="1115"/>
      <c r="G1" s="1115"/>
      <c r="H1" s="994"/>
      <c r="I1" s="994"/>
    </row>
    <row r="2" spans="1:53" ht="20.100000000000001" customHeight="1">
      <c r="A2" s="1115" t="s">
        <v>736</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40</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806</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9.491386149590704E-2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13020</v>
      </c>
      <c r="E44" s="138">
        <f>+'EXHIBIT C'!F10</f>
        <v>12534.05</v>
      </c>
      <c r="F44" s="139">
        <f t="shared" ref="F44:F50" si="0">IF(D44=0,"0",(E44/D44-1))</f>
        <v>-3.7323348694316527E-2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88198.068407390441</v>
      </c>
      <c r="E45" s="142">
        <f>+'EXHIBIT C'!F11</f>
        <v>94100</v>
      </c>
      <c r="F45" s="810">
        <f t="shared" si="0"/>
        <v>6.691678966650727E-2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35859.554873369147</v>
      </c>
      <c r="E46" s="814">
        <f>+'EXHIBIT C'!F12</f>
        <v>36616.160000000003</v>
      </c>
      <c r="F46" s="810">
        <f t="shared" si="0"/>
        <v>2.1099122097378409E-2</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8572.4197002141336</v>
      </c>
      <c r="E47" s="814">
        <f>+'EXHIBIT C'!F13</f>
        <v>8669.4680000000008</v>
      </c>
      <c r="F47" s="810">
        <f t="shared" si="0"/>
        <v>1.1320992576161704E-2</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5393.5045513654095</v>
      </c>
      <c r="E48" s="814">
        <f>+'EXHIBIT C'!F14</f>
        <v>5997.4750000000004</v>
      </c>
      <c r="F48" s="810">
        <f t="shared" si="0"/>
        <v>0.11198107703120241</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151043.54753233914</v>
      </c>
      <c r="E50" s="145">
        <f>+'EXHIBIT C'!F17</f>
        <v>157917.15300000002</v>
      </c>
      <c r="F50" s="146">
        <f t="shared" si="0"/>
        <v>4.550744192623779E-2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thickBot="1">
      <c r="C53" s="1008" t="s">
        <v>822</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08" t="s">
        <v>823</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t="s">
        <v>824</v>
      </c>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t="s">
        <v>825</v>
      </c>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108.9443</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1865.2847763017255</v>
      </c>
      <c r="E69" s="159">
        <f>+'EXHIBIT C'!D20</f>
        <v>2588.998</v>
      </c>
      <c r="F69" s="821">
        <f t="shared" si="2"/>
        <v>0.38799074162454206</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505.94571966789925</v>
      </c>
      <c r="E70" s="824">
        <f>+'EXHIBIT C'!D21</f>
        <v>1226.002</v>
      </c>
      <c r="F70" s="821">
        <f t="shared" si="2"/>
        <v>1.4231887974163371</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128.1798715203426</v>
      </c>
      <c r="E71" s="824">
        <f>+'EXHIBIT C'!D22</f>
        <v>285.63490000000002</v>
      </c>
      <c r="F71" s="821">
        <f t="shared" si="2"/>
        <v>1.2283912178416307</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276.49544863459039</v>
      </c>
      <c r="E72" s="824">
        <f>+'EXHIBIT C'!D23</f>
        <v>286.99919999999997</v>
      </c>
      <c r="F72" s="821">
        <f t="shared" si="2"/>
        <v>3.7988876190476084E-2</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2775.905816124558</v>
      </c>
      <c r="E74" s="161">
        <f>SUM(E68:E73)</f>
        <v>4496.5784000000003</v>
      </c>
      <c r="F74" s="162">
        <f t="shared" si="2"/>
        <v>0.61985985759332185</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t="s">
        <v>817</v>
      </c>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t="s">
        <v>818</v>
      </c>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t="s">
        <v>819</v>
      </c>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32670984.101199999</v>
      </c>
      <c r="E102" s="833">
        <f>+'EXHIBIT D'!G75</f>
        <v>32670984.101199999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477974</v>
      </c>
      <c r="E103" s="833">
        <f>'EXHIBIT D'!G77</f>
        <v>477974</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7356570</v>
      </c>
      <c r="E104" s="833">
        <f>'EXHIBIT D'!G81</f>
        <v>7356570</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797</v>
      </c>
      <c r="D105" s="173">
        <f>E105</f>
        <v>1046433</v>
      </c>
      <c r="E105" s="174">
        <f>'EXHIBIT D'!G76</f>
        <v>1046433</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41551961.101199999</v>
      </c>
      <c r="E106" s="176">
        <f>SUM(E102:E105)</f>
        <v>41551961.101199999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738</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6685951</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6685951</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801</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31500000</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31500000</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91.789964137688941</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275.37007443253111</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802</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803</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805</v>
      </c>
      <c r="D151" s="1126"/>
      <c r="E151" s="1126"/>
      <c r="F151" s="1126"/>
      <c r="G151" s="1126"/>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Not 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8" t="s">
        <v>813</v>
      </c>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t="s">
        <v>820</v>
      </c>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t="s">
        <v>821</v>
      </c>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7" man="1"/>
    <brk id="108" max="7"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8" t="s">
        <v>180</v>
      </c>
      <c r="C1" s="1128"/>
      <c r="D1" s="1128"/>
      <c r="E1" s="1128"/>
      <c r="F1" s="368"/>
      <c r="G1" s="368"/>
    </row>
    <row r="2" spans="2:7" ht="26.25">
      <c r="B2" s="1129" t="s">
        <v>11</v>
      </c>
      <c r="C2" s="1129"/>
      <c r="D2" s="1129"/>
      <c r="E2" s="1129"/>
      <c r="F2" s="1039"/>
      <c r="G2" s="1039"/>
    </row>
    <row r="3" spans="2:7" ht="26.25">
      <c r="B3" s="1129" t="s">
        <v>181</v>
      </c>
      <c r="C3" s="1129"/>
      <c r="D3" s="1129"/>
      <c r="E3" s="1129"/>
      <c r="F3" s="1039"/>
      <c r="G3" s="1039"/>
    </row>
    <row r="4" spans="2:7" ht="26.25">
      <c r="B4" s="1129" t="s">
        <v>182</v>
      </c>
      <c r="C4" s="1129"/>
      <c r="D4" s="1129"/>
      <c r="E4" s="1129"/>
      <c r="F4" s="1039"/>
      <c r="G4" s="1039"/>
    </row>
    <row r="5" spans="2:7" ht="26.25">
      <c r="B5" s="1128" t="s">
        <v>735</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Pensacola State College</v>
      </c>
      <c r="D8" s="1038"/>
      <c r="E8" s="1038"/>
      <c r="F8" s="431"/>
      <c r="G8" s="431"/>
    </row>
    <row r="9" spans="2:7" ht="25.35" customHeight="1">
      <c r="D9" s="149"/>
      <c r="E9" s="149"/>
      <c r="F9" s="149"/>
      <c r="G9" s="149"/>
    </row>
    <row r="10" spans="2:7" ht="41.45"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f>9899437-31500000</f>
        <v>-21600563</v>
      </c>
    </row>
    <row r="14" spans="2:7" ht="25.35" customHeight="1">
      <c r="B14" s="37" t="s">
        <v>185</v>
      </c>
      <c r="D14" s="112"/>
      <c r="E14" s="719">
        <v>31500000</v>
      </c>
    </row>
    <row r="15" spans="2:7" ht="25.35" customHeight="1">
      <c r="B15" s="112"/>
      <c r="C15" s="24"/>
      <c r="D15" s="112"/>
      <c r="E15" s="200"/>
    </row>
    <row r="16" spans="2:7" ht="25.35" customHeight="1">
      <c r="B16" s="24" t="s">
        <v>743</v>
      </c>
      <c r="C16" s="112"/>
      <c r="D16" s="35"/>
      <c r="E16" s="720">
        <f>+E14+E13</f>
        <v>9899437</v>
      </c>
    </row>
    <row r="17" spans="2:7" ht="25.35" customHeight="1">
      <c r="B17" s="112"/>
      <c r="C17" s="35"/>
      <c r="D17" s="112"/>
      <c r="E17" s="201"/>
    </row>
    <row r="18" spans="2:7" ht="25.35" customHeight="1">
      <c r="B18" s="37" t="s">
        <v>186</v>
      </c>
      <c r="C18" s="112"/>
      <c r="D18" s="112"/>
      <c r="E18" s="213">
        <f>+'EXHIBIT D'!G144-SUM(+'EXHIBIT D'!G132+'EXHIBIT D'!G133+'EXHIBIT D'!G134+'EXHIBIT D'!G135)</f>
        <v>60535366.101199999</v>
      </c>
      <c r="G18" s="202"/>
    </row>
    <row r="19" spans="2:7" ht="25.35" customHeight="1">
      <c r="B19" s="37" t="s">
        <v>187</v>
      </c>
      <c r="D19" s="112"/>
      <c r="E19" s="720">
        <f>+'EXHIBIT D'!G132+'EXHIBIT D'!G133+'EXHIBIT D'!G134+'EXHIBIT D'!G135</f>
        <v>7500</v>
      </c>
    </row>
    <row r="20" spans="2:7" ht="25.35" customHeight="1">
      <c r="B20" s="112"/>
      <c r="D20" s="112"/>
      <c r="E20" s="208"/>
    </row>
    <row r="21" spans="2:7" ht="25.35" customHeight="1">
      <c r="B21" s="37" t="s">
        <v>188</v>
      </c>
      <c r="C21" s="112"/>
      <c r="D21" s="112"/>
      <c r="E21" s="721">
        <f>+E19+E18</f>
        <v>60542866.101199999</v>
      </c>
    </row>
    <row r="22" spans="2:7" ht="25.35" customHeight="1">
      <c r="B22" s="112"/>
      <c r="C22" s="112"/>
      <c r="D22" s="112"/>
      <c r="E22" s="208"/>
    </row>
    <row r="23" spans="2:7" ht="25.35" customHeight="1">
      <c r="B23" s="112" t="s">
        <v>189</v>
      </c>
      <c r="C23" s="112"/>
      <c r="D23" s="112"/>
      <c r="E23" s="721">
        <f>+E21+E16</f>
        <v>70442303.101199999</v>
      </c>
    </row>
    <row r="24" spans="2:7" ht="25.35" customHeight="1">
      <c r="B24" s="112"/>
      <c r="C24" s="112"/>
      <c r="D24" s="112"/>
      <c r="E24" s="208"/>
    </row>
    <row r="25" spans="2:7" ht="25.35" customHeight="1">
      <c r="B25" s="37" t="s">
        <v>190</v>
      </c>
      <c r="C25" s="112"/>
      <c r="D25" s="112"/>
      <c r="E25" s="214">
        <f>'EXHIBIT D'!G260-SUM(+'EXHIBIT D'!G231+'EXHIBIT D'!G232+'EXHIBIT D'!G233+'EXHIBIT D'!G234+'EXHIBIT D'!G235)</f>
        <v>62756352.5</v>
      </c>
    </row>
    <row r="26" spans="2:7" ht="25.35" customHeight="1">
      <c r="B26" s="37" t="s">
        <v>191</v>
      </c>
      <c r="D26" s="112"/>
      <c r="E26" s="720">
        <f>'EXHIBIT D'!G231+'EXHIBIT D'!G232+'EXHIBIT D'!G233+'EXHIBIT D'!G234+'EXHIBIT D'!G235</f>
        <v>1000000</v>
      </c>
    </row>
    <row r="27" spans="2:7" ht="25.35" customHeight="1">
      <c r="B27" s="112"/>
      <c r="D27" s="112"/>
      <c r="E27" s="208"/>
    </row>
    <row r="28" spans="2:7" ht="25.35" customHeight="1">
      <c r="B28" s="112" t="s">
        <v>192</v>
      </c>
      <c r="C28" s="112"/>
      <c r="D28" s="112"/>
      <c r="E28" s="722">
        <f>+E26+E25</f>
        <v>63756352.5</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6685950.6011999995</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745</v>
      </c>
      <c r="C35" s="112"/>
      <c r="D35" s="112"/>
      <c r="E35" s="206">
        <f>+D32+D33</f>
        <v>6685950.6011999995</v>
      </c>
      <c r="J35" s="149"/>
    </row>
    <row r="36" spans="2:10" ht="25.35" customHeight="1">
      <c r="B36" s="37" t="s">
        <v>746</v>
      </c>
      <c r="C36" s="112"/>
      <c r="D36" s="112"/>
      <c r="E36" s="721">
        <f>-'EXHIBIT D'!G276</f>
        <v>31500000</v>
      </c>
      <c r="J36" s="207"/>
    </row>
    <row r="37" spans="2:10" ht="25.35" customHeight="1">
      <c r="D37" s="112"/>
      <c r="E37" s="206"/>
      <c r="J37" s="149"/>
    </row>
    <row r="38" spans="2:10" ht="25.35" customHeight="1">
      <c r="B38" s="112" t="s">
        <v>747</v>
      </c>
      <c r="D38" s="112"/>
      <c r="E38" s="720">
        <f>+E35-E36</f>
        <v>-24814049.398800001</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6685951</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9.491386149590704E-2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10" zoomScale="71" zoomScaleNormal="71" zoomScalePageLayoutView="50" workbookViewId="0">
      <selection activeCell="L26" sqref="L26"/>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751</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Pensacola State College</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4"/>
      <c r="E11" s="994"/>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4.59</v>
      </c>
      <c r="D14" s="1190">
        <v>9.18</v>
      </c>
      <c r="E14" s="1190">
        <v>10.74</v>
      </c>
      <c r="F14" s="1190">
        <v>4.59</v>
      </c>
      <c r="G14" s="844">
        <f>SUM(B14:F14)</f>
        <v>120.89</v>
      </c>
      <c r="H14" s="474">
        <f>G14*30</f>
        <v>3626.7</v>
      </c>
      <c r="I14" s="24"/>
    </row>
    <row r="15" spans="1:18" s="37" customFormat="1" ht="20.100000000000001" customHeight="1">
      <c r="A15" s="112" t="s">
        <v>212</v>
      </c>
      <c r="B15" s="1191">
        <v>79.2</v>
      </c>
      <c r="C15" s="1191">
        <v>3.96</v>
      </c>
      <c r="D15" s="1191">
        <v>7.92</v>
      </c>
      <c r="E15" s="1191">
        <v>9.5399999999999991</v>
      </c>
      <c r="F15" s="1191">
        <v>3.96</v>
      </c>
      <c r="G15" s="844">
        <f>SUM(B15:F15)</f>
        <v>104.58</v>
      </c>
      <c r="H15" s="437">
        <f>G15*30</f>
        <v>3137.4</v>
      </c>
      <c r="I15" s="24"/>
    </row>
    <row r="16" spans="1:18" s="37" customFormat="1" ht="20.100000000000001" customHeight="1" thickBot="1">
      <c r="A16" s="35" t="s">
        <v>82</v>
      </c>
      <c r="B16" s="1192">
        <v>71.400000000000006</v>
      </c>
      <c r="C16" s="1192">
        <v>7.14</v>
      </c>
      <c r="D16" s="1193"/>
      <c r="E16" s="1192">
        <v>3.6</v>
      </c>
      <c r="F16" s="1192">
        <v>3.6</v>
      </c>
      <c r="G16" s="438">
        <f>SUM(B16:F16)</f>
        <v>85.74</v>
      </c>
      <c r="H16" s="845">
        <f>G16*30</f>
        <v>2572.1999999999998</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275.37</v>
      </c>
      <c r="D29" s="1190">
        <v>18.36</v>
      </c>
      <c r="E29" s="676">
        <f>D14</f>
        <v>9.18</v>
      </c>
      <c r="F29" s="1190">
        <v>73.430000000000007</v>
      </c>
      <c r="G29" s="1190">
        <v>18.36</v>
      </c>
      <c r="H29" s="448">
        <f>SUM(B29:G29)</f>
        <v>486.49000000000007</v>
      </c>
      <c r="I29" s="468">
        <f>H29*30</f>
        <v>14594.700000000003</v>
      </c>
      <c r="J29" s="24"/>
    </row>
    <row r="30" spans="1:11" s="37" customFormat="1" ht="20.100000000000001" customHeight="1">
      <c r="A30" s="112" t="str">
        <f t="shared" si="0"/>
        <v>LOWER LEVEL - CREDIT (A &amp; P, PSV, DEVELOPMENTAL EDUCATION AND EPI)</v>
      </c>
      <c r="B30" s="848">
        <f t="shared" si="0"/>
        <v>79.2</v>
      </c>
      <c r="C30" s="1194">
        <v>237.6</v>
      </c>
      <c r="D30" s="1194">
        <v>15.84</v>
      </c>
      <c r="E30" s="849">
        <f>D15</f>
        <v>7.92</v>
      </c>
      <c r="F30" s="1194">
        <v>63.36</v>
      </c>
      <c r="G30" s="1194">
        <v>15.84</v>
      </c>
      <c r="H30" s="844">
        <f>SUM(B30:G30)</f>
        <v>419.76</v>
      </c>
      <c r="I30" s="437">
        <f>H30*30</f>
        <v>12592.8</v>
      </c>
    </row>
    <row r="31" spans="1:11" s="37" customFormat="1" ht="20.100000000000001" customHeight="1" thickBot="1">
      <c r="A31" s="112" t="str">
        <f t="shared" si="0"/>
        <v>CAREER CERTIFICATE AND APPLIED TECHNOLOGY DIPLOMA</v>
      </c>
      <c r="B31" s="527">
        <f t="shared" si="0"/>
        <v>71.400000000000006</v>
      </c>
      <c r="C31" s="1191">
        <v>214.2</v>
      </c>
      <c r="D31" s="1191">
        <v>28.56</v>
      </c>
      <c r="E31" s="405"/>
      <c r="F31" s="1191">
        <v>14.4</v>
      </c>
      <c r="G31" s="1191">
        <v>14.4</v>
      </c>
      <c r="H31" s="438">
        <f>SUM(B31:G31)</f>
        <v>342.96</v>
      </c>
      <c r="I31" s="845">
        <f>H31*30</f>
        <v>10288.799999999999</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4" t="s">
        <v>752</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28" zoomScale="50" zoomScaleNormal="50" zoomScaleSheetLayoutView="50" zoomScalePageLayoutView="50" workbookViewId="0">
      <selection activeCell="D35" sqref="D3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753</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Pensacola State College</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f>12534.05+40</f>
        <v>12574.05</v>
      </c>
      <c r="E10" s="680">
        <v>40</v>
      </c>
      <c r="F10" s="681">
        <f t="shared" ref="F10:F15" si="0">+D10-E10</f>
        <v>12534.05</v>
      </c>
      <c r="G10" s="681">
        <f>'EXHIBIT B'!B14</f>
        <v>91.79</v>
      </c>
      <c r="H10" s="682">
        <f>ROUND(+F10*G10,0)</f>
        <v>1150500</v>
      </c>
      <c r="I10" s="149"/>
      <c r="J10" s="149"/>
    </row>
    <row r="11" spans="1:10" ht="20.100000000000001" customHeight="1">
      <c r="A11" s="855" t="s">
        <v>205</v>
      </c>
      <c r="B11" s="855" t="s">
        <v>133</v>
      </c>
      <c r="C11" s="856" t="s">
        <v>233</v>
      </c>
      <c r="D11" s="854">
        <f>94100+27250</f>
        <v>121350</v>
      </c>
      <c r="E11" s="854">
        <v>27250</v>
      </c>
      <c r="F11" s="857">
        <f t="shared" si="0"/>
        <v>94100</v>
      </c>
      <c r="G11" s="857">
        <f>+'EXHIBIT B'!B15</f>
        <v>79.2</v>
      </c>
      <c r="H11" s="858">
        <f t="shared" ref="H11:H15" si="1">ROUND(+F11*G11,0)</f>
        <v>7452720</v>
      </c>
      <c r="I11" s="149"/>
      <c r="J11" s="149"/>
    </row>
    <row r="12" spans="1:10" ht="20.100000000000001" customHeight="1">
      <c r="A12" s="855" t="s">
        <v>205</v>
      </c>
      <c r="B12" s="855" t="s">
        <v>134</v>
      </c>
      <c r="C12" s="856" t="s">
        <v>234</v>
      </c>
      <c r="D12" s="854">
        <f>36616.16+2249</f>
        <v>38865.160000000003</v>
      </c>
      <c r="E12" s="854">
        <v>2249</v>
      </c>
      <c r="F12" s="857">
        <f t="shared" si="0"/>
        <v>36616.160000000003</v>
      </c>
      <c r="G12" s="857">
        <f>+'EXHIBIT B'!B15</f>
        <v>79.2</v>
      </c>
      <c r="H12" s="858">
        <f t="shared" si="1"/>
        <v>2900000</v>
      </c>
      <c r="I12" s="149"/>
      <c r="J12" s="149"/>
    </row>
    <row r="13" spans="1:10" ht="20.100000000000001" customHeight="1">
      <c r="A13" s="855" t="s">
        <v>205</v>
      </c>
      <c r="B13" s="855" t="s">
        <v>82</v>
      </c>
      <c r="C13" s="856" t="s">
        <v>235</v>
      </c>
      <c r="D13" s="859">
        <f>8669.468+779</f>
        <v>9448.4680000000008</v>
      </c>
      <c r="E13" s="859">
        <v>779</v>
      </c>
      <c r="F13" s="857">
        <f t="shared" si="0"/>
        <v>8669.4680000000008</v>
      </c>
      <c r="G13" s="857">
        <f>+'EXHIBIT B'!B16</f>
        <v>71.400000000000006</v>
      </c>
      <c r="H13" s="858">
        <f t="shared" si="1"/>
        <v>619000</v>
      </c>
      <c r="I13" s="149"/>
      <c r="J13" s="149"/>
    </row>
    <row r="14" spans="1:10" ht="20.100000000000001" customHeight="1">
      <c r="A14" s="855" t="s">
        <v>205</v>
      </c>
      <c r="B14" s="855" t="s">
        <v>135</v>
      </c>
      <c r="C14" s="856" t="s">
        <v>236</v>
      </c>
      <c r="D14" s="854">
        <f>5997.475+121</f>
        <v>6118.4750000000004</v>
      </c>
      <c r="E14" s="854">
        <v>121</v>
      </c>
      <c r="F14" s="857">
        <f t="shared" si="0"/>
        <v>5997.4750000000004</v>
      </c>
      <c r="G14" s="857">
        <f>+'EXHIBIT B'!B15</f>
        <v>79.2</v>
      </c>
      <c r="H14" s="858">
        <f t="shared" si="1"/>
        <v>475000</v>
      </c>
      <c r="I14" s="149"/>
      <c r="J14" s="149"/>
    </row>
    <row r="15" spans="1:10" ht="20.100000000000001" customHeight="1" thickBot="1">
      <c r="A15" s="860" t="s">
        <v>205</v>
      </c>
      <c r="B15" s="860" t="s">
        <v>136</v>
      </c>
      <c r="C15" s="861">
        <v>40160</v>
      </c>
      <c r="D15" s="862">
        <v>0</v>
      </c>
      <c r="E15" s="862">
        <v>0</v>
      </c>
      <c r="F15" s="863">
        <f t="shared" si="0"/>
        <v>0</v>
      </c>
      <c r="G15" s="863">
        <f>+'EXHIBIT B'!B15</f>
        <v>79.2</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188356.15299999999</v>
      </c>
      <c r="E17" s="386">
        <f>SUM(E10:E15)</f>
        <v>30439</v>
      </c>
      <c r="F17" s="387">
        <f>SUM(F10:F15)</f>
        <v>157917.15300000002</v>
      </c>
      <c r="G17" s="387"/>
      <c r="H17" s="388">
        <f>SUM(H10:H15)</f>
        <v>12597220</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5">
        <v>108.9443</v>
      </c>
      <c r="E19" s="867">
        <f>'EXHIBIT B'!C29</f>
        <v>275.37</v>
      </c>
      <c r="F19" s="868">
        <f t="shared" ref="F19:F24" si="2">ROUND(+D19*E19,0)</f>
        <v>30000</v>
      </c>
      <c r="G19" s="390"/>
      <c r="H19" s="390"/>
    </row>
    <row r="20" spans="1:10" ht="20.100000000000001" customHeight="1">
      <c r="A20" s="869" t="s">
        <v>220</v>
      </c>
      <c r="B20" s="869" t="s">
        <v>133</v>
      </c>
      <c r="C20" s="870" t="s">
        <v>240</v>
      </c>
      <c r="D20" s="877">
        <v>2588.998</v>
      </c>
      <c r="E20" s="871">
        <f>+'EXHIBIT B'!C30</f>
        <v>237.6</v>
      </c>
      <c r="F20" s="872">
        <f t="shared" si="2"/>
        <v>615146</v>
      </c>
      <c r="G20" s="391"/>
      <c r="H20" s="391"/>
    </row>
    <row r="21" spans="1:10" ht="20.100000000000001" customHeight="1">
      <c r="A21" s="869" t="s">
        <v>220</v>
      </c>
      <c r="B21" s="869" t="s">
        <v>134</v>
      </c>
      <c r="C21" s="870" t="s">
        <v>241</v>
      </c>
      <c r="D21" s="877">
        <v>1226.002</v>
      </c>
      <c r="E21" s="871">
        <f>+'EXHIBIT B'!C30</f>
        <v>237.6</v>
      </c>
      <c r="F21" s="872">
        <f t="shared" si="2"/>
        <v>291298</v>
      </c>
      <c r="G21" s="391"/>
      <c r="H21" s="391"/>
    </row>
    <row r="22" spans="1:10" ht="20.100000000000001" customHeight="1">
      <c r="A22" s="869" t="s">
        <v>220</v>
      </c>
      <c r="B22" s="869" t="s">
        <v>82</v>
      </c>
      <c r="C22" s="870" t="s">
        <v>242</v>
      </c>
      <c r="D22" s="877">
        <v>285.63490000000002</v>
      </c>
      <c r="E22" s="871">
        <f>+'EXHIBIT B'!C31</f>
        <v>214.2</v>
      </c>
      <c r="F22" s="872">
        <f t="shared" si="2"/>
        <v>61183</v>
      </c>
      <c r="G22" s="391"/>
      <c r="H22" s="391"/>
    </row>
    <row r="23" spans="1:10" ht="20.100000000000001" customHeight="1">
      <c r="A23" s="869" t="s">
        <v>220</v>
      </c>
      <c r="B23" s="869" t="s">
        <v>135</v>
      </c>
      <c r="C23" s="870" t="s">
        <v>243</v>
      </c>
      <c r="D23" s="877">
        <v>286.99919999999997</v>
      </c>
      <c r="E23" s="871">
        <f>+'EXHIBIT B'!C30</f>
        <v>237.6</v>
      </c>
      <c r="F23" s="872">
        <f t="shared" si="2"/>
        <v>68191</v>
      </c>
      <c r="G23" s="391"/>
      <c r="H23" s="391"/>
    </row>
    <row r="24" spans="1:10" ht="20.100000000000001" customHeight="1" thickBot="1">
      <c r="A24" s="745" t="s">
        <v>220</v>
      </c>
      <c r="B24" s="745" t="s">
        <v>136</v>
      </c>
      <c r="C24" s="746">
        <v>40360</v>
      </c>
      <c r="D24" s="1196">
        <v>0</v>
      </c>
      <c r="E24" s="747">
        <f>+'EXHIBIT B'!C30</f>
        <v>237.6</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4496.5784000000003</v>
      </c>
      <c r="E26" s="875"/>
      <c r="F26" s="876">
        <f>SUM(F19:F24)</f>
        <v>1065818</v>
      </c>
      <c r="G26" s="395"/>
      <c r="H26" s="395"/>
    </row>
    <row r="27" spans="1:10" ht="20.100000000000001" customHeight="1" thickBot="1">
      <c r="A27" s="396" t="s">
        <v>244</v>
      </c>
      <c r="B27" s="396"/>
      <c r="C27" s="396"/>
      <c r="D27" s="396"/>
      <c r="E27" s="396"/>
      <c r="F27" s="397"/>
      <c r="G27" s="683"/>
      <c r="H27" s="398">
        <f>H17+F26</f>
        <v>13663038</v>
      </c>
    </row>
    <row r="28" spans="1:10" ht="24.95" customHeight="1">
      <c r="I28" s="210"/>
    </row>
    <row r="29" spans="1:10" ht="24.95" customHeight="1">
      <c r="A29" s="1041" t="s">
        <v>245</v>
      </c>
      <c r="B29" s="1041"/>
      <c r="C29" s="1041"/>
      <c r="D29" s="1041"/>
      <c r="E29" s="1041"/>
      <c r="F29" s="1041"/>
      <c r="G29" s="1041"/>
      <c r="H29" s="1041"/>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f>1001+54</f>
        <v>1055</v>
      </c>
      <c r="E33" s="877">
        <v>54</v>
      </c>
      <c r="F33" s="871">
        <f>D33-E33</f>
        <v>1001</v>
      </c>
      <c r="G33" s="871">
        <f>'EXHIBIT B'!B20</f>
        <v>30</v>
      </c>
      <c r="H33" s="872">
        <f>ROUND(+F33*G33,0)</f>
        <v>30030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1055</v>
      </c>
      <c r="E36" s="401">
        <f>SUM(E32:E35)</f>
        <v>54</v>
      </c>
      <c r="F36" s="402">
        <f>D36-E36</f>
        <v>1001</v>
      </c>
      <c r="G36" s="402"/>
      <c r="H36" s="403">
        <f>SUM(H32:H35)</f>
        <v>30030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30030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13693068</v>
      </c>
      <c r="K46" s="19"/>
      <c r="L46" s="19"/>
    </row>
    <row r="47" spans="1:12" ht="24.75" customHeight="1">
      <c r="A47" s="1047"/>
      <c r="B47" s="1047"/>
      <c r="C47" s="1047"/>
      <c r="D47" s="1047"/>
      <c r="E47" s="1047"/>
      <c r="F47" s="1047"/>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8" t="s">
        <v>263</v>
      </c>
      <c r="B50" s="1138"/>
      <c r="C50" s="20"/>
      <c r="D50" s="20"/>
      <c r="E50" s="20"/>
      <c r="F50" s="20"/>
      <c r="G50" s="20"/>
      <c r="H50" s="20"/>
    </row>
    <row r="51" spans="1:10" ht="44.45" customHeight="1" thickBot="1">
      <c r="A51" s="370" t="s">
        <v>264</v>
      </c>
      <c r="B51" s="370" t="s">
        <v>265</v>
      </c>
      <c r="C51" s="1139" t="s">
        <v>266</v>
      </c>
      <c r="D51" s="1140"/>
      <c r="E51" s="1139" t="s">
        <v>267</v>
      </c>
      <c r="F51" s="1140"/>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809</v>
      </c>
      <c r="B54" s="1197">
        <v>1000000</v>
      </c>
      <c r="C54" s="1199" t="s">
        <v>808</v>
      </c>
      <c r="D54" s="1200"/>
      <c r="E54" s="1199" t="s">
        <v>810</v>
      </c>
      <c r="F54" s="1200"/>
    </row>
    <row r="55" spans="1:10" ht="24.95" customHeight="1">
      <c r="A55" s="884"/>
      <c r="B55" s="877">
        <v>0</v>
      </c>
      <c r="C55" s="1201"/>
      <c r="D55" s="1202"/>
      <c r="E55" s="1201"/>
      <c r="F55" s="1202"/>
      <c r="J55" s="109"/>
    </row>
    <row r="56" spans="1:10" ht="24.95" customHeight="1">
      <c r="A56" s="884"/>
      <c r="B56" s="877">
        <v>0</v>
      </c>
      <c r="C56" s="1201"/>
      <c r="D56" s="1202"/>
      <c r="E56" s="1201"/>
      <c r="F56" s="1202"/>
      <c r="I56" s="149"/>
    </row>
    <row r="57" spans="1:10" ht="24.95" customHeight="1">
      <c r="A57" s="884"/>
      <c r="B57" s="877">
        <v>0</v>
      </c>
      <c r="C57" s="1201"/>
      <c r="D57" s="1202"/>
      <c r="E57" s="1201"/>
      <c r="F57" s="1202"/>
      <c r="I57" s="149"/>
    </row>
    <row r="58" spans="1:10" ht="24.95" customHeight="1">
      <c r="A58" s="884"/>
      <c r="B58" s="877">
        <v>0</v>
      </c>
      <c r="C58" s="1201"/>
      <c r="D58" s="1202"/>
      <c r="E58" s="1201"/>
      <c r="F58" s="1202"/>
      <c r="I58" s="149"/>
    </row>
    <row r="59" spans="1:10" ht="24.95" customHeight="1" thickBot="1">
      <c r="A59" s="749"/>
      <c r="B59" s="750">
        <v>0</v>
      </c>
      <c r="C59" s="1203"/>
      <c r="D59" s="1204"/>
      <c r="E59" s="1205"/>
      <c r="F59" s="1206"/>
      <c r="I59" s="149"/>
      <c r="J59" s="111"/>
    </row>
    <row r="60" spans="1:10" ht="24.95" customHeight="1" thickBot="1">
      <c r="A60" s="374" t="s">
        <v>268</v>
      </c>
      <c r="B60" s="375">
        <f>SUM(B54:B59)</f>
        <v>1000000</v>
      </c>
      <c r="C60" s="1207"/>
      <c r="D60" s="1208"/>
      <c r="E60" s="1207"/>
      <c r="F60" s="1208"/>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725</v>
      </c>
      <c r="B63" s="1198">
        <v>7500</v>
      </c>
      <c r="C63" s="1199" t="s">
        <v>807</v>
      </c>
      <c r="D63" s="1200"/>
      <c r="E63" s="1199" t="s">
        <v>808</v>
      </c>
      <c r="F63" s="1200"/>
      <c r="I63" s="149"/>
    </row>
    <row r="64" spans="1:10" ht="24.95" customHeight="1">
      <c r="A64" s="884"/>
      <c r="B64" s="877">
        <v>0</v>
      </c>
      <c r="C64" s="1201"/>
      <c r="D64" s="1202"/>
      <c r="E64" s="1201"/>
      <c r="F64" s="1202"/>
      <c r="I64" s="149"/>
    </row>
    <row r="65" spans="1:9" ht="24.95" customHeight="1">
      <c r="A65" s="884"/>
      <c r="B65" s="877">
        <v>0</v>
      </c>
      <c r="C65" s="1201"/>
      <c r="D65" s="1202"/>
      <c r="E65" s="1201"/>
      <c r="F65" s="1202"/>
      <c r="I65" s="149"/>
    </row>
    <row r="66" spans="1:9" ht="24.95" customHeight="1">
      <c r="A66" s="884"/>
      <c r="B66" s="877">
        <v>0</v>
      </c>
      <c r="C66" s="1201"/>
      <c r="D66" s="1202"/>
      <c r="E66" s="1201"/>
      <c r="F66" s="1202"/>
      <c r="I66" s="149"/>
    </row>
    <row r="67" spans="1:9" ht="24.95" customHeight="1">
      <c r="A67" s="884"/>
      <c r="B67" s="877">
        <v>0</v>
      </c>
      <c r="C67" s="1201"/>
      <c r="D67" s="1202"/>
      <c r="E67" s="1201"/>
      <c r="F67" s="1202"/>
    </row>
    <row r="68" spans="1:9" ht="24.95" customHeight="1" thickBot="1">
      <c r="A68" s="749"/>
      <c r="B68" s="750">
        <v>0</v>
      </c>
      <c r="C68" s="1205"/>
      <c r="D68" s="1206"/>
      <c r="E68" s="1205"/>
      <c r="F68" s="1206"/>
    </row>
    <row r="69" spans="1:9" ht="24.95" customHeight="1" thickBot="1">
      <c r="A69" s="374" t="s">
        <v>269</v>
      </c>
      <c r="B69" s="375">
        <f>SUM(B63:B68)</f>
        <v>7500</v>
      </c>
      <c r="C69" s="1209"/>
      <c r="D69" s="1210"/>
      <c r="E69" s="1209"/>
      <c r="F69" s="1210"/>
    </row>
    <row r="70" spans="1:9" ht="24.95" customHeight="1" thickBot="1">
      <c r="A70" s="374" t="s">
        <v>270</v>
      </c>
      <c r="B70" s="375">
        <f>+B69+B60</f>
        <v>1007500</v>
      </c>
      <c r="C70" s="1209"/>
      <c r="D70" s="1210"/>
      <c r="E70" s="1211"/>
      <c r="F70" s="121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7" zoomScale="60" zoomScaleNormal="60" zoomScaleSheetLayoutView="70" zoomScalePageLayoutView="60" workbookViewId="0">
      <selection activeCell="A35" sqref="A35"/>
    </sheetView>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5" customHeight="1">
      <c r="A4" s="1129" t="s">
        <v>272</v>
      </c>
      <c r="B4" s="1129"/>
      <c r="C4" s="1129"/>
      <c r="D4" s="1129"/>
      <c r="E4" s="1129"/>
      <c r="F4" s="368"/>
    </row>
    <row r="5" spans="1:47" s="37" customFormat="1" ht="23.1" customHeight="1">
      <c r="A5" s="1128"/>
      <c r="B5" s="1128"/>
      <c r="C5" s="1128"/>
      <c r="D5" s="1128"/>
      <c r="E5" s="1128"/>
      <c r="F5" s="368"/>
    </row>
    <row r="6" spans="1:47" s="37" customFormat="1" ht="24.95" customHeight="1">
      <c r="A6" s="1132"/>
      <c r="B6" s="1132"/>
      <c r="C6" s="1132"/>
      <c r="D6" s="1132"/>
      <c r="E6" s="1132"/>
      <c r="F6" s="368"/>
    </row>
    <row r="7" spans="1:47" s="37" customFormat="1" ht="24.95" customHeight="1" thickBot="1">
      <c r="A7" s="1128" t="s">
        <v>223</v>
      </c>
      <c r="B7" s="1133" t="str">
        <f>'CHECK SHEET'!D7</f>
        <v>Pensacola State College</v>
      </c>
      <c r="C7" s="1133"/>
      <c r="D7" s="1133"/>
      <c r="E7" s="1133"/>
      <c r="F7" s="1043"/>
    </row>
    <row r="8" spans="1:47" s="37" customFormat="1" ht="24.95" customHeight="1">
      <c r="A8" s="1141"/>
      <c r="B8" s="1141"/>
      <c r="C8" s="1141"/>
      <c r="D8" s="1141"/>
      <c r="E8" s="1141"/>
    </row>
    <row r="9" spans="1:47" s="37" customFormat="1" ht="24.95" customHeight="1">
      <c r="A9" s="1142"/>
      <c r="B9" s="1143"/>
      <c r="C9" s="1143"/>
      <c r="D9" s="1143"/>
      <c r="E9" s="1143"/>
    </row>
    <row r="10" spans="1:47" s="37" customFormat="1" ht="42.6" customHeight="1">
      <c r="A10" s="1144" t="s">
        <v>273</v>
      </c>
      <c r="B10" s="1144"/>
      <c r="C10" s="1144"/>
      <c r="D10" s="1144"/>
      <c r="E10" s="1144"/>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3"/>
      <c r="E19" s="1214"/>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8" t="s">
        <v>811</v>
      </c>
      <c r="B33" s="1049"/>
      <c r="C33" s="1049"/>
      <c r="D33" s="1049"/>
      <c r="E33" s="1050"/>
      <c r="AI33" s="218"/>
    </row>
    <row r="34" spans="1:46" ht="24.95" customHeight="1">
      <c r="A34" s="1051" t="s">
        <v>812</v>
      </c>
      <c r="B34" s="1052"/>
      <c r="C34" s="1052"/>
      <c r="D34" s="1052"/>
      <c r="E34" s="1053"/>
      <c r="AI34" s="218"/>
    </row>
    <row r="35" spans="1:46" s="545" customFormat="1" ht="24.9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1"/>
      <c r="B36" s="1052"/>
      <c r="C36" s="1052"/>
      <c r="D36" s="1052"/>
      <c r="E36" s="1053"/>
      <c r="AI36" s="218"/>
    </row>
    <row r="37" spans="1:46" ht="24.9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topLeftCell="A202" zoomScale="70" zoomScaleNormal="70" zoomScaleSheetLayoutView="70" zoomScalePageLayoutView="70" workbookViewId="0">
      <selection activeCell="G240" sqref="G240"/>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5"/>
      <c r="B1" s="1145"/>
      <c r="C1" s="1145"/>
      <c r="D1" s="1145"/>
      <c r="E1" s="1145"/>
      <c r="F1" s="1145"/>
      <c r="G1" s="1146"/>
    </row>
    <row r="2" spans="1:8" ht="30" customHeight="1" thickBot="1">
      <c r="A2" s="1146" t="s">
        <v>183</v>
      </c>
      <c r="B2" s="1133" t="str">
        <f>'CHECK SHEET'!D7</f>
        <v>Pensacola State College</v>
      </c>
      <c r="C2" s="1133"/>
      <c r="D2" s="1133"/>
      <c r="E2" s="1133"/>
      <c r="F2" s="1133"/>
      <c r="G2" s="1147"/>
    </row>
    <row r="3" spans="1:8" ht="23.1" customHeight="1">
      <c r="A3" s="1129" t="s">
        <v>281</v>
      </c>
      <c r="B3" s="1129"/>
      <c r="C3" s="1129"/>
      <c r="D3" s="1129"/>
      <c r="E3" s="1129"/>
      <c r="F3" s="1129"/>
      <c r="G3" s="1129"/>
    </row>
    <row r="4" spans="1:8" ht="23.45" customHeight="1">
      <c r="A4" s="1129" t="s">
        <v>282</v>
      </c>
      <c r="B4" s="1129"/>
      <c r="C4" s="1129"/>
      <c r="D4" s="1129"/>
      <c r="E4" s="1129"/>
      <c r="F4" s="1129"/>
      <c r="G4" s="1129"/>
    </row>
    <row r="5" spans="1:8" ht="23.45" customHeight="1">
      <c r="A5" s="1129" t="s">
        <v>754</v>
      </c>
      <c r="B5" s="1129"/>
      <c r="C5" s="1129"/>
      <c r="D5" s="1129"/>
      <c r="E5" s="1129"/>
      <c r="F5" s="1129"/>
      <c r="G5" s="1129"/>
    </row>
    <row r="6" spans="1:8" ht="20.100000000000001" customHeight="1">
      <c r="A6" s="1148"/>
      <c r="B6" s="1148"/>
      <c r="C6" s="1148"/>
      <c r="D6" s="1148"/>
      <c r="E6" s="1148"/>
      <c r="F6" s="1148"/>
      <c r="G6" s="1148"/>
    </row>
    <row r="7" spans="1:8" ht="38.450000000000003"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1150500</v>
      </c>
      <c r="H12" s="219"/>
    </row>
    <row r="13" spans="1:8" ht="20.100000000000001" customHeight="1">
      <c r="A13" s="625" t="s">
        <v>205</v>
      </c>
      <c r="B13" s="226"/>
      <c r="C13" s="219" t="s">
        <v>133</v>
      </c>
      <c r="D13" s="226"/>
      <c r="E13" s="226"/>
      <c r="F13" s="232" t="s">
        <v>233</v>
      </c>
      <c r="G13" s="231">
        <f>+'EXHIBIT C'!H11+'EXHIBIT C(2)'!E14</f>
        <v>7452720</v>
      </c>
      <c r="H13" s="219"/>
    </row>
    <row r="14" spans="1:8" ht="20.100000000000001" customHeight="1">
      <c r="A14" s="625" t="s">
        <v>205</v>
      </c>
      <c r="B14" s="226"/>
      <c r="C14" s="226" t="s">
        <v>134</v>
      </c>
      <c r="D14" s="226"/>
      <c r="E14" s="226"/>
      <c r="F14" s="232" t="s">
        <v>234</v>
      </c>
      <c r="G14" s="649">
        <f>+'EXHIBIT C'!H12+'EXHIBIT C(2)'!E15</f>
        <v>2900000</v>
      </c>
      <c r="H14" s="219"/>
    </row>
    <row r="15" spans="1:8" ht="20.100000000000001" customHeight="1">
      <c r="A15" s="625" t="s">
        <v>205</v>
      </c>
      <c r="B15" s="226"/>
      <c r="C15" s="233" t="s">
        <v>287</v>
      </c>
      <c r="D15" s="226"/>
      <c r="E15" s="226"/>
      <c r="F15" s="232" t="s">
        <v>235</v>
      </c>
      <c r="G15" s="649">
        <f>+'EXHIBIT C'!H13+'EXHIBIT C(2)'!E16</f>
        <v>619000</v>
      </c>
      <c r="H15" s="219"/>
    </row>
    <row r="16" spans="1:8" ht="20.100000000000001" customHeight="1">
      <c r="A16" s="625" t="s">
        <v>205</v>
      </c>
      <c r="B16" s="226"/>
      <c r="C16" s="233" t="s">
        <v>288</v>
      </c>
      <c r="D16" s="226"/>
      <c r="E16" s="226"/>
      <c r="F16" s="232" t="s">
        <v>236</v>
      </c>
      <c r="G16" s="650">
        <f>+'EXHIBIT C'!H14+'EXHIBIT C(2)'!E17</f>
        <v>475000</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12597220</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30000</v>
      </c>
      <c r="H21" s="662"/>
    </row>
    <row r="22" spans="1:8" ht="20.100000000000001" customHeight="1">
      <c r="A22" s="626" t="s">
        <v>220</v>
      </c>
      <c r="B22" s="226"/>
      <c r="C22" s="219" t="s">
        <v>133</v>
      </c>
      <c r="D22" s="226"/>
      <c r="E22" s="226"/>
      <c r="F22" s="232" t="s">
        <v>240</v>
      </c>
      <c r="G22" s="237">
        <f>+'EXHIBIT C'!F20+'EXHIBIT C(2)'!E23</f>
        <v>615146</v>
      </c>
      <c r="H22" s="219"/>
    </row>
    <row r="23" spans="1:8" ht="20.100000000000001" customHeight="1">
      <c r="A23" s="626" t="s">
        <v>220</v>
      </c>
      <c r="B23" s="226"/>
      <c r="C23" s="226" t="s">
        <v>134</v>
      </c>
      <c r="D23" s="226"/>
      <c r="E23" s="226"/>
      <c r="F23" s="232" t="s">
        <v>241</v>
      </c>
      <c r="G23" s="242">
        <f>+'EXHIBIT C'!F21+'EXHIBIT C(2)'!E24</f>
        <v>291298</v>
      </c>
      <c r="H23" s="219"/>
    </row>
    <row r="24" spans="1:8" ht="20.100000000000001" customHeight="1">
      <c r="A24" s="626" t="s">
        <v>220</v>
      </c>
      <c r="B24" s="226"/>
      <c r="C24" s="233" t="s">
        <v>287</v>
      </c>
      <c r="D24" s="226"/>
      <c r="E24" s="226"/>
      <c r="F24" s="232" t="s">
        <v>242</v>
      </c>
      <c r="G24" s="242">
        <f>+'EXHIBIT C'!F22+'EXHIBIT C(2)'!E25</f>
        <v>61183</v>
      </c>
      <c r="H24" s="219"/>
    </row>
    <row r="25" spans="1:8" ht="20.100000000000001" customHeight="1">
      <c r="A25" s="626" t="s">
        <v>220</v>
      </c>
      <c r="B25" s="226"/>
      <c r="C25" s="233" t="s">
        <v>288</v>
      </c>
      <c r="D25" s="226"/>
      <c r="E25" s="226"/>
      <c r="F25" s="232" t="s">
        <v>243</v>
      </c>
      <c r="G25" s="242">
        <f>+'EXHIBIT C'!F23+'EXHIBIT C(2)'!E26</f>
        <v>68191</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1065818</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30030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30030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13693068</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110000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353000</v>
      </c>
      <c r="H49" s="219"/>
    </row>
    <row r="50" spans="1:8" ht="20.100000000000001" customHeight="1">
      <c r="A50" s="625" t="s">
        <v>306</v>
      </c>
      <c r="B50" s="226"/>
      <c r="C50" s="226"/>
      <c r="D50" s="226"/>
      <c r="E50" s="226"/>
      <c r="F50" s="245" t="s">
        <v>307</v>
      </c>
      <c r="G50" s="569">
        <f>775000+4000</f>
        <v>779000</v>
      </c>
      <c r="H50" s="219"/>
    </row>
    <row r="51" spans="1:8" ht="20.100000000000001" customHeight="1">
      <c r="A51" s="625" t="s">
        <v>308</v>
      </c>
      <c r="B51" s="226"/>
      <c r="C51" s="226"/>
      <c r="D51" s="226"/>
      <c r="E51" s="226"/>
      <c r="F51" s="230">
        <v>40450</v>
      </c>
      <c r="G51" s="569">
        <v>950000</v>
      </c>
      <c r="H51" s="219"/>
    </row>
    <row r="52" spans="1:8" ht="20.100000000000001" customHeight="1">
      <c r="A52" s="625" t="s">
        <v>309</v>
      </c>
      <c r="B52" s="226"/>
      <c r="C52" s="226"/>
      <c r="D52" s="226"/>
      <c r="E52" s="226"/>
      <c r="F52" s="245" t="s">
        <v>310</v>
      </c>
      <c r="G52" s="569">
        <v>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1500</v>
      </c>
      <c r="H55" s="219"/>
    </row>
    <row r="56" spans="1:8" ht="20.100000000000001" customHeight="1">
      <c r="A56" s="626" t="s">
        <v>317</v>
      </c>
      <c r="B56" s="229"/>
      <c r="C56" s="229"/>
      <c r="D56" s="229"/>
      <c r="E56" s="229"/>
      <c r="F56" s="245" t="s">
        <v>318</v>
      </c>
      <c r="G56" s="569">
        <v>20000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675000</v>
      </c>
      <c r="H58" s="219"/>
    </row>
    <row r="59" spans="1:8" ht="20.100000000000001" customHeight="1">
      <c r="A59" s="626" t="s">
        <v>323</v>
      </c>
      <c r="B59" s="229"/>
      <c r="C59" s="229"/>
      <c r="D59" s="229"/>
      <c r="E59" s="229"/>
      <c r="F59" s="245" t="s">
        <v>324</v>
      </c>
      <c r="G59" s="569">
        <f>110000+90000+1500</f>
        <v>201500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16783068</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1069346</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1069346</v>
      </c>
      <c r="H71" s="219"/>
    </row>
    <row r="72" spans="1:8" ht="20.100000000000001" customHeight="1">
      <c r="A72" s="897"/>
      <c r="B72" s="708"/>
      <c r="C72" s="708"/>
      <c r="D72" s="708"/>
      <c r="E72" s="708"/>
      <c r="F72" s="709"/>
      <c r="G72" s="898"/>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32670984.101199999</v>
      </c>
      <c r="H75" s="219"/>
    </row>
    <row r="76" spans="1:8" ht="20.100000000000001" customHeight="1">
      <c r="A76" s="625" t="s">
        <v>798</v>
      </c>
      <c r="B76" s="226"/>
      <c r="C76" s="226"/>
      <c r="D76" s="226"/>
      <c r="E76" s="226"/>
      <c r="F76" s="235">
        <v>42130</v>
      </c>
      <c r="G76" s="652">
        <v>1046433</v>
      </c>
      <c r="H76" s="219"/>
    </row>
    <row r="77" spans="1:8" ht="20.100000000000001" customHeight="1">
      <c r="A77" s="628" t="s">
        <v>341</v>
      </c>
      <c r="B77" s="629"/>
      <c r="C77" s="629"/>
      <c r="D77" s="629"/>
      <c r="E77" s="629"/>
      <c r="F77" s="248" t="s">
        <v>342</v>
      </c>
      <c r="G77" s="653">
        <v>477974</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6591</v>
      </c>
      <c r="H79" s="219"/>
    </row>
    <row r="80" spans="1:8" ht="20.100000000000001" customHeight="1">
      <c r="A80" s="625" t="s">
        <v>347</v>
      </c>
      <c r="B80" s="226"/>
      <c r="C80" s="226"/>
      <c r="D80" s="226"/>
      <c r="E80" s="226"/>
      <c r="F80" s="232" t="s">
        <v>348</v>
      </c>
      <c r="G80" s="652">
        <v>50000</v>
      </c>
      <c r="H80" s="219"/>
    </row>
    <row r="81" spans="1:10" ht="20.100000000000001" customHeight="1">
      <c r="A81" s="625" t="s">
        <v>349</v>
      </c>
      <c r="B81" s="226"/>
      <c r="C81" s="226"/>
      <c r="D81" s="226"/>
      <c r="E81" s="226"/>
      <c r="F81" s="232" t="s">
        <v>350</v>
      </c>
      <c r="G81" s="651">
        <f>'CHECK SHEET'!D104</f>
        <v>7356570</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10000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41618552.101199999</v>
      </c>
      <c r="H85" s="219"/>
    </row>
    <row r="86" spans="1:10" ht="20.100000000000001" customHeight="1">
      <c r="A86" s="897"/>
      <c r="B86" s="708"/>
      <c r="C86" s="708"/>
      <c r="D86" s="708"/>
      <c r="E86" s="708"/>
      <c r="F86" s="709"/>
      <c r="G86" s="898"/>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6">
        <v>43518</v>
      </c>
      <c r="G90" s="654">
        <v>0</v>
      </c>
      <c r="H90" s="219"/>
      <c r="J90" s="249"/>
    </row>
    <row r="91" spans="1:10" ht="20.100000000000001" customHeight="1">
      <c r="A91" s="626" t="s">
        <v>360</v>
      </c>
      <c r="B91" s="229"/>
      <c r="C91" s="229"/>
      <c r="D91" s="229"/>
      <c r="E91" s="229"/>
      <c r="F91" s="1236">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400000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400000</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20000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20000</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f>147500+200000+35000</f>
        <v>382500</v>
      </c>
      <c r="H110" s="219"/>
    </row>
    <row r="111" spans="1:8" ht="20.100000000000001" customHeight="1">
      <c r="A111" s="625" t="s">
        <v>378</v>
      </c>
      <c r="B111" s="226"/>
      <c r="C111" s="226"/>
      <c r="D111" s="226"/>
      <c r="E111" s="226"/>
      <c r="F111" s="232" t="s">
        <v>379</v>
      </c>
      <c r="G111" s="570">
        <f>45000+500+1500+25000+10000</f>
        <v>82000</v>
      </c>
      <c r="H111" s="219"/>
    </row>
    <row r="112" spans="1:8" ht="20.100000000000001" customHeight="1">
      <c r="A112" s="625" t="s">
        <v>380</v>
      </c>
      <c r="B112" s="226"/>
      <c r="C112" s="226"/>
      <c r="D112" s="226"/>
      <c r="E112" s="226"/>
      <c r="F112" s="232" t="s">
        <v>381</v>
      </c>
      <c r="G112" s="570">
        <v>9000</v>
      </c>
      <c r="H112" s="219"/>
    </row>
    <row r="113" spans="1:8" ht="20.100000000000001" customHeight="1">
      <c r="A113" s="625" t="s">
        <v>382</v>
      </c>
      <c r="B113" s="226"/>
      <c r="C113" s="226"/>
      <c r="D113" s="226"/>
      <c r="E113" s="226"/>
      <c r="F113" s="232" t="s">
        <v>383</v>
      </c>
      <c r="G113" s="1336">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473500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10000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2500</v>
      </c>
      <c r="H125" s="219"/>
    </row>
    <row r="126" spans="1:8" ht="20.100000000000001" customHeight="1">
      <c r="A126" s="625" t="s">
        <v>395</v>
      </c>
      <c r="B126" s="226"/>
      <c r="C126" s="226"/>
      <c r="D126" s="226"/>
      <c r="E126" s="226"/>
      <c r="F126" s="232" t="s">
        <v>396</v>
      </c>
      <c r="G126" s="570">
        <f>25000+10000+9000+9400</f>
        <v>53400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65900</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7500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5000</v>
      </c>
      <c r="H136" s="219"/>
    </row>
    <row r="137" spans="1:8" ht="20.100000000000001" customHeight="1">
      <c r="A137" s="625" t="s">
        <v>407</v>
      </c>
      <c r="B137" s="226"/>
      <c r="C137" s="226"/>
      <c r="D137" s="226"/>
      <c r="E137" s="226"/>
      <c r="F137" s="235">
        <v>49520</v>
      </c>
      <c r="G137" s="570">
        <v>0</v>
      </c>
      <c r="H137" s="219"/>
    </row>
    <row r="138" spans="1:8" ht="20.100000000000001" customHeight="1">
      <c r="A138" s="1253" t="s">
        <v>734</v>
      </c>
      <c r="B138" s="226"/>
      <c r="C138" s="226"/>
      <c r="D138" s="226"/>
      <c r="E138" s="226"/>
      <c r="F138" s="1254" t="s">
        <v>733</v>
      </c>
      <c r="G138" s="570">
        <v>100000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112500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60542866.101199999</v>
      </c>
      <c r="H144" s="219"/>
    </row>
    <row r="145" spans="1:8" ht="20.100000000000001" customHeight="1" thickTop="1">
      <c r="A145" s="897"/>
      <c r="B145" s="708"/>
      <c r="C145" s="708"/>
      <c r="D145" s="708"/>
      <c r="E145" s="708"/>
      <c r="F145" s="777"/>
      <c r="G145" s="778"/>
      <c r="H145" s="219"/>
    </row>
    <row r="146" spans="1:8" ht="20.100000000000001" customHeight="1">
      <c r="A146" s="1060" t="s">
        <v>414</v>
      </c>
      <c r="B146" s="1061"/>
      <c r="C146" s="1061"/>
      <c r="D146" s="1061"/>
      <c r="E146" s="1061"/>
      <c r="F146" s="1062"/>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733676.93</v>
      </c>
      <c r="H148" s="219"/>
    </row>
    <row r="149" spans="1:8" ht="20.100000000000001" customHeight="1">
      <c r="A149" s="625" t="s">
        <v>417</v>
      </c>
      <c r="B149" s="219"/>
      <c r="C149" s="219"/>
      <c r="D149" s="219"/>
      <c r="E149" s="219"/>
      <c r="F149" s="232" t="s">
        <v>418</v>
      </c>
      <c r="G149" s="574">
        <v>543812.25</v>
      </c>
      <c r="H149" s="219"/>
    </row>
    <row r="150" spans="1:8" ht="20.100000000000001" customHeight="1">
      <c r="A150" s="625" t="s">
        <v>419</v>
      </c>
      <c r="B150" s="219"/>
      <c r="C150" s="219"/>
      <c r="D150" s="219"/>
      <c r="E150" s="219"/>
      <c r="F150" s="232" t="s">
        <v>420</v>
      </c>
      <c r="G150" s="574">
        <v>1522105.32</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9959130</v>
      </c>
      <c r="H153" s="219"/>
    </row>
    <row r="154" spans="1:8" ht="20.100000000000001" customHeight="1">
      <c r="A154" s="625" t="s">
        <v>427</v>
      </c>
      <c r="B154" s="226"/>
      <c r="C154" s="226"/>
      <c r="D154" s="226"/>
      <c r="E154" s="226"/>
      <c r="F154" s="232" t="s">
        <v>428</v>
      </c>
      <c r="G154" s="574">
        <v>1345953</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8243657</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134000</v>
      </c>
      <c r="H167" s="219"/>
    </row>
    <row r="168" spans="1:8" ht="20.100000000000001" customHeight="1">
      <c r="A168" s="625" t="s">
        <v>454</v>
      </c>
      <c r="B168" s="226"/>
      <c r="C168" s="226"/>
      <c r="D168" s="226"/>
      <c r="E168" s="226"/>
      <c r="F168" s="232" t="s">
        <v>455</v>
      </c>
      <c r="G168" s="574">
        <v>4846150</v>
      </c>
      <c r="H168" s="219"/>
    </row>
    <row r="169" spans="1:8" ht="20.100000000000001" customHeight="1">
      <c r="A169" s="625" t="s">
        <v>456</v>
      </c>
      <c r="B169" s="226"/>
      <c r="C169" s="226"/>
      <c r="D169" s="226"/>
      <c r="E169" s="226"/>
      <c r="F169" s="232" t="s">
        <v>457</v>
      </c>
      <c r="G169" s="574">
        <v>20000</v>
      </c>
      <c r="H169" s="219"/>
    </row>
    <row r="170" spans="1:8" ht="20.100000000000001" customHeight="1">
      <c r="A170" s="625" t="s">
        <v>458</v>
      </c>
      <c r="B170" s="226"/>
      <c r="C170" s="226"/>
      <c r="D170" s="226"/>
      <c r="E170" s="226"/>
      <c r="F170" s="232" t="s">
        <v>459</v>
      </c>
      <c r="G170" s="574">
        <v>161951</v>
      </c>
      <c r="H170" s="219"/>
    </row>
    <row r="171" spans="1:8" ht="20.100000000000001" customHeight="1">
      <c r="A171" s="625" t="s">
        <v>460</v>
      </c>
      <c r="B171" s="226"/>
      <c r="C171" s="226"/>
      <c r="D171" s="226"/>
      <c r="E171" s="226"/>
      <c r="F171" s="232" t="s">
        <v>461</v>
      </c>
      <c r="G171" s="574">
        <v>25000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2866774</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v>143500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2500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2359198</v>
      </c>
      <c r="H186" s="219"/>
    </row>
    <row r="187" spans="1:8" ht="20.100000000000001" customHeight="1">
      <c r="A187" s="625" t="s">
        <v>489</v>
      </c>
      <c r="B187" s="226"/>
      <c r="C187" s="226"/>
      <c r="D187" s="226"/>
      <c r="E187" s="226"/>
      <c r="F187" s="232" t="s">
        <v>490</v>
      </c>
      <c r="G187" s="574">
        <v>3873768</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129000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f>5066254+50407</f>
        <v>5116661</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42026836.5</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355092</v>
      </c>
      <c r="H200" s="219"/>
    </row>
    <row r="201" spans="1:8" ht="20.100000000000001" customHeight="1">
      <c r="A201" s="625" t="s">
        <v>508</v>
      </c>
      <c r="B201" s="226"/>
      <c r="C201" s="226"/>
      <c r="D201" s="226"/>
      <c r="E201" s="226"/>
      <c r="F201" s="232" t="s">
        <v>509</v>
      </c>
      <c r="G201" s="574">
        <v>82500</v>
      </c>
      <c r="H201" s="219"/>
    </row>
    <row r="202" spans="1:8" ht="20.100000000000001" customHeight="1">
      <c r="A202" s="625" t="s">
        <v>510</v>
      </c>
      <c r="B202" s="226"/>
      <c r="C202" s="226"/>
      <c r="D202" s="226"/>
      <c r="E202" s="226"/>
      <c r="F202" s="232" t="s">
        <v>511</v>
      </c>
      <c r="G202" s="574">
        <v>249800</v>
      </c>
      <c r="H202" s="219"/>
    </row>
    <row r="203" spans="1:8" ht="20.100000000000001" customHeight="1">
      <c r="A203" s="625" t="s">
        <v>512</v>
      </c>
      <c r="B203" s="226"/>
      <c r="C203" s="226"/>
      <c r="D203" s="226"/>
      <c r="E203" s="226"/>
      <c r="F203" s="232" t="s">
        <v>513</v>
      </c>
      <c r="G203" s="574">
        <v>201742</v>
      </c>
      <c r="H203" s="219"/>
    </row>
    <row r="204" spans="1:8" ht="20.100000000000001" customHeight="1">
      <c r="A204" s="625" t="s">
        <v>514</v>
      </c>
      <c r="B204" s="226"/>
      <c r="C204" s="226"/>
      <c r="D204" s="226"/>
      <c r="E204" s="226"/>
      <c r="F204" s="232" t="s">
        <v>515</v>
      </c>
      <c r="G204" s="574">
        <v>984334</v>
      </c>
      <c r="H204" s="219"/>
    </row>
    <row r="205" spans="1:8" ht="20.100000000000001" customHeight="1">
      <c r="A205" s="625" t="s">
        <v>516</v>
      </c>
      <c r="B205" s="226"/>
      <c r="C205" s="226"/>
      <c r="D205" s="226"/>
      <c r="E205" s="226"/>
      <c r="F205" s="232" t="s">
        <v>517</v>
      </c>
      <c r="G205" s="574">
        <v>213582</v>
      </c>
      <c r="H205" s="219"/>
    </row>
    <row r="206" spans="1:8" ht="20.100000000000001" customHeight="1">
      <c r="A206" s="625" t="s">
        <v>732</v>
      </c>
      <c r="B206" s="226"/>
      <c r="C206" s="226"/>
      <c r="D206" s="226"/>
      <c r="E206" s="226"/>
      <c r="F206" s="1249">
        <v>63100</v>
      </c>
      <c r="G206" s="574">
        <v>0</v>
      </c>
      <c r="H206" s="219"/>
    </row>
    <row r="207" spans="1:8" ht="20.100000000000001" customHeight="1">
      <c r="A207" s="625" t="s">
        <v>518</v>
      </c>
      <c r="B207" s="226"/>
      <c r="C207" s="226"/>
      <c r="D207" s="226"/>
      <c r="E207" s="226"/>
      <c r="F207" s="232" t="s">
        <v>519</v>
      </c>
      <c r="G207" s="574">
        <v>1894100</v>
      </c>
      <c r="H207" s="219"/>
    </row>
    <row r="208" spans="1:8" ht="20.100000000000001" customHeight="1">
      <c r="A208" s="625" t="s">
        <v>520</v>
      </c>
      <c r="B208" s="226"/>
      <c r="C208" s="226"/>
      <c r="D208" s="226"/>
      <c r="E208" s="226"/>
      <c r="F208" s="232" t="s">
        <v>521</v>
      </c>
      <c r="G208" s="574">
        <v>4315000</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0</v>
      </c>
      <c r="H210" s="219"/>
    </row>
    <row r="211" spans="1:8" ht="20.100000000000001" customHeight="1">
      <c r="A211" s="625" t="s">
        <v>526</v>
      </c>
      <c r="B211" s="226"/>
      <c r="C211" s="226"/>
      <c r="D211" s="226"/>
      <c r="E211" s="226"/>
      <c r="F211" s="232" t="s">
        <v>527</v>
      </c>
      <c r="G211" s="574">
        <v>0</v>
      </c>
      <c r="H211" s="219"/>
    </row>
    <row r="212" spans="1:8" ht="20.100000000000001" customHeight="1">
      <c r="A212" s="625" t="s">
        <v>528</v>
      </c>
      <c r="B212" s="226"/>
      <c r="C212" s="226"/>
      <c r="D212" s="226"/>
      <c r="E212" s="226"/>
      <c r="F212" s="232" t="s">
        <v>529</v>
      </c>
      <c r="G212" s="574">
        <v>0</v>
      </c>
      <c r="H212" s="219"/>
    </row>
    <row r="213" spans="1:8" ht="20.100000000000001" customHeight="1">
      <c r="A213" s="625" t="s">
        <v>530</v>
      </c>
      <c r="B213" s="226"/>
      <c r="C213" s="226"/>
      <c r="D213" s="226"/>
      <c r="E213" s="226"/>
      <c r="F213" s="232" t="s">
        <v>531</v>
      </c>
      <c r="G213" s="574">
        <v>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5966923</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568205</v>
      </c>
      <c r="H219" s="219"/>
    </row>
    <row r="220" spans="1:8" ht="20.100000000000001" customHeight="1">
      <c r="A220" s="625" t="s">
        <v>542</v>
      </c>
      <c r="B220" s="226"/>
      <c r="C220" s="226"/>
      <c r="D220" s="226"/>
      <c r="E220" s="226"/>
      <c r="F220" s="232" t="s">
        <v>543</v>
      </c>
      <c r="G220" s="574">
        <v>1531628</v>
      </c>
      <c r="H220" s="219"/>
    </row>
    <row r="221" spans="1:8" ht="20.100000000000001" customHeight="1">
      <c r="A221" s="625" t="s">
        <v>544</v>
      </c>
      <c r="B221" s="219"/>
      <c r="C221" s="219"/>
      <c r="D221" s="219"/>
      <c r="E221" s="219"/>
      <c r="F221" s="253" t="s">
        <v>545</v>
      </c>
      <c r="G221" s="574">
        <v>1120464</v>
      </c>
      <c r="H221" s="219"/>
    </row>
    <row r="222" spans="1:8" ht="20.100000000000001" customHeight="1">
      <c r="A222" s="625" t="s">
        <v>546</v>
      </c>
      <c r="B222" s="226"/>
      <c r="C222" s="226"/>
      <c r="D222" s="226"/>
      <c r="E222" s="226"/>
      <c r="F222" s="232" t="s">
        <v>547</v>
      </c>
      <c r="G222" s="574">
        <v>740133</v>
      </c>
      <c r="H222" s="219"/>
    </row>
    <row r="223" spans="1:8" ht="20.100000000000001" customHeight="1">
      <c r="A223" s="625" t="s">
        <v>548</v>
      </c>
      <c r="B223" s="226"/>
      <c r="C223" s="226"/>
      <c r="D223" s="226"/>
      <c r="E223" s="226"/>
      <c r="F223" s="232" t="s">
        <v>549</v>
      </c>
      <c r="G223" s="574">
        <v>0</v>
      </c>
      <c r="H223" s="219"/>
    </row>
    <row r="224" spans="1:8" ht="20.100000000000001" customHeight="1">
      <c r="A224" s="626" t="s">
        <v>550</v>
      </c>
      <c r="B224" s="229"/>
      <c r="C224" s="229"/>
      <c r="D224" s="229"/>
      <c r="E224" s="229"/>
      <c r="F224" s="245" t="s">
        <v>551</v>
      </c>
      <c r="G224" s="574">
        <v>153000</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1243992</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1000000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f>150000+50000</f>
        <v>200000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7">
        <v>554500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21374995</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35100</v>
      </c>
      <c r="H245" s="219"/>
    </row>
    <row r="246" spans="1:10" ht="20.100000000000001" customHeight="1">
      <c r="A246" s="625" t="s">
        <v>584</v>
      </c>
      <c r="B246" s="226"/>
      <c r="C246" s="226"/>
      <c r="D246" s="226"/>
      <c r="E246" s="226"/>
      <c r="F246" s="232" t="s">
        <v>585</v>
      </c>
      <c r="G246" s="574">
        <v>209200</v>
      </c>
      <c r="H246" s="219"/>
    </row>
    <row r="247" spans="1:10" ht="20.100000000000001" customHeight="1">
      <c r="A247" s="626" t="s">
        <v>586</v>
      </c>
      <c r="B247" s="229"/>
      <c r="C247" s="229"/>
      <c r="D247" s="229"/>
      <c r="E247" s="229"/>
      <c r="F247" s="1295" t="s">
        <v>587</v>
      </c>
      <c r="G247" s="574">
        <v>0</v>
      </c>
      <c r="H247" s="662"/>
      <c r="I247" s="222"/>
    </row>
    <row r="248" spans="1:10" ht="20.100000000000001" customHeight="1">
      <c r="A248" s="1309" t="s">
        <v>763</v>
      </c>
      <c r="B248" s="1310"/>
      <c r="C248" s="1310"/>
      <c r="D248" s="1310"/>
      <c r="E248" s="1310"/>
      <c r="F248" s="1338">
        <v>73001</v>
      </c>
      <c r="G248" s="574">
        <v>0</v>
      </c>
      <c r="H248" s="662"/>
      <c r="I248" s="222"/>
    </row>
    <row r="249" spans="1:10" ht="20.100000000000001" customHeight="1">
      <c r="A249" s="1309" t="s">
        <v>764</v>
      </c>
      <c r="B249" s="1310"/>
      <c r="C249" s="1310"/>
      <c r="D249" s="1310"/>
      <c r="E249" s="1310"/>
      <c r="F249" s="1338">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v>110221</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354521</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63756352.5</v>
      </c>
      <c r="H260" s="219"/>
    </row>
    <row r="261" spans="1:9" ht="20.100000000000001" customHeight="1" thickTop="1">
      <c r="A261" s="915"/>
      <c r="B261" s="916"/>
      <c r="C261" s="916"/>
      <c r="D261" s="916"/>
      <c r="E261" s="916"/>
      <c r="F261" s="917"/>
      <c r="G261" s="918"/>
      <c r="H261" s="219"/>
    </row>
    <row r="262" spans="1:9" ht="20.100000000000001" customHeight="1">
      <c r="A262" s="1069"/>
      <c r="B262" s="1070"/>
      <c r="C262" s="1070"/>
      <c r="D262" s="1070"/>
      <c r="E262" s="1070"/>
      <c r="F262" s="1071"/>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1325000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6685951</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8010951</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v>-31500000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-23489049</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2022-05-18T12:11:19Z</cp:lastPrinted>
  <dcterms:created xsi:type="dcterms:W3CDTF">2005-03-22T15:46:43Z</dcterms:created>
  <dcterms:modified xsi:type="dcterms:W3CDTF">2022-06-23T12:55:34Z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