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codeName="ThisWorkbook" autoCompressPictures="0"/>
  <mc:AlternateContent xmlns:mc="http://schemas.openxmlformats.org/markup-compatibility/2006">
    <mc:Choice Requires="x15">
      <x15ac:absPath xmlns:x15ac="http://schemas.microsoft.com/office/spreadsheetml/2010/11/ac" url="H:\Documents\Budget\2022-23\State Forms\"/>
    </mc:Choice>
  </mc:AlternateContent>
  <xr:revisionPtr revIDLastSave="0" documentId="13_ncr:1_{C701E849-5B9A-4EB8-BD5A-F0545B99A887}" xr6:coauthVersionLast="36" xr6:coauthVersionMax="36" xr10:uidLastSave="{00000000-0000-0000-0000-000000000000}"/>
  <bookViews>
    <workbookView xWindow="0" yWindow="0" windowWidth="22635" windowHeight="11070" tabRatio="769" firstSheet="2" activeTab="3"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153" i="7" l="1"/>
  <c r="G168" i="7"/>
  <c r="G150" i="7"/>
  <c r="G59" i="7" l="1"/>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G32" i="6"/>
  <c r="H32" i="6" s="1"/>
  <c r="G30" i="7" s="1"/>
  <c r="F33" i="6"/>
  <c r="G33" i="6"/>
  <c r="F34" i="6"/>
  <c r="H34" i="6" s="1"/>
  <c r="G32" i="7" s="1"/>
  <c r="G34" i="6"/>
  <c r="F35" i="6"/>
  <c r="H35" i="6" s="1"/>
  <c r="G33" i="7" s="1"/>
  <c r="G35" i="6"/>
  <c r="E19" i="6"/>
  <c r="F19" i="6"/>
  <c r="G21" i="7" s="1"/>
  <c r="E20" i="6"/>
  <c r="F20" i="6"/>
  <c r="G22" i="7" s="1"/>
  <c r="E21" i="6"/>
  <c r="F21" i="6"/>
  <c r="G23" i="7" s="1"/>
  <c r="E22" i="6"/>
  <c r="F22" i="6" s="1"/>
  <c r="G24" i="7" s="1"/>
  <c r="E23" i="6"/>
  <c r="F23" i="6"/>
  <c r="G25" i="7" s="1"/>
  <c r="E24" i="6"/>
  <c r="F24" i="6"/>
  <c r="G26" i="7" s="1"/>
  <c r="B34" i="5"/>
  <c r="E39" i="6"/>
  <c r="F39" i="6" s="1"/>
  <c r="B35" i="5"/>
  <c r="E40" i="6"/>
  <c r="F40" i="6"/>
  <c r="G38" i="7" s="1"/>
  <c r="B37" i="5"/>
  <c r="E41" i="6" s="1"/>
  <c r="F41" i="6" s="1"/>
  <c r="G39" i="7" s="1"/>
  <c r="B38" i="5"/>
  <c r="E42" i="6" s="1"/>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E70" i="22" s="1"/>
  <c r="D65" i="22"/>
  <c r="D67" i="22" s="1"/>
  <c r="D59" i="22"/>
  <c r="D60" i="22" s="1"/>
  <c r="D62" i="22"/>
  <c r="B52" i="22"/>
  <c r="E33" i="22"/>
  <c r="E34" i="22"/>
  <c r="D33" i="22"/>
  <c r="D34" i="22" s="1"/>
  <c r="D26" i="22"/>
  <c r="D38" i="22"/>
  <c r="C38" i="22"/>
  <c r="E15" i="22"/>
  <c r="D15" i="22"/>
  <c r="B46" i="22"/>
  <c r="E26" i="22"/>
  <c r="E59" i="22"/>
  <c r="E61" i="22" s="1"/>
  <c r="E38" i="22"/>
  <c r="B29" i="5"/>
  <c r="G14" i="5"/>
  <c r="H14" i="5" s="1"/>
  <c r="G258" i="7"/>
  <c r="E15" i="8"/>
  <c r="E36" i="6"/>
  <c r="F36" i="6" s="1"/>
  <c r="D36" i="6"/>
  <c r="D43" i="6"/>
  <c r="D26" i="6"/>
  <c r="E17" i="6"/>
  <c r="G20" i="5"/>
  <c r="H20" i="5"/>
  <c r="G19" i="5"/>
  <c r="H19" i="5" s="1"/>
  <c r="G22" i="5"/>
  <c r="H22" i="5" s="1"/>
  <c r="G23" i="5"/>
  <c r="H23" i="5"/>
  <c r="E20" i="12"/>
  <c r="E29" i="12"/>
  <c r="E30" i="12"/>
  <c r="G196" i="7"/>
  <c r="D21" i="8"/>
  <c r="E68" i="3"/>
  <c r="C94" i="12"/>
  <c r="B31" i="5"/>
  <c r="H31" i="5" s="1"/>
  <c r="I31" i="5" s="1"/>
  <c r="B30" i="5"/>
  <c r="G16" i="5"/>
  <c r="H16" i="5" s="1"/>
  <c r="G15" i="5"/>
  <c r="H15" i="5" s="1"/>
  <c r="D96" i="8"/>
  <c r="C96" i="8"/>
  <c r="B69" i="6"/>
  <c r="C92" i="3"/>
  <c r="E69" i="3"/>
  <c r="E70" i="3"/>
  <c r="E71" i="3"/>
  <c r="E72" i="3"/>
  <c r="E73" i="3"/>
  <c r="B21" i="8"/>
  <c r="C21" i="8"/>
  <c r="E10" i="8"/>
  <c r="E12" i="8"/>
  <c r="E16" i="8"/>
  <c r="E17" i="8"/>
  <c r="E18" i="8"/>
  <c r="E19" i="8"/>
  <c r="E20" i="8"/>
  <c r="E36" i="4"/>
  <c r="C127" i="3" s="1"/>
  <c r="D33" i="4"/>
  <c r="B60" i="6"/>
  <c r="C96" i="3" s="1"/>
  <c r="E26" i="4"/>
  <c r="E16" i="4"/>
  <c r="G274" i="7"/>
  <c r="G278" i="7" s="1"/>
  <c r="C120" i="3" s="1"/>
  <c r="E67" i="22"/>
  <c r="D61" i="22"/>
  <c r="E14" i="8"/>
  <c r="G240" i="7"/>
  <c r="X147" i="23"/>
  <c r="E68" i="22"/>
  <c r="D66" i="22"/>
  <c r="H33" i="6"/>
  <c r="G31" i="7" s="1"/>
  <c r="H34" i="5"/>
  <c r="I34" i="5"/>
  <c r="E62" i="22"/>
  <c r="H38" i="5"/>
  <c r="I38" i="5" s="1"/>
  <c r="C93" i="3"/>
  <c r="D17" i="6"/>
  <c r="F12" i="6"/>
  <c r="H12" i="6" s="1"/>
  <c r="G14" i="7" s="1"/>
  <c r="F11" i="6"/>
  <c r="E45" i="3" s="1"/>
  <c r="F14" i="6"/>
  <c r="E48" i="3" s="1"/>
  <c r="H13" i="6"/>
  <c r="G15" i="7" s="1"/>
  <c r="F15" i="6"/>
  <c r="E49" i="3"/>
  <c r="F10" i="6"/>
  <c r="E44" i="3" s="1"/>
  <c r="E47" i="3"/>
  <c r="H15" i="6"/>
  <c r="G17" i="7" s="1"/>
  <c r="C113" i="3" l="1"/>
  <c r="C111" i="3"/>
  <c r="B70" i="6"/>
  <c r="H30" i="5"/>
  <c r="I30" i="5" s="1"/>
  <c r="H14" i="6"/>
  <c r="G16" i="7" s="1"/>
  <c r="H11" i="6"/>
  <c r="G13" i="7" s="1"/>
  <c r="H10" i="6"/>
  <c r="D68" i="22"/>
  <c r="F43" i="6"/>
  <c r="G37" i="7"/>
  <c r="G42" i="7" s="1"/>
  <c r="H36" i="6"/>
  <c r="E69" i="22"/>
  <c r="E21" i="8"/>
  <c r="D70" i="22"/>
  <c r="E60" i="22"/>
  <c r="C95" i="3"/>
  <c r="H29" i="5"/>
  <c r="I29" i="5" s="1"/>
  <c r="E46" i="3"/>
  <c r="H37" i="5"/>
  <c r="I37" i="5" s="1"/>
  <c r="E74" i="3"/>
  <c r="D69" i="22"/>
  <c r="F17" i="6"/>
  <c r="E50" i="3" s="1"/>
  <c r="G75" i="7"/>
  <c r="D106" i="3"/>
  <c r="F121" i="15"/>
  <c r="G260" i="7"/>
  <c r="E25" i="4" s="1"/>
  <c r="E28" i="4" s="1"/>
  <c r="G35" i="7"/>
  <c r="T119" i="23"/>
  <c r="C112" i="3"/>
  <c r="C121" i="3"/>
  <c r="G28"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104" i="3"/>
  <c r="D35" i="23"/>
  <c r="G85" i="7"/>
  <c r="E102" i="3"/>
  <c r="E106" i="3" s="1"/>
  <c r="H44" i="6" l="1"/>
  <c r="F46" i="3"/>
  <c r="G46" i="3" s="1"/>
  <c r="H17" i="6"/>
  <c r="H27" i="6" s="1"/>
  <c r="H46" i="6" s="1"/>
  <c r="G12" i="7"/>
  <c r="G19" i="7" s="1"/>
  <c r="G44" i="7" s="1"/>
  <c r="G63" i="7" s="1"/>
  <c r="G144" i="7" s="1"/>
  <c r="E18" i="4" s="1"/>
  <c r="E21" i="4" s="1"/>
  <c r="E23" i="4" s="1"/>
  <c r="E44" i="4" s="1"/>
  <c r="C17" i="3" s="1"/>
  <c r="D128" i="15"/>
  <c r="C144" i="3" s="1"/>
  <c r="D139" i="15"/>
  <c r="D141" i="15" s="1"/>
  <c r="F128" i="15"/>
  <c r="F123" i="15"/>
  <c r="C114" i="3"/>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137" i="3" l="1"/>
  <c r="F139" i="15"/>
  <c r="C153" i="3" s="1"/>
  <c r="C34" i="3"/>
  <c r="D32" i="4"/>
  <c r="E35" i="4" s="1"/>
  <c r="E38" i="4" s="1"/>
  <c r="F14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r>
          <rPr>
            <sz val="10"/>
            <rFont val="Arial"/>
            <family val="2"/>
          </rPr>
          <t>Comment:
    Source Data:   J:\Finance\Operating Budgets - current year\2022-23 OPERATING BUDGET\Forms and Instructions\Working Documents\Copy of 2022-23Side by Side HB 5001 Conf Report (After Vetos ) 3.16.xxxlsx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xr:uid="{00000000-0006-0000-0200-000005000000}">
      <text>
        <r>
          <rPr>
            <sz val="10"/>
            <rFont val="Arial"/>
            <family val="2"/>
          </rPr>
          <t xml:space="preserve">Source: General Appropriations Act, Specific Appropriation 26
en 5.3.22
</t>
        </r>
      </text>
    </comment>
    <comment ref="B76" authorId="4" shapeId="0" xr:uid="{00000000-0006-0000-0200-00000600000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xr:uid="{00000000-0006-0000-0200-00000700000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xr:uid="{00000000-0006-0000-0200-00000800000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xr:uid="{00000000-0006-0000-0200-000009000000}">
      <text>
        <r>
          <rPr>
            <sz val="10"/>
            <rFont val="Arial"/>
            <family val="2"/>
          </rPr>
          <t>Comment:
    Note: Total Fee Paying should agree with the Fee Calculator Total Fee Paying - CellU121.</t>
        </r>
      </text>
    </comment>
    <comment ref="B118" authorId="8" shapeId="0" xr:uid="{00000000-0006-0000-0200-00000A000000}">
      <text>
        <r>
          <rPr>
            <sz val="10"/>
            <rFont val="Arial"/>
            <family val="2"/>
          </rPr>
          <t xml:space="preserve">Comment:
    Upper Level FTE Resident, Cell Q93
</t>
        </r>
      </text>
    </comment>
    <comment ref="E118" authorId="9" shapeId="0" xr:uid="{00000000-0006-0000-0200-00000B000000}">
      <text>
        <r>
          <rPr>
            <sz val="10"/>
            <rFont val="Arial"/>
            <family val="2"/>
          </rPr>
          <t>Comment:
    A &amp; P Resident, Cell B93
Resident A &amp; P Fee Paying FTE does not include non-Florida Resident FTE and Dual Enrolled FTE.</t>
        </r>
      </text>
    </comment>
    <comment ref="F118" authorId="10" shapeId="0" xr:uid="{00000000-0006-0000-0200-00000C000000}">
      <text>
        <r>
          <rPr>
            <sz val="10"/>
            <rFont val="Arial"/>
            <family val="2"/>
          </rPr>
          <t>[Threaded comment]
Comment:
    A &amp; P FTE Estimated Non-Florida Resident, Cell P54</t>
        </r>
      </text>
    </comment>
    <comment ref="H118" authorId="11" shapeId="0" xr:uid="{00000000-0006-0000-0200-00000D000000}">
      <text>
        <r>
          <rPr>
            <sz val="10"/>
            <rFont val="Arial"/>
            <family val="2"/>
          </rPr>
          <t xml:space="preserve">
Comment:
    PSV FTE Resident, Cell E93
Resident PSV Fee Paying FTE does not include non-Florida Resident FTE and Dual Enrolled FTE. 
</t>
        </r>
      </text>
    </comment>
    <comment ref="I118" authorId="12" shapeId="0" xr:uid="{00000000-0006-0000-0200-00000E000000}">
      <text>
        <r>
          <rPr>
            <sz val="10"/>
            <rFont val="Arial"/>
            <family val="2"/>
          </rPr>
          <t xml:space="preserve">Comment:
    PSV Estimated Non-Florida Resident FTE, Cell Q54
</t>
        </r>
      </text>
    </comment>
    <comment ref="K118" authorId="13" shapeId="0" xr:uid="{00000000-0006-0000-0200-00000F000000}">
      <text>
        <r>
          <rPr>
            <sz val="10"/>
            <rFont val="Arial"/>
            <family val="2"/>
          </rPr>
          <t xml:space="preserve">Comment:
    DEV ED FTE Resident, Cell H93
Resident DEV ED Fee Paying FTE does not include non-Florida Resident FTE.
</t>
        </r>
      </text>
    </comment>
    <comment ref="L118" authorId="14" shapeId="0" xr:uid="{00000000-0006-0000-0200-000010000000}">
      <text>
        <r>
          <rPr>
            <sz val="10"/>
            <rFont val="Arial"/>
            <family val="2"/>
          </rPr>
          <t>Comment:
    DEV ED Estimated Non-Florida Resident FTE, Cell T54</t>
        </r>
      </text>
    </comment>
    <comment ref="N118" authorId="15" shapeId="0" xr:uid="{00000000-0006-0000-0200-000011000000}">
      <text>
        <r>
          <rPr>
            <sz val="10"/>
            <rFont val="Arial"/>
            <family val="2"/>
          </rPr>
          <t>Comment:
    EPI FTE Resident, Cell K93. 
Resident EPI Fee Paying FTE does not include non-Florida Resident FTE.</t>
        </r>
      </text>
    </comment>
    <comment ref="O118" authorId="16" shapeId="0" xr:uid="{00000000-0006-0000-0200-000012000000}">
      <text>
        <r>
          <rPr>
            <sz val="10"/>
            <rFont val="Arial"/>
            <family val="2"/>
          </rPr>
          <t>Comment:
    EPI Estimated Non-Florida Resident FTE, Cell W54</t>
        </r>
      </text>
    </comment>
    <comment ref="Q118" authorId="17" shapeId="0" xr:uid="{00000000-0006-0000-0200-000013000000}">
      <text>
        <r>
          <rPr>
            <sz val="10"/>
            <rFont val="Arial"/>
            <family val="2"/>
          </rPr>
          <t xml:space="preserve">Comment:
    CCATD FTE Resident, Cell N93. 
Resident CCATD Paying FTE does not include non-Florida Resident FTE and Dual Enrolled FTE. </t>
        </r>
      </text>
    </comment>
    <comment ref="R118" authorId="18" shapeId="0" xr:uid="{00000000-0006-0000-0200-000014000000}">
      <text>
        <r>
          <rPr>
            <sz val="10"/>
            <rFont val="Arial"/>
            <family val="2"/>
          </rPr>
          <t>Comment:
    CCATD FTE Estimated Non-Florida Resident FTE, Cell R54.</t>
        </r>
      </text>
    </comment>
    <comment ref="W118" authorId="19" shapeId="0" xr:uid="{00000000-0006-0000-0200-000015000000}">
      <text>
        <r>
          <rPr>
            <sz val="10"/>
            <rFont val="Arial"/>
            <family val="2"/>
          </rPr>
          <t>Comment:
    Voc Prep FTE Estimated Non-Florida Resident, Cell U54</t>
        </r>
      </text>
    </comment>
    <comment ref="X118" authorId="20" shapeId="0" xr:uid="{00000000-0006-0000-0200-000016000000}">
      <text>
        <r>
          <rPr>
            <sz val="10"/>
            <rFont val="Arial"/>
            <family val="2"/>
          </rPr>
          <t xml:space="preserve">Comment:
    Voc. Prep FTE Total, Cell G54
</t>
        </r>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r>
          <rPr>
            <sz val="10"/>
            <rFont val="Arial"/>
            <family val="2"/>
          </rPr>
          <t>Comment:
    Adult FTE Estimated Non-Florida Resident, Cell V54</t>
        </r>
      </text>
    </comment>
    <comment ref="AE118" authorId="22" shapeId="0" xr:uid="{00000000-0006-0000-0200-000019000000}">
      <text>
        <r>
          <rPr>
            <sz val="10"/>
            <rFont val="Arial"/>
            <family val="2"/>
          </rPr>
          <t xml:space="preserve">Comment:
    Adult Basic FTE, Cell H54
 </t>
        </r>
      </text>
    </comment>
    <comment ref="AF118" authorId="23" shapeId="0" xr:uid="{00000000-0006-0000-0200-00001A000000}">
      <text>
        <r>
          <rPr>
            <sz val="10"/>
            <rFont val="Arial"/>
            <family val="2"/>
          </rPr>
          <t>Comment:
    Adult Second. &amp; GED  FTE, Cell I54</t>
        </r>
      </text>
    </comment>
    <comment ref="AO120" authorId="24" shapeId="0" xr:uid="{00000000-0006-0000-0200-00001B000000}">
      <text>
        <r>
          <rPr>
            <sz val="10"/>
            <rFont val="Arial"/>
            <family val="2"/>
          </rPr>
          <t>Comment:
    Fee Calculator File:   This amount is from the Estimated Duel Enrolled FTE Total Column, Cell AF82.</t>
        </r>
      </text>
    </comment>
    <comment ref="AO121" authorId="25" shapeId="0" xr:uid="{00000000-0006-0000-0200-00001C000000}">
      <text>
        <r>
          <rPr>
            <sz val="10"/>
            <rFont val="Arial"/>
            <family val="2"/>
          </rPr>
          <t xml:space="preserve">Comment:
    Fee Calculator File: Apprent FTE Total, Cell E82 minus the Estimated Dual Enrolled Apprent FTE, Cell AE82. 
</t>
        </r>
      </text>
    </comment>
    <comment ref="AO124" authorId="26" shapeId="0" xr:uid="{00000000-0006-0000-0200-00001D00000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r>
          <rPr>
            <sz val="10"/>
            <rFont val="Arial"/>
            <family val="2"/>
          </rPr>
          <t>Comment:
    SELECT COLLEGE NAME 
THE COLLEGE NAME SHOULD AUTO-POPULATE IN EXHIBITS A, B, C, C2, D, E AND G.</t>
        </r>
      </text>
    </comment>
    <comment ref="D43" authorId="1" shapeId="0" xr:uid="{00000000-0006-0000-0300-000002000000}">
      <text>
        <r>
          <rPr>
            <sz val="10"/>
            <rFont val="Arial"/>
            <family val="2"/>
          </rPr>
          <t>Comment:
    VLOOKUP Tab - Cells A119 to S147</t>
        </r>
      </text>
    </comment>
    <comment ref="G43" authorId="2" shapeId="0" xr:uid="{00000000-0006-0000-0300-000003000000}">
      <text>
        <r>
          <rPr>
            <sz val="10"/>
            <rFont val="Arial"/>
            <family val="2"/>
          </rPr>
          <t>Comment:
    Please enter an explanation if the difference is greater than 3% in any area in the Explanation box below.</t>
        </r>
      </text>
    </comment>
    <comment ref="D67" authorId="3" shapeId="0" xr:uid="{00000000-0006-0000-0300-000004000000}">
      <text>
        <r>
          <rPr>
            <sz val="10"/>
            <rFont val="Arial"/>
            <family val="2"/>
          </rPr>
          <t xml:space="preserve">Comment:
    VLOOKUP Tab - Cells 
A119 to S147
</t>
        </r>
      </text>
    </comment>
    <comment ref="G67" authorId="4" shapeId="0" xr:uid="{00000000-0006-0000-0300-000005000000}">
      <text>
        <r>
          <rPr>
            <sz val="10"/>
            <rFont val="Arial"/>
            <family val="2"/>
          </rPr>
          <t xml:space="preserve">Comment:
    Please enter an explanation if the difference is greater than 5% in any area in the Explanation box below.
</t>
        </r>
      </text>
    </comment>
    <comment ref="C121" authorId="5" shapeId="0" xr:uid="{00000000-0006-0000-0300-00000600000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r>
          <rPr>
            <sz val="10"/>
            <rFont val="Arial"/>
            <family val="2"/>
          </rPr>
          <t xml:space="preserve">Comment:
    The amount for the FCSPF Performance Based Incentives Funds should be entered in (General Ledger Code 42150)
</t>
        </r>
      </text>
    </comment>
    <comment ref="G80" authorId="1" shapeId="0" xr:uid="{00000000-0006-0000-0800-00000200000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xr:uid="{00000000-0006-0000-0800-000003000000}">
      <text>
        <r>
          <rPr>
            <sz val="10"/>
            <rFont val="Arial"/>
            <family val="2"/>
          </rPr>
          <t xml:space="preserve">Comment:
    Reminder:  Enter G.L. 30800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r>
          <rPr>
            <sz val="12"/>
            <color indexed="81"/>
            <rFont val="Arial"/>
            <family val="2"/>
          </rPr>
          <t xml:space="preserve">Comment:
    This cell will automatically populate. Should agree with Exhibit C, Cell H10. Resident and nonresident students pay resident tuition.
</t>
        </r>
      </text>
    </comment>
    <comment ref="D129" authorId="2" shapeId="0" xr:uid="{00000000-0006-0000-0B00-00000300000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<sst xmlns="http://schemas.openxmlformats.org/spreadsheetml/2006/main" count="1343" uniqueCount="816">
  <si>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</si>
  <si>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</si>
  <si>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</si>
  <si>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</si>
  <si>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</si>
  <si>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</si>
  <si>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</si>
  <si>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</si>
  <si>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</si>
  <si>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</si>
  <si>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</si>
  <si>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</si>
  <si>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</si>
  <si>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</si>
  <si>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</si>
  <si>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</si>
  <si>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</si>
  <si>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</si>
  <si>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</si>
  <si>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</si>
  <si>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</si>
  <si>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</si>
  <si>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</si>
  <si>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</si>
  <si>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</si>
  <si>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</si>
  <si>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</si>
  <si>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</si>
  <si>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</si>
  <si>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</si>
  <si>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</si>
  <si>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</si>
  <si>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</si>
  <si>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</si>
  <si>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</si>
  <si>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</si>
  <si>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</si>
  <si>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</si>
  <si>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</si>
  <si>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</si>
  <si>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</si>
  <si>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</si>
  <si>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</si>
  <si>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</si>
  <si>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</si>
  <si>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</si>
  <si>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</si>
  <si>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</si>
  <si>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</si>
  <si>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</si>
  <si>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</si>
  <si>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</si>
  <si>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</si>
  <si>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</si>
  <si>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</si>
  <si>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</si>
  <si>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</si>
  <si>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</si>
  <si>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</si>
  <si>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</si>
  <si>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</si>
  <si>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</si>
  <si>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</si>
  <si>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</si>
  <si>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</si>
  <si>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</si>
  <si>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</si>
  <si>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</si>
  <si>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</si>
  <si>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</si>
  <si>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</si>
  <si>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</si>
  <si>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</si>
  <si>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</si>
  <si>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</si>
  <si>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</si>
  <si>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</si>
  <si>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</si>
  <si>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</si>
  <si>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</si>
  <si>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</si>
  <si>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</si>
  <si>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</si>
  <si>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</si>
  <si>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</si>
  <si>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</si>
  <si>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</si>
  <si>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</si>
  <si>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</si>
  <si>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</si>
  <si>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</si>
  <si>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</si>
  <si>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</si>
  <si>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</si>
  <si>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</si>
  <si>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</si>
  <si>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</si>
  <si>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</si>
  <si>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</si>
  <si>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</si>
  <si>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</si>
  <si>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</si>
  <si>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</si>
  <si>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</si>
  <si>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</si>
  <si>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</si>
  <si>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</si>
  <si>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</si>
  <si>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</si>
  <si>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</si>
  <si>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</si>
  <si>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</si>
  <si>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</si>
  <si>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</si>
  <si>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</si>
  <si>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</si>
  <si>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</si>
  <si>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</si>
  <si>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</si>
  <si>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</si>
  <si>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</si>
  <si>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</si>
  <si>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</si>
  <si>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</si>
  <si>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</si>
  <si>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</si>
  <si>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</si>
  <si>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</si>
  <si>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</si>
  <si>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</si>
  <si>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</si>
  <si>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</si>
  <si>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</si>
  <si>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</si>
  <si>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</si>
  <si>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</si>
  <si>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</si>
  <si>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</si>
  <si>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</si>
  <si>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</si>
  <si>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</si>
  <si>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</si>
  <si>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</si>
  <si>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</si>
  <si>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</si>
  <si>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</si>
  <si>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</si>
  <si>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</si>
  <si>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</si>
  <si>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</si>
  <si>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</si>
  <si>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</si>
  <si>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</si>
  <si>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</si>
  <si>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</si>
  <si>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</si>
  <si>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</si>
  <si>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</si>
  <si>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</si>
  <si>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</si>
  <si>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</si>
  <si>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</si>
  <si>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</si>
  <si>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</si>
  <si>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</si>
  <si>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</si>
  <si>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</si>
  <si>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</si>
  <si>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</si>
  <si>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</si>
  <si>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</si>
  <si>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</si>
  <si>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</si>
  <si>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</si>
  <si>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</si>
  <si>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</si>
  <si>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</si>
  <si>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</si>
  <si>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</si>
  <si>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</si>
  <si>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</si>
  <si>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</si>
  <si>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</si>
  <si>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</si>
  <si>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</si>
  <si>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</si>
  <si>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</si>
  <si>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</si>
  <si>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</si>
  <si>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</si>
  <si>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</si>
  <si>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</si>
  <si>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</si>
  <si>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</si>
  <si>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</si>
  <si>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</si>
  <si>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</si>
  <si>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</si>
  <si>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</si>
  <si>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</si>
  <si>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</si>
  <si>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</si>
  <si>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</si>
  <si>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</si>
  <si>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</si>
  <si>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</si>
  <si>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</si>
  <si>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</si>
  <si>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</si>
  <si>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</si>
  <si>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</si>
  <si>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</si>
  <si>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</si>
  <si>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</si>
  <si>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</si>
  <si>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</si>
  <si>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</si>
  <si>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</si>
  <si>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</si>
  <si>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</si>
  <si>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</si>
  <si>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</si>
  <si>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</si>
  <si>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</si>
  <si>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</si>
  <si>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</si>
  <si>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</si>
  <si>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</si>
  <si>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</si>
  <si>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</si>
  <si>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</si>
  <si>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</si>
  <si>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</si>
  <si>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</si>
  <si>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</si>
  <si>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</si>
  <si>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</si>
  <si>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</si>
  <si>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</si>
  <si>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</si>
  <si>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</si>
  <si>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</si>
  <si>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</si>
  <si>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</si>
  <si>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</si>
  <si>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</si>
  <si>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</si>
  <si>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</si>
  <si>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</si>
  <si>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</si>
  <si>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</si>
  <si>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</si>
  <si>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</si>
  <si>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</si>
  <si>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</si>
  <si>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</si>
  <si>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</si>
  <si>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</si>
  <si>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</si>
  <si>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</si>
  <si>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</si>
  <si>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</si>
  <si>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</si>
  <si>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</si>
  <si>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</si>
  <si>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</si>
  <si>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</si>
  <si>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</si>
  <si>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</si>
  <si>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</si>
  <si>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</si>
  <si>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</si>
  <si>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</si>
  <si>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</si>
  <si>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</si>
  <si>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</si>
  <si>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</si>
  <si>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</si>
  <si>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</si>
  <si>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</si>
  <si>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</si>
  <si>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</si>
  <si>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</si>
  <si>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</si>
  <si>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</si>
  <si>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</si>
  <si>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</si>
  <si>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</si>
  <si>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</si>
  <si>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</si>
  <si>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</si>
  <si>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</si>
  <si>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</si>
  <si>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</si>
  <si>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</si>
  <si>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</si>
  <si>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</si>
  <si>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</si>
  <si>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</si>
  <si>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</si>
  <si>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</si>
  <si>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</si>
  <si>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</si>
  <si>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</si>
  <si>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</si>
  <si>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</si>
  <si>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</si>
  <si>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</si>
  <si>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</si>
  <si>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</si>
  <si>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</si>
  <si>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</si>
  <si>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</si>
  <si>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</si>
  <si>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</si>
  <si>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</si>
  <si>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</si>
  <si>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</si>
  <si>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</si>
  <si>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</si>
  <si>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</si>
  <si>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</si>
  <si>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</si>
  <si>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</si>
  <si>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</si>
  <si>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</si>
  <si>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</si>
  <si>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</si>
  <si>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</si>
  <si>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</si>
  <si>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</si>
  <si>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</si>
  <si>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</si>
  <si>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</si>
  <si>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</si>
  <si>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</si>
  <si>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</si>
  <si>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</si>
  <si>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</si>
  <si>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</si>
  <si>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</si>
  <si>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</si>
  <si>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</si>
  <si>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</si>
  <si>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</si>
  <si>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</si>
  <si>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</si>
  <si>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</si>
  <si>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</si>
  <si>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</si>
  <si>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</si>
  <si>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</si>
  <si>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</si>
  <si>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</si>
  <si>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</si>
  <si>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</si>
  <si>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</si>
  <si>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</si>
  <si>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</si>
  <si>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</si>
  <si>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</si>
  <si>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</si>
  <si>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</si>
  <si>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</si>
  <si>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</si>
  <si>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</si>
  <si>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</si>
  <si>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</si>
  <si>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</si>
  <si>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</si>
  <si>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</si>
  <si>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</si>
  <si>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</si>
  <si>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</si>
  <si>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</si>
  <si>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</si>
  <si>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</si>
  <si>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</si>
  <si>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</si>
  <si>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</si>
  <si>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</si>
  <si>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</si>
  <si>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</si>
  <si>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</si>
  <si>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</si>
  <si>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</si>
  <si>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</si>
  <si>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</si>
  <si>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</si>
  <si>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</si>
  <si>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</si>
  <si>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</si>
  <si>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</si>
  <si>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</si>
  <si>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</si>
  <si>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</si>
  <si>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</si>
  <si>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</si>
  <si>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</si>
  <si>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</si>
  <si>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</si>
  <si>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</si>
  <si>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</si>
  <si>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</si>
  <si>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</si>
  <si>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</si>
  <si>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</si>
  <si>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</si>
  <si>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</si>
  <si>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</si>
  <si>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</si>
  <si>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</si>
  <si>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</si>
  <si>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</si>
  <si>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</si>
  <si>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</si>
  <si>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</si>
  <si>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</si>
  <si>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</si>
  <si>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</si>
  <si>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</si>
  <si>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</si>
  <si>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</si>
  <si>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</si>
  <si>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</si>
  <si>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</si>
  <si>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</si>
  <si>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</si>
  <si>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</si>
  <si>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</si>
  <si>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</si>
  <si>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</si>
  <si>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</si>
  <si>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</si>
  <si>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</si>
  <si>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</si>
  <si>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</si>
  <si>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</si>
  <si>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</si>
  <si>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</si>
  <si>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</si>
  <si>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</si>
  <si>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</si>
  <si>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</si>
  <si>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</si>
  <si>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</si>
  <si>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</si>
  <si>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</si>
  <si>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</si>
  <si>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</si>
  <si>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</si>
  <si>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</si>
  <si>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</si>
  <si>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</si>
  <si>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</si>
  <si>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</si>
  <si>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</si>
  <si>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</si>
  <si>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</si>
  <si>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</si>
  <si>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</si>
  <si>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</si>
  <si>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</si>
  <si>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</si>
  <si>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</si>
  <si>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</si>
  <si>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</si>
  <si>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</si>
  <si>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</si>
  <si>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</si>
  <si>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</si>
  <si>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</si>
  <si>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</si>
  <si>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</si>
  <si>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</si>
  <si>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</si>
  <si>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</si>
  <si>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</si>
  <si>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</si>
  <si>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</si>
  <si>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</si>
  <si>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</si>
  <si>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</si>
  <si>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</si>
  <si>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</si>
  <si>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</si>
  <si>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</si>
  <si>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</si>
  <si>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</si>
  <si>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</si>
  <si>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</si>
  <si>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</si>
  <si>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</si>
  <si>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</si>
  <si>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</si>
  <si>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</si>
  <si>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</si>
  <si>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</si>
  <si>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</si>
  <si>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</si>
  <si>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</si>
  <si>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</si>
  <si>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</si>
  <si>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</si>
  <si>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</si>
  <si>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</si>
  <si>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</si>
  <si>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</si>
  <si>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</si>
  <si>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</si>
  <si>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</si>
  <si>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</si>
  <si>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</si>
  <si>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</si>
  <si>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</si>
  <si>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</si>
  <si>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</si>
  <si>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</si>
  <si>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</si>
  <si>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</si>
  <si>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</si>
  <si>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</si>
  <si>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</si>
  <si>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</si>
  <si>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</si>
  <si>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</si>
  <si>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</si>
  <si>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</si>
  <si>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</si>
  <si>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</si>
  <si>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</si>
  <si>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</si>
  <si>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</si>
  <si>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</si>
  <si>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</si>
  <si>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</si>
  <si>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</si>
  <si>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</si>
  <si>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</si>
  <si>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</si>
  <si>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</si>
  <si>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</si>
  <si>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</si>
  <si>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</si>
  <si>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</si>
  <si>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</si>
  <si>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</si>
  <si>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</si>
  <si>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</si>
  <si>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</si>
  <si>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</si>
  <si>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</si>
  <si>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</si>
  <si>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</si>
  <si>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</si>
  <si>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</si>
  <si>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</si>
  <si>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</si>
  <si>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</si>
  <si>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</si>
  <si>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</si>
  <si>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</si>
  <si>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</si>
  <si>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</si>
  <si>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</si>
  <si>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</si>
  <si>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</si>
  <si>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</si>
  <si>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</si>
  <si>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</si>
  <si>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</si>
  <si>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</si>
  <si>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</si>
  <si>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</si>
  <si>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</si>
  <si>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</si>
  <si>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</si>
  <si>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</si>
  <si>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</si>
  <si>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</si>
  <si>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</si>
  <si>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</si>
  <si>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</si>
  <si>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</si>
  <si>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</si>
  <si>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</si>
  <si>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</si>
  <si>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</si>
  <si>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</si>
  <si>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</si>
  <si>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</si>
  <si>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</si>
  <si>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</si>
  <si>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</si>
  <si>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</si>
  <si>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</si>
  <si>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</si>
  <si>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</si>
  <si>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</si>
  <si>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</si>
  <si>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</si>
  <si>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</si>
  <si>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</si>
  <si>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</si>
  <si>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</si>
  <si>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</si>
  <si>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</si>
  <si>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</si>
  <si>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</si>
  <si>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</si>
  <si>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</si>
  <si>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</si>
  <si>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</si>
  <si>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</si>
  <si>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</si>
  <si>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</si>
  <si>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</si>
  <si>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</si>
  <si>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</si>
  <si>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</si>
  <si>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</si>
  <si>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</si>
  <si>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</si>
  <si>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</si>
  <si>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</si>
  <si>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</si>
  <si>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</si>
  <si>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</si>
  <si>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</si>
  <si>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</si>
  <si>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</si>
  <si>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</si>
  <si>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</si>
  <si>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</si>
  <si>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</si>
  <si>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</si>
  <si>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</si>
  <si>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</si>
  <si>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</si>
  <si>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</si>
  <si>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</si>
  <si>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</si>
  <si>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</si>
  <si>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</si>
  <si>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</si>
  <si>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</si>
  <si>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</si>
  <si>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</si>
  <si>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</si>
  <si>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</si>
  <si>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</si>
  <si>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</si>
  <si>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</si>
  <si>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</si>
  <si>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</si>
  <si>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</si>
  <si>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</si>
  <si>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</si>
  <si>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</si>
  <si>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</si>
  <si>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</si>
  <si>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</si>
  <si>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</si>
  <si>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</si>
  <si>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</si>
  <si>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</si>
  <si>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</si>
  <si>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</si>
  <si>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</si>
  <si>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</si>
  <si>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</si>
  <si>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</si>
  <si>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</si>
  <si>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</si>
  <si>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</si>
  <si>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</si>
  <si>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</si>
  <si>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</si>
  <si>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</si>
  <si>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</si>
  <si>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</si>
  <si>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</si>
  <si>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</si>
  <si>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</si>
  <si>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</si>
  <si>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</si>
  <si>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</si>
  <si>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</si>
  <si>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</si>
  <si>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</si>
  <si>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</si>
  <si>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</si>
  <si>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</si>
  <si>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</si>
  <si>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</si>
  <si>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</si>
  <si>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</si>
  <si>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</si>
  <si>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</si>
  <si>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</si>
  <si>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</si>
  <si>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</si>
  <si>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</si>
  <si>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</si>
  <si>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</si>
  <si>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</si>
  <si>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</si>
  <si>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</si>
  <si>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</si>
  <si>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</si>
  <si>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</si>
  <si>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</si>
  <si>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</si>
  <si>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</si>
  <si>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</si>
  <si>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</si>
  <si>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</si>
  <si>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</si>
  <si>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</si>
  <si>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</si>
  <si>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</si>
  <si>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</si>
  <si>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</si>
  <si>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</si>
  <si>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</si>
  <si>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</si>
  <si>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</si>
  <si>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</si>
  <si>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</si>
  <si>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</si>
  <si>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</si>
  <si>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</si>
  <si>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</si>
  <si>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</si>
  <si>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</si>
  <si>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</si>
  <si>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</si>
  <si>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</si>
  <si>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</si>
  <si>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</si>
  <si>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</si>
  <si>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</si>
  <si>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</si>
  <si>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</si>
  <si>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</si>
  <si>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</si>
  <si>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</si>
  <si>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</si>
  <si>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</si>
  <si>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</si>
  <si>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</si>
  <si>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</si>
  <si>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</si>
  <si>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</si>
  <si>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</si>
  <si>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</si>
  <si>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</si>
  <si>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</si>
  <si>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</si>
  <si>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</si>
  <si>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</si>
  <si>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</si>
  <si>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</si>
  <si>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</si>
  <si>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</si>
  <si>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</si>
  <si>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</si>
  <si>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</si>
  <si>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</si>
  <si>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</si>
  <si>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</si>
  <si>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</si>
  <si>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</si>
  <si>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</si>
  <si>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</si>
  <si>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</si>
  <si>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</si>
  <si>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</si>
  <si>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</si>
  <si>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</si>
  <si>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</si>
  <si>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</si>
  <si>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</si>
  <si>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</si>
  <si>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</si>
  <si>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</si>
  <si>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</si>
  <si>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</si>
  <si>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</si>
  <si>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</si>
  <si>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</si>
  <si>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</si>
  <si>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</si>
  <si>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</si>
  <si>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</si>
  <si>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</si>
  <si>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</si>
  <si>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</si>
  <si>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</si>
  <si>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</si>
  <si>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</si>
  <si>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</si>
  <si>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</si>
  <si>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</si>
  <si>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</si>
  <si>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</si>
  <si>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Institutional Scholarships</t>
  </si>
  <si>
    <t>General R&amp;M and Rem/Ren</t>
  </si>
  <si>
    <t>Public Relations</t>
  </si>
  <si>
    <t>Unrestricted Current</t>
  </si>
  <si>
    <t>Scholarship (5)</t>
  </si>
  <si>
    <t>Unexpended Plant (7)</t>
  </si>
  <si>
    <t>Auxiliary (3)</t>
  </si>
  <si>
    <t>Unrestricted Curr (1)</t>
  </si>
  <si>
    <t>Compensation over $200k</t>
  </si>
  <si>
    <t xml:space="preserve">As part of the 2022-2023 Operating Budget, the Trustees approved some estimated out-of-state student fee collections outside the 5% corridor calculated by the Division; however, we believe our estimates to be reasonable.  Because some of our stuents are granted 56 FTE exemptions the hours they complete seem to be counted in the Divisions estimates; however, fees associated with these waivers are not collected, as allowed by law.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</si>
</sst>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727</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C21" sqref="C21"/>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Chipola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754</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v>6458878</v>
      </c>
      <c r="C10" s="577">
        <v>372000</v>
      </c>
      <c r="D10" s="577">
        <v>100000</v>
      </c>
      <c r="E10" s="480">
        <f>SUM(B10:D10)</f>
        <v>6930878</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33000</v>
      </c>
      <c r="C12" s="567">
        <v>5000</v>
      </c>
      <c r="D12" s="567">
        <v>0</v>
      </c>
      <c r="E12" s="481">
        <f>SUM(B12:D12)</f>
        <v>38000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732244</v>
      </c>
      <c r="C14" s="579">
        <v>150000</v>
      </c>
      <c r="D14" s="579">
        <v>0</v>
      </c>
      <c r="E14" s="481">
        <f t="shared" ref="E14:E20" si="0">SUM(B14:D14)</f>
        <v>882244</v>
      </c>
      <c r="F14" s="457"/>
    </row>
    <row r="15" spans="1:8" s="37" customFormat="1" ht="20.100000000000001" customHeight="1">
      <c r="A15" s="479" t="s">
        <v>625</v>
      </c>
      <c r="B15" s="578">
        <v>0</v>
      </c>
      <c r="C15" s="567">
        <v>0</v>
      </c>
      <c r="D15" s="567">
        <v>0</v>
      </c>
      <c r="E15" s="481">
        <f>SUM(B15:D15)</f>
        <v>0</v>
      </c>
      <c r="F15" s="457"/>
    </row>
    <row r="16" spans="1:8" s="37" customFormat="1" ht="20.100000000000001" customHeight="1">
      <c r="A16" s="479" t="s">
        <v>626</v>
      </c>
      <c r="B16" s="578">
        <v>1797077</v>
      </c>
      <c r="C16" s="567">
        <v>343000</v>
      </c>
      <c r="D16" s="567">
        <v>50000</v>
      </c>
      <c r="E16" s="481">
        <f t="shared" si="0"/>
        <v>2190077</v>
      </c>
      <c r="F16" s="457"/>
    </row>
    <row r="17" spans="1:6" s="37" customFormat="1" ht="20.100000000000001" customHeight="1">
      <c r="A17" s="479" t="s">
        <v>627</v>
      </c>
      <c r="B17" s="578">
        <v>3138536</v>
      </c>
      <c r="C17" s="567">
        <v>1530000</v>
      </c>
      <c r="D17" s="567">
        <v>50000</v>
      </c>
      <c r="E17" s="481">
        <f t="shared" si="0"/>
        <v>4718536</v>
      </c>
      <c r="F17" s="457"/>
    </row>
    <row r="18" spans="1:6" s="37" customFormat="1" ht="20.100000000000001" customHeight="1">
      <c r="A18" s="479" t="s">
        <v>628</v>
      </c>
      <c r="B18" s="578">
        <v>510265</v>
      </c>
      <c r="C18" s="567">
        <v>1580000</v>
      </c>
      <c r="D18" s="567">
        <v>100000</v>
      </c>
      <c r="E18" s="481">
        <f t="shared" si="0"/>
        <v>2190265</v>
      </c>
      <c r="F18" s="457"/>
    </row>
    <row r="19" spans="1:6" s="37" customFormat="1" ht="20.100000000000001" customHeight="1">
      <c r="A19" s="479" t="s">
        <v>629</v>
      </c>
      <c r="B19" s="578">
        <v>0</v>
      </c>
      <c r="C19" s="567">
        <v>5000</v>
      </c>
      <c r="D19" s="567">
        <v>0</v>
      </c>
      <c r="E19" s="481">
        <f t="shared" si="0"/>
        <v>5000</v>
      </c>
      <c r="F19" s="457"/>
    </row>
    <row r="20" spans="1:6" s="37" customFormat="1" ht="20.100000000000001" customHeight="1" thickBot="1">
      <c r="A20" s="479" t="s">
        <v>630</v>
      </c>
      <c r="B20" s="578">
        <v>0</v>
      </c>
      <c r="C20" s="568">
        <v>585000</v>
      </c>
      <c r="D20" s="568">
        <v>0</v>
      </c>
      <c r="E20" s="481">
        <f t="shared" si="0"/>
        <v>585000</v>
      </c>
      <c r="F20" s="457"/>
    </row>
    <row r="21" spans="1:6" s="37" customFormat="1" ht="24" customHeight="1" thickBot="1">
      <c r="A21" s="377" t="s">
        <v>50</v>
      </c>
      <c r="B21" s="458">
        <f>SUM(B10:B20)</f>
        <v>12670000</v>
      </c>
      <c r="C21" s="461">
        <f>SUM(C10:C20)</f>
        <v>4570000</v>
      </c>
      <c r="D21" s="461">
        <f>SUM(D10:D20)</f>
        <v>300000</v>
      </c>
      <c r="E21" s="460">
        <f>SUM(E10:E20)</f>
        <v>17540000</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topLeftCell="A121" zoomScale="60" zoomScaleNormal="60" zoomScaleSheetLayoutView="50" zoomScalePageLayoutView="60" workbookViewId="0">
      <selection activeCell="C135" sqref="C135"/>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Chipola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754</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736</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99750</v>
      </c>
      <c r="E11" s="925">
        <v>0</v>
      </c>
      <c r="F11" s="926">
        <f t="shared" si="0"/>
        <v>99750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524940</v>
      </c>
      <c r="E15" s="925">
        <v>0</v>
      </c>
      <c r="F15" s="926">
        <f t="shared" si="0"/>
        <v>524940</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0</v>
      </c>
      <c r="E16" s="925">
        <v>0</v>
      </c>
      <c r="F16" s="926">
        <f t="shared" si="0"/>
        <v>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803</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9301</v>
      </c>
      <c r="E30" s="925">
        <v>0</v>
      </c>
      <c r="F30" s="926">
        <f t="shared" si="0"/>
        <v>9301</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91753</v>
      </c>
      <c r="E34" s="925">
        <v>0</v>
      </c>
      <c r="F34" s="926">
        <f t="shared" si="0"/>
        <v>91753</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8784</v>
      </c>
      <c r="E41" s="925">
        <v>0</v>
      </c>
      <c r="F41" s="926">
        <f t="shared" si="0"/>
        <v>8784</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56191</v>
      </c>
      <c r="E48" s="925">
        <v>0</v>
      </c>
      <c r="F48" s="926">
        <f t="shared" si="0"/>
        <v>56191</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87482</v>
      </c>
      <c r="E49" s="925">
        <v>0</v>
      </c>
      <c r="F49" s="926">
        <f t="shared" si="0"/>
        <v>87482</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55000</v>
      </c>
      <c r="E54" s="925">
        <v>0</v>
      </c>
      <c r="F54" s="926">
        <f t="shared" si="0"/>
        <v>55000</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933201</v>
      </c>
      <c r="E57" s="346">
        <f>SUM(E10:E56)</f>
        <v>0</v>
      </c>
      <c r="F57" s="346">
        <f t="shared" si="0"/>
        <v>933201</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15000</v>
      </c>
      <c r="E64" s="580">
        <v>0</v>
      </c>
      <c r="F64" s="304">
        <f t="shared" si="0"/>
        <v>15000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0</v>
      </c>
      <c r="E67" s="925">
        <v>0</v>
      </c>
      <c r="F67" s="926">
        <f t="shared" si="0"/>
        <v>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731</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50000</v>
      </c>
      <c r="E80" s="925">
        <v>0</v>
      </c>
      <c r="F80" s="926">
        <f t="shared" si="0"/>
        <v>50000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0</v>
      </c>
      <c r="E83" s="925">
        <v>0</v>
      </c>
      <c r="F83" s="926">
        <f t="shared" si="1"/>
        <v>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50000</v>
      </c>
      <c r="E84" s="925">
        <v>0</v>
      </c>
      <c r="F84" s="926">
        <f t="shared" si="1"/>
        <v>50000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115000</v>
      </c>
      <c r="E103" s="342">
        <f>SUM(E64:E102)</f>
        <v>0</v>
      </c>
      <c r="F103" s="342">
        <f t="shared" si="1"/>
        <v>115000</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20000</v>
      </c>
      <c r="E110" s="925">
        <v>0</v>
      </c>
      <c r="F110" s="926">
        <f t="shared" si="1"/>
        <v>20000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762</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763</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730</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20000</v>
      </c>
      <c r="E121" s="346">
        <f>SUM(E108:E120)</f>
        <v>0</v>
      </c>
      <c r="F121" s="346">
        <f>SUM(D121:E121)</f>
        <v>20000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1068201</v>
      </c>
      <c r="E123" s="342">
        <f>+E57+E103+E121</f>
        <v>0</v>
      </c>
      <c r="F123" s="342">
        <f>SUM(D123:E123)</f>
        <v>1068201</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421316</v>
      </c>
      <c r="E128" s="925">
        <v>0</v>
      </c>
      <c r="F128" s="926">
        <f t="shared" ref="F128:F138" si="3">+D128+E128</f>
        <v>421316</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0</v>
      </c>
      <c r="E129" s="925">
        <v>0</v>
      </c>
      <c r="F129" s="926">
        <f t="shared" si="3"/>
        <v>0</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728</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646885</v>
      </c>
      <c r="E133" s="925">
        <v>0</v>
      </c>
      <c r="F133" s="926">
        <f t="shared" si="3"/>
        <v>646885</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1068201</v>
      </c>
      <c r="E139" s="334">
        <f>SUM(E127:E138)</f>
        <v>0</v>
      </c>
      <c r="F139" s="335">
        <f>SUM(F127:F138)</f>
        <v>1068201</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798</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799</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755</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756</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761</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793</v>
      </c>
      <c r="C3" s="77"/>
      <c r="D3" s="86"/>
      <c r="E3" s="85"/>
      <c r="F3" s="25"/>
    </row>
    <row r="4" spans="1:10" ht="25.35" customHeight="1" thickBot="1">
      <c r="A4" s="75">
        <v>1</v>
      </c>
      <c r="B4" s="64">
        <v>2</v>
      </c>
      <c r="C4" s="64">
        <v>3</v>
      </c>
      <c r="D4" s="64">
        <v>4</v>
      </c>
      <c r="E4" s="68"/>
      <c r="F4" s="25"/>
    </row>
    <row r="5" spans="1:10" ht="44.1" customHeight="1" thickBot="1">
      <c r="A5" s="1273" t="s">
        <v>16</v>
      </c>
      <c r="B5" s="1322" t="s">
        <v>774</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v>33122473.964400001</v>
      </c>
      <c r="C9" s="1169">
        <v>5159428</v>
      </c>
      <c r="D9" s="87">
        <f t="shared" si="0"/>
        <v>38281901.964400001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v>43596058.663999997</v>
      </c>
      <c r="C11" s="1169">
        <v>10843888</v>
      </c>
      <c r="D11" s="87">
        <f t="shared" si="0"/>
        <v>54439946.663999997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v>29636356.845799997</v>
      </c>
      <c r="C33" s="1169">
        <v>6733218</v>
      </c>
      <c r="D33" s="87">
        <f t="shared" si="0"/>
        <v>36369574.845799997</v>
      </c>
      <c r="E33" s="529"/>
      <c r="F33" s="59"/>
      <c r="G33" s="59"/>
      <c r="I33" s="529"/>
      <c r="J33" s="59"/>
      <c r="K33" s="529"/>
    </row>
    <row r="34" spans="1:21" ht="25.35" customHeight="1" thickBot="1">
      <c r="A34" s="502" t="s">
        <v>49</v>
      </c>
      <c r="B34" s="1168">
        <v>88194296.761600003</v>
      </c>
      <c r="C34" s="1169">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794</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757</v>
      </c>
      <c r="B40" s="1162" t="s">
        <v>792</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776</v>
      </c>
      <c r="C44" s="1253"/>
      <c r="D44" s="1253">
        <v>375000</v>
      </c>
      <c r="E44" s="782">
        <f t="shared" si="1"/>
        <v>375000</v>
      </c>
    </row>
    <row r="45" spans="1:21" ht="42">
      <c r="A45" s="1172" t="str">
        <f>A11</f>
        <v>Daytona State College</v>
      </c>
      <c r="B45" s="783" t="s">
        <v>57</v>
      </c>
      <c r="C45" s="781">
        <v>500000</v>
      </c>
      <c r="D45" s="781"/>
      <c r="E45" s="782">
        <f t="shared" si="1"/>
        <v>500000</v>
      </c>
      <c r="H45" s="24"/>
    </row>
    <row r="46" spans="1:21" ht="84.75" customHeight="1">
      <c r="A46" s="1170" t="s">
        <v>25</v>
      </c>
      <c r="B46" s="783" t="s">
        <v>775</v>
      </c>
      <c r="C46" s="781"/>
      <c r="D46" s="781">
        <v>315500</v>
      </c>
      <c r="E46" s="782">
        <f t="shared" si="1"/>
        <v>315500</v>
      </c>
      <c r="H46" s="24"/>
    </row>
    <row r="47" spans="1:21" ht="84.75" customHeight="1">
      <c r="A47" s="1170" t="s">
        <v>25</v>
      </c>
      <c r="B47" s="1252" t="s">
        <v>778</v>
      </c>
      <c r="C47" s="1253"/>
      <c r="D47" s="1253">
        <v>447123</v>
      </c>
      <c r="E47" s="782">
        <f t="shared" si="1"/>
        <v>447123</v>
      </c>
      <c r="H47" s="24"/>
    </row>
    <row r="48" spans="1:21" ht="84.75" customHeight="1">
      <c r="A48" s="1170" t="s">
        <v>21</v>
      </c>
      <c r="B48" s="1252" t="s">
        <v>777</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780</v>
      </c>
      <c r="C50" s="1253"/>
      <c r="D50" s="1253">
        <v>1000000</v>
      </c>
      <c r="E50" s="782">
        <f t="shared" si="1"/>
        <v>1000000</v>
      </c>
      <c r="H50" s="24"/>
    </row>
    <row r="51" spans="1:8" ht="62.45" customHeight="1">
      <c r="A51" s="1170" t="s">
        <v>35</v>
      </c>
      <c r="B51" s="1252" t="s">
        <v>779</v>
      </c>
      <c r="C51" s="1253"/>
      <c r="D51" s="1253">
        <v>600050</v>
      </c>
      <c r="E51" s="782">
        <f t="shared" si="1"/>
        <v>600050</v>
      </c>
      <c r="H51" s="24"/>
    </row>
    <row r="52" spans="1:8" ht="62.45" customHeight="1">
      <c r="A52" s="1170" t="s">
        <v>36</v>
      </c>
      <c r="B52" s="1252" t="s">
        <v>781</v>
      </c>
      <c r="C52" s="1253"/>
      <c r="D52" s="1253">
        <v>400000</v>
      </c>
      <c r="E52" s="782">
        <f t="shared" si="1"/>
        <v>400000</v>
      </c>
      <c r="H52" s="24"/>
    </row>
    <row r="53" spans="1:8" ht="62.45" customHeight="1">
      <c r="A53" s="1170" t="s">
        <v>37</v>
      </c>
      <c r="B53" s="1252" t="s">
        <v>782</v>
      </c>
      <c r="C53" s="1253"/>
      <c r="D53" s="1253">
        <v>500000</v>
      </c>
      <c r="E53" s="782">
        <f t="shared" si="1"/>
        <v>500000</v>
      </c>
      <c r="H53" s="24"/>
    </row>
    <row r="54" spans="1:8" ht="62.45" customHeight="1">
      <c r="A54" s="1170" t="s">
        <v>39</v>
      </c>
      <c r="B54" s="1252" t="s">
        <v>783</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784</v>
      </c>
      <c r="B56" s="1252" t="s">
        <v>785</v>
      </c>
      <c r="C56" s="1253"/>
      <c r="D56" s="1253">
        <v>765645</v>
      </c>
      <c r="E56" s="782">
        <f t="shared" si="1"/>
        <v>765645</v>
      </c>
      <c r="H56" s="24"/>
    </row>
    <row r="57" spans="1:8" ht="42">
      <c r="A57" s="1329" t="s">
        <v>786</v>
      </c>
      <c r="B57" s="1252" t="s">
        <v>787</v>
      </c>
      <c r="C57" s="1253"/>
      <c r="D57" s="1253">
        <v>5000000</v>
      </c>
      <c r="E57" s="782">
        <f t="shared" si="1"/>
        <v>5000000</v>
      </c>
      <c r="H57" s="24"/>
    </row>
    <row r="58" spans="1:8" ht="42">
      <c r="A58" s="1328" t="s">
        <v>725</v>
      </c>
      <c r="B58" s="1252" t="s">
        <v>788</v>
      </c>
      <c r="C58" s="1253"/>
      <c r="D58" s="1253">
        <v>756722</v>
      </c>
      <c r="E58" s="782">
        <f t="shared" si="1"/>
        <v>756722</v>
      </c>
      <c r="H58" s="24"/>
    </row>
    <row r="59" spans="1:8" ht="63">
      <c r="A59" s="1173" t="s">
        <v>43</v>
      </c>
      <c r="B59" s="783" t="s">
        <v>789</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790</v>
      </c>
      <c r="C61" s="1253"/>
      <c r="D61" s="1253">
        <v>50000</v>
      </c>
      <c r="E61" s="782">
        <f t="shared" si="1"/>
        <v>50000</v>
      </c>
      <c r="H61" s="24"/>
    </row>
    <row r="62" spans="1:8" ht="86.25" customHeight="1" thickBot="1">
      <c r="A62" s="1328" t="s">
        <v>49</v>
      </c>
      <c r="B62" s="730" t="s">
        <v>791</v>
      </c>
      <c r="C62" s="731"/>
      <c r="D62" s="731">
        <v>1000000</v>
      </c>
      <c r="E62" s="133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736</v>
      </c>
      <c r="B67" s="505" t="str">
        <f>B3</f>
        <v>Date Updated:   05.03.22    BY:  EN</v>
      </c>
      <c r="C67" s="53" t="s">
        <v>10</v>
      </c>
      <c r="D67" s="53"/>
      <c r="F67" s="24"/>
      <c r="G67" s="24"/>
      <c r="H67" s="24"/>
    </row>
    <row r="68" spans="1:13" ht="45" customHeight="1" thickBot="1">
      <c r="A68" s="1277" t="s">
        <v>726</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758</v>
      </c>
      <c r="B75" s="1281" t="s">
        <v>765</v>
      </c>
      <c r="C75" s="1282"/>
      <c r="D75" s="1282"/>
      <c r="E75" s="1283"/>
      <c r="F75" s="21"/>
      <c r="G75" s="53"/>
      <c r="H75" s="24"/>
    </row>
    <row r="76" spans="1:13" ht="87.6" customHeight="1" thickBot="1">
      <c r="A76" s="50" t="s">
        <v>17</v>
      </c>
      <c r="B76" s="30" t="s">
        <v>795</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766</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759</v>
      </c>
      <c r="B114" s="1257" t="s">
        <v>772</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767</v>
      </c>
      <c r="U116" s="41"/>
      <c r="V116" s="42"/>
      <c r="W116" s="43"/>
      <c r="X116" s="44"/>
      <c r="Y116" s="72"/>
      <c r="Z116" s="1290"/>
      <c r="AA116" s="1291"/>
      <c r="AB116" s="1292"/>
      <c r="AC116" s="22"/>
      <c r="AD116" s="729" t="s">
        <v>768</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769</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770</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771</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729</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773</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tabSelected="1" defaultGridColor="0" topLeftCell="A52" colorId="22" zoomScale="70" zoomScaleNormal="70" zoomScaleSheetLayoutView="51" zoomScalePageLayoutView="60" workbookViewId="0">
      <selection activeCell="I70" sqref="I70"/>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735</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24</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805</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0.18570786262975397</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736</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4590</v>
      </c>
      <c r="E44" s="138">
        <f>+'EXHIBIT C'!F10</f>
        <v>4590</v>
      </c>
      <c r="F44" s="139">
        <f t="shared" ref="F44:F50" si="0">IF(D44=0,"0",(E44/D44-1))</f>
        <v>0</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16196.556322934033</v>
      </c>
      <c r="E45" s="142">
        <f>+'EXHIBIT C'!F11</f>
        <v>16197</v>
      </c>
      <c r="F45" s="810">
        <f t="shared" si="0"/>
        <v>2.7393296273547918E-5</v>
      </c>
      <c r="G45" s="811"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5595.4491017964065</v>
      </c>
      <c r="E46" s="814">
        <f>+'EXHIBIT C'!F12</f>
        <v>5595</v>
      </c>
      <c r="F46" s="810">
        <f t="shared" si="0"/>
        <v>-8.026197508659294E-5</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4343.6297279362971</v>
      </c>
      <c r="E47" s="814">
        <f>+'EXHIBIT C'!F13</f>
        <v>4344</v>
      </c>
      <c r="F47" s="810">
        <f t="shared" si="0"/>
        <v>8.5244849790333532E-5</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92.727272727272705</v>
      </c>
      <c r="E48" s="814">
        <f>+'EXHIBIT C'!F14</f>
        <v>93</v>
      </c>
      <c r="F48" s="810">
        <f t="shared" si="0"/>
        <v>2.9411764705884469E-3</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30818.362425394007</v>
      </c>
      <c r="E50" s="145">
        <f>+'EXHIBIT C'!F17</f>
        <v>30819</v>
      </c>
      <c r="F50" s="146">
        <f t="shared" si="0"/>
        <v>2.0688140310420877E-5</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1105.8775899023578</v>
      </c>
      <c r="E69" s="159">
        <f>+'EXHIBIT C'!D20</f>
        <v>350</v>
      </c>
      <c r="F69" s="821">
        <f t="shared" si="2"/>
        <v>-0.68350927517131188</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205.50898203592811</v>
      </c>
      <c r="E70" s="824">
        <f>+'EXHIBIT C'!D21</f>
        <v>110</v>
      </c>
      <c r="F70" s="821">
        <f t="shared" si="2"/>
        <v>-0.46474358974358965</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15.029860650298609</v>
      </c>
      <c r="E71" s="824">
        <f>+'EXHIBIT C'!D22</f>
        <v>25</v>
      </c>
      <c r="F71" s="821">
        <f t="shared" si="2"/>
        <v>0.6633554083885207</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87.272727272727295</v>
      </c>
      <c r="E72" s="824">
        <f>+'EXHIBIT C'!D23</f>
        <v>45</v>
      </c>
      <c r="F72" s="821">
        <f t="shared" si="2"/>
        <v>-0.48437500000000011</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1413.6891598613117</v>
      </c>
      <c r="E74" s="161">
        <f>SUM(E68:E73)</f>
        <v>530</v>
      </c>
      <c r="F74" s="162">
        <f t="shared" si="2"/>
        <v>-0.6250943877563615</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t="s">
        <v>815</v>
      </c>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10140122.1391</v>
      </c>
      <c r="E102" s="833">
        <f>+'EXHIBIT D'!G75</f>
        <v>10140122.1391</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183804</v>
      </c>
      <c r="E103" s="833">
        <f>'EXHIBIT D'!G77</f>
        <v>183804</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2837892</v>
      </c>
      <c r="E104" s="833">
        <f>'EXHIBIT D'!G81</f>
        <v>2837892</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796</v>
      </c>
      <c r="D105" s="173">
        <f>E105</f>
        <v>470264</v>
      </c>
      <c r="E105" s="174">
        <f>'EXHIBIT D'!G76</f>
        <v>470264</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13632082.1391</v>
      </c>
      <c r="E106" s="176">
        <f>SUM(E102:E105)</f>
        <v>13632082.1391</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737</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4000181</v>
      </c>
      <c r="D119" s="988" t="s">
        <v>738</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4000181</v>
      </c>
      <c r="D120" s="991" t="s">
        <v>739</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800</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9563358</v>
      </c>
      <c r="D126" s="37" t="s">
        <v>760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9563358</v>
      </c>
      <c r="D127" s="37" t="s">
        <v>740</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91.789978213507624</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t="str">
        <f>IF('EXHIBIT G'!D129=0,"No Credit Hours or Not Applicable",('EXHIBIT G'!D129/'EXHIBIT C'!D19))</f>
        <v>No Credit Hours or Not Applicable</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801</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802</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804</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election activeCell="C27" sqref="C27"/>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734</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Chipola College</v>
      </c>
      <c r="D8" s="1039"/>
      <c r="E8" s="1039"/>
      <c r="F8" s="431"/>
      <c r="G8" s="431"/>
    </row>
    <row r="9" spans="2:7" ht="25.35" customHeight="1">
      <c r="D9" s="149"/>
      <c r="E9" s="149"/>
      <c r="F9" s="149"/>
      <c r="G9" s="149"/>
    </row>
    <row r="10" spans="2:7" ht="41.45" customHeight="1">
      <c r="E10" s="718" t="s">
        <v>184</v>
      </c>
    </row>
    <row r="11" spans="2:7" ht="25.35" customHeight="1">
      <c r="B11" s="112" t="s">
        <v>741</v>
      </c>
      <c r="D11" s="112"/>
      <c r="E11" s="199"/>
    </row>
    <row r="12" spans="2:7" ht="25.35" customHeight="1">
      <c r="B12" s="112"/>
      <c r="C12" s="112"/>
      <c r="D12" s="112"/>
    </row>
    <row r="13" spans="2:7" ht="25.35" customHeight="1">
      <c r="B13" s="37" t="s">
        <v>749</v>
      </c>
      <c r="C13" s="112"/>
      <c r="D13" s="112"/>
      <c r="E13" s="581">
        <v>-5423177</v>
      </c>
    </row>
    <row r="14" spans="2:7" ht="25.35" customHeight="1">
      <c r="B14" s="37" t="s">
        <v>185</v>
      </c>
      <c r="D14" s="112"/>
      <c r="E14" s="719">
        <v>9563358</v>
      </c>
    </row>
    <row r="15" spans="2:7" ht="25.35" customHeight="1">
      <c r="B15" s="112"/>
      <c r="C15" s="24"/>
      <c r="D15" s="112"/>
      <c r="E15" s="200"/>
    </row>
    <row r="16" spans="2:7" ht="25.35" customHeight="1">
      <c r="B16" s="24" t="s">
        <v>742</v>
      </c>
      <c r="C16" s="112"/>
      <c r="D16" s="35"/>
      <c r="E16" s="720">
        <f>+E14+E13</f>
        <v>4140181</v>
      </c>
    </row>
    <row r="17" spans="2:7" ht="25.35" customHeight="1">
      <c r="B17" s="112"/>
      <c r="C17" s="35"/>
      <c r="D17" s="112"/>
      <c r="E17" s="201"/>
    </row>
    <row r="18" spans="2:7" ht="25.35" customHeight="1">
      <c r="B18" s="37" t="s">
        <v>186</v>
      </c>
      <c r="C18" s="112"/>
      <c r="D18" s="112"/>
      <c r="E18" s="213">
        <f>+'EXHIBIT D'!G144-SUM(+'EXHIBIT D'!G132+'EXHIBIT D'!G133+'EXHIBIT D'!G134+'EXHIBIT D'!G135)</f>
        <v>17330000.1391</v>
      </c>
      <c r="G18" s="202"/>
    </row>
    <row r="19" spans="2:7" ht="25.35" customHeight="1">
      <c r="B19" s="37" t="s">
        <v>187</v>
      </c>
      <c r="D19" s="112"/>
      <c r="E19" s="720">
        <f>+'EXHIBIT D'!G132+'EXHIBIT D'!G133+'EXHIBIT D'!G134+'EXHIBIT D'!G135</f>
        <v>70000</v>
      </c>
    </row>
    <row r="20" spans="2:7" ht="25.35" customHeight="1">
      <c r="B20" s="112"/>
      <c r="D20" s="112"/>
      <c r="E20" s="208"/>
    </row>
    <row r="21" spans="2:7" ht="25.35" customHeight="1">
      <c r="B21" s="37" t="s">
        <v>188</v>
      </c>
      <c r="C21" s="112"/>
      <c r="D21" s="112"/>
      <c r="E21" s="721">
        <f>+E19+E18</f>
        <v>17400000.1391</v>
      </c>
    </row>
    <row r="22" spans="2:7" ht="25.35" customHeight="1">
      <c r="B22" s="112"/>
      <c r="C22" s="112"/>
      <c r="D22" s="112"/>
      <c r="E22" s="208"/>
    </row>
    <row r="23" spans="2:7" ht="25.35" customHeight="1">
      <c r="B23" s="112" t="s">
        <v>189</v>
      </c>
      <c r="C23" s="112"/>
      <c r="D23" s="112"/>
      <c r="E23" s="721">
        <f>+E21+E16</f>
        <v>21540181.1391</v>
      </c>
    </row>
    <row r="24" spans="2:7" ht="25.35" customHeight="1">
      <c r="B24" s="112"/>
      <c r="C24" s="112"/>
      <c r="D24" s="112"/>
      <c r="E24" s="208"/>
    </row>
    <row r="25" spans="2:7" ht="25.35" customHeight="1">
      <c r="B25" s="37" t="s">
        <v>190</v>
      </c>
      <c r="C25" s="112"/>
      <c r="D25" s="112"/>
      <c r="E25" s="214">
        <f>'EXHIBIT D'!G260-SUM(+'EXHIBIT D'!G231+'EXHIBIT D'!G232+'EXHIBIT D'!G233+'EXHIBIT D'!G234+'EXHIBIT D'!G235)</f>
        <v>16955000</v>
      </c>
    </row>
    <row r="26" spans="2:7" ht="25.35" customHeight="1">
      <c r="B26" s="37" t="s">
        <v>191</v>
      </c>
      <c r="D26" s="112"/>
      <c r="E26" s="720">
        <f>'EXHIBIT D'!G231+'EXHIBIT D'!G232+'EXHIBIT D'!G233+'EXHIBIT D'!G234+'EXHIBIT D'!G235</f>
        <v>585000</v>
      </c>
    </row>
    <row r="27" spans="2:7" ht="25.35" customHeight="1">
      <c r="B27" s="112"/>
      <c r="D27" s="112"/>
      <c r="E27" s="208"/>
    </row>
    <row r="28" spans="2:7" ht="25.35" customHeight="1">
      <c r="B28" s="112" t="s">
        <v>192</v>
      </c>
      <c r="C28" s="112"/>
      <c r="D28" s="112"/>
      <c r="E28" s="722">
        <f>+E26+E25</f>
        <v>17540000</v>
      </c>
    </row>
    <row r="29" spans="2:7" ht="25.35" customHeight="1">
      <c r="B29" s="112"/>
      <c r="C29" s="112"/>
      <c r="D29" s="112"/>
      <c r="E29" s="203"/>
    </row>
    <row r="30" spans="2:7" ht="25.35" customHeight="1">
      <c r="B30" s="112" t="s">
        <v>743</v>
      </c>
      <c r="C30" s="112"/>
      <c r="D30" s="112"/>
      <c r="E30" s="203"/>
    </row>
    <row r="31" spans="2:7" ht="25.35" customHeight="1">
      <c r="B31" s="112"/>
      <c r="C31" s="112"/>
      <c r="D31" s="112"/>
      <c r="E31" s="203"/>
    </row>
    <row r="32" spans="2:7" ht="25.35" customHeight="1">
      <c r="B32" s="37" t="s">
        <v>193</v>
      </c>
      <c r="C32" s="112"/>
      <c r="D32" s="204">
        <f>+E23-E28</f>
        <v>4000181.1391000003</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744</v>
      </c>
      <c r="C35" s="112"/>
      <c r="D35" s="112"/>
      <c r="E35" s="206">
        <f>+D32+D33</f>
        <v>4000181.1391000003</v>
      </c>
      <c r="J35" s="149"/>
    </row>
    <row r="36" spans="2:10" ht="25.35" customHeight="1">
      <c r="B36" s="37" t="s">
        <v>745</v>
      </c>
      <c r="C36" s="112"/>
      <c r="D36" s="112"/>
      <c r="E36" s="721">
        <f>-'EXHIBIT D'!G276</f>
        <v>9563358</v>
      </c>
      <c r="J36" s="207"/>
    </row>
    <row r="37" spans="2:10" ht="25.35" customHeight="1">
      <c r="D37" s="112"/>
      <c r="E37" s="206"/>
      <c r="J37" s="149"/>
    </row>
    <row r="38" spans="2:10" ht="25.35" customHeight="1">
      <c r="B38" s="112" t="s">
        <v>746</v>
      </c>
      <c r="D38" s="112"/>
      <c r="E38" s="720">
        <f>+E35-E36</f>
        <v>-5563176.8608999997</v>
      </c>
      <c r="J38" s="149"/>
    </row>
    <row r="39" spans="2:10" ht="25.35" customHeight="1">
      <c r="B39" s="112"/>
      <c r="C39" s="112"/>
      <c r="D39" s="112"/>
      <c r="E39" s="208"/>
    </row>
    <row r="40" spans="2:10" ht="25.35" customHeight="1">
      <c r="B40" s="24" t="s">
        <v>747</v>
      </c>
      <c r="C40" s="112"/>
      <c r="D40" s="35"/>
      <c r="E40" s="722">
        <f>'EXHIBIT D'!G265+'EXHIBIT D'!G266+'EXHIBIT D'!G267+'EXHIBIT D'!G268+'EXHIBIT D'!G269+'EXHIBIT D'!G270+'EXHIBIT D'!G271+'EXHIBIT D'!G272</f>
        <v>4000181</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748</v>
      </c>
      <c r="C44" s="112"/>
      <c r="D44" s="112"/>
      <c r="E44" s="724">
        <f>+E40/E23</f>
        <v>0.18570786262975397</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election activeCell="L24" sqref="L24"/>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750</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Chipola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5.5</v>
      </c>
      <c r="D14" s="1191">
        <v>6</v>
      </c>
      <c r="E14" s="1191">
        <v>8</v>
      </c>
      <c r="F14" s="1191">
        <v>3.71</v>
      </c>
      <c r="G14" s="844">
        <f>SUM(B14:F14)</f>
        <v>115</v>
      </c>
      <c r="H14" s="474">
        <f>G14*30</f>
        <v>3450</v>
      </c>
      <c r="I14" s="24"/>
    </row>
    <row r="15" spans="1:18" s="37" customFormat="1" ht="20.100000000000001" customHeight="1">
      <c r="A15" s="112" t="s">
        <v>212</v>
      </c>
      <c r="B15" s="1192">
        <v>78.84</v>
      </c>
      <c r="C15" s="1192">
        <v>5.5</v>
      </c>
      <c r="D15" s="1192">
        <v>6</v>
      </c>
      <c r="E15" s="1192">
        <v>8</v>
      </c>
      <c r="F15" s="1192">
        <v>3.66</v>
      </c>
      <c r="G15" s="844">
        <f>SUM(B15:F15)</f>
        <v>102</v>
      </c>
      <c r="H15" s="437">
        <f>G15*30</f>
        <v>3060</v>
      </c>
      <c r="I15" s="24"/>
    </row>
    <row r="16" spans="1:18" s="37" customFormat="1" ht="20.100000000000001" customHeight="1" thickBot="1">
      <c r="A16" s="35" t="s">
        <v>82</v>
      </c>
      <c r="B16" s="1193">
        <v>69.900000000000006</v>
      </c>
      <c r="C16" s="1193">
        <v>3.3</v>
      </c>
      <c r="D16" s="1194"/>
      <c r="E16" s="1193">
        <v>1.5</v>
      </c>
      <c r="F16" s="1193">
        <v>1.8</v>
      </c>
      <c r="G16" s="438">
        <f>SUM(B16:F16)</f>
        <v>76.5</v>
      </c>
      <c r="H16" s="845">
        <f>G16*30</f>
        <v>2295</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194.35</v>
      </c>
      <c r="D29" s="1191">
        <v>5.5</v>
      </c>
      <c r="E29" s="676">
        <f>D14</f>
        <v>6</v>
      </c>
      <c r="F29" s="1191">
        <v>8</v>
      </c>
      <c r="G29" s="1191">
        <v>3.71</v>
      </c>
      <c r="H29" s="448">
        <f>SUM(B29:G29)</f>
        <v>309.34999999999997</v>
      </c>
      <c r="I29" s="468">
        <f>H29*30</f>
        <v>9280.4999999999982</v>
      </c>
      <c r="J29" s="24"/>
    </row>
    <row r="30" spans="1:11" s="37" customFormat="1" ht="20.100000000000001" customHeight="1">
      <c r="A30" s="112" t="str">
        <f t="shared" si="0"/>
        <v>LOWER LEVEL - CREDIT (A &amp; P, PSV, DEVELOPMENTAL EDUCATION AND EPI)</v>
      </c>
      <c r="B30" s="848">
        <f t="shared" si="0"/>
        <v>78.84</v>
      </c>
      <c r="C30" s="1195">
        <v>194.35</v>
      </c>
      <c r="D30" s="1195">
        <v>5.5</v>
      </c>
      <c r="E30" s="849">
        <f>D15</f>
        <v>6</v>
      </c>
      <c r="F30" s="1195">
        <v>8</v>
      </c>
      <c r="G30" s="1195">
        <v>3.66</v>
      </c>
      <c r="H30" s="844">
        <f>SUM(B30:G30)</f>
        <v>296.35000000000002</v>
      </c>
      <c r="I30" s="437">
        <f>H30*30</f>
        <v>8890.5</v>
      </c>
    </row>
    <row r="31" spans="1:11" s="37" customFormat="1" ht="20.100000000000001" customHeight="1" thickBot="1">
      <c r="A31" s="112" t="str">
        <f t="shared" si="0"/>
        <v>CAREER CERTIFICATE AND APPLIED TECHNOLOGY DIPLOMA</v>
      </c>
      <c r="B31" s="527">
        <f t="shared" si="0"/>
        <v>69.900000000000006</v>
      </c>
      <c r="C31" s="1192">
        <v>199.8</v>
      </c>
      <c r="D31" s="1192">
        <v>3.3</v>
      </c>
      <c r="E31" s="405"/>
      <c r="F31" s="1192">
        <v>1.5</v>
      </c>
      <c r="G31" s="1192">
        <v>1.8</v>
      </c>
      <c r="H31" s="438">
        <f>SUM(B31:G31)</f>
        <v>276.30000000000007</v>
      </c>
      <c r="I31" s="845">
        <f>H31*30</f>
        <v>8289.0000000000018</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751</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zoomScale="50" zoomScaleNormal="50" zoomScaleSheetLayoutView="50" zoomScalePageLayoutView="50" workbookViewId="0">
      <selection activeCell="B57" sqref="B57"/>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752</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Chipola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4590</v>
      </c>
      <c r="E10" s="680">
        <v>0</v>
      </c>
      <c r="F10" s="681">
        <f t="shared" ref="F10:F15" si="0">+D10-E10</f>
        <v>4590</v>
      </c>
      <c r="G10" s="681">
        <f>'EXHIBIT B'!B14</f>
        <v>91.79</v>
      </c>
      <c r="H10" s="682">
        <f>ROUND(+F10*G10,0)</f>
        <v>421316</v>
      </c>
      <c r="I10" s="149"/>
      <c r="J10" s="149"/>
    </row>
    <row r="11" spans="1:10" ht="20.100000000000001" customHeight="1">
      <c r="A11" s="855" t="s">
        <v>205</v>
      </c>
      <c r="B11" s="855" t="s">
        <v>133</v>
      </c>
      <c r="C11" s="856" t="s">
        <v>233</v>
      </c>
      <c r="D11" s="854">
        <v>16197</v>
      </c>
      <c r="E11" s="854">
        <v>0</v>
      </c>
      <c r="F11" s="857">
        <f t="shared" si="0"/>
        <v>16197</v>
      </c>
      <c r="G11" s="857">
        <f>+'EXHIBIT B'!B15</f>
        <v>78.84</v>
      </c>
      <c r="H11" s="858">
        <f t="shared" ref="H11:H15" si="1">ROUND(+F11*G11,0)</f>
        <v>1276971</v>
      </c>
      <c r="I11" s="149"/>
      <c r="J11" s="149"/>
    </row>
    <row r="12" spans="1:10" ht="20.100000000000001" customHeight="1">
      <c r="A12" s="855" t="s">
        <v>205</v>
      </c>
      <c r="B12" s="855" t="s">
        <v>134</v>
      </c>
      <c r="C12" s="856" t="s">
        <v>234</v>
      </c>
      <c r="D12" s="854">
        <v>5595</v>
      </c>
      <c r="E12" s="854">
        <v>0</v>
      </c>
      <c r="F12" s="857">
        <f t="shared" si="0"/>
        <v>5595</v>
      </c>
      <c r="G12" s="857">
        <f>+'EXHIBIT B'!B15</f>
        <v>78.84</v>
      </c>
      <c r="H12" s="858">
        <f t="shared" si="1"/>
        <v>441110</v>
      </c>
      <c r="I12" s="149"/>
      <c r="J12" s="149"/>
    </row>
    <row r="13" spans="1:10" ht="20.100000000000001" customHeight="1">
      <c r="A13" s="855" t="s">
        <v>205</v>
      </c>
      <c r="B13" s="855" t="s">
        <v>82</v>
      </c>
      <c r="C13" s="856" t="s">
        <v>235</v>
      </c>
      <c r="D13" s="859">
        <v>4344</v>
      </c>
      <c r="E13" s="859">
        <v>0</v>
      </c>
      <c r="F13" s="857">
        <f t="shared" si="0"/>
        <v>4344</v>
      </c>
      <c r="G13" s="857">
        <f>+'EXHIBIT B'!B16</f>
        <v>69.900000000000006</v>
      </c>
      <c r="H13" s="858">
        <f t="shared" si="1"/>
        <v>303646</v>
      </c>
      <c r="I13" s="149"/>
      <c r="J13" s="149"/>
    </row>
    <row r="14" spans="1:10" ht="20.100000000000001" customHeight="1">
      <c r="A14" s="855" t="s">
        <v>205</v>
      </c>
      <c r="B14" s="855" t="s">
        <v>135</v>
      </c>
      <c r="C14" s="856" t="s">
        <v>236</v>
      </c>
      <c r="D14" s="854">
        <v>93</v>
      </c>
      <c r="E14" s="854">
        <v>0</v>
      </c>
      <c r="F14" s="857">
        <f t="shared" si="0"/>
        <v>93</v>
      </c>
      <c r="G14" s="857">
        <f>+'EXHIBIT B'!B15</f>
        <v>78.84</v>
      </c>
      <c r="H14" s="858">
        <f t="shared" si="1"/>
        <v>7332</v>
      </c>
      <c r="I14" s="149"/>
      <c r="J14" s="149"/>
    </row>
    <row r="15" spans="1:10" ht="20.100000000000001" customHeight="1" thickBot="1">
      <c r="A15" s="860" t="s">
        <v>205</v>
      </c>
      <c r="B15" s="860" t="s">
        <v>136</v>
      </c>
      <c r="C15" s="861">
        <v>40160</v>
      </c>
      <c r="D15" s="862">
        <v>0</v>
      </c>
      <c r="E15" s="862">
        <v>0</v>
      </c>
      <c r="F15" s="863">
        <f t="shared" si="0"/>
        <v>0</v>
      </c>
      <c r="G15" s="863">
        <f>+'EXHIBIT B'!B15</f>
        <v>78.84</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30819</v>
      </c>
      <c r="E17" s="386">
        <f>SUM(E10:E15)</f>
        <v>0</v>
      </c>
      <c r="F17" s="387">
        <f>SUM(F10:F15)</f>
        <v>30819</v>
      </c>
      <c r="G17" s="387"/>
      <c r="H17" s="388">
        <f>SUM(H10:H15)</f>
        <v>2450375</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0</v>
      </c>
      <c r="E19" s="867">
        <f>'EXHIBIT B'!C29</f>
        <v>194.35</v>
      </c>
      <c r="F19" s="868">
        <f t="shared" ref="F19:F24" si="2">ROUND(+D19*E19,0)</f>
        <v>0</v>
      </c>
      <c r="G19" s="390"/>
      <c r="H19" s="390"/>
    </row>
    <row r="20" spans="1:10" ht="20.100000000000001" customHeight="1">
      <c r="A20" s="869" t="s">
        <v>220</v>
      </c>
      <c r="B20" s="869" t="s">
        <v>133</v>
      </c>
      <c r="C20" s="870" t="s">
        <v>240</v>
      </c>
      <c r="D20" s="877">
        <v>350</v>
      </c>
      <c r="E20" s="871">
        <f>+'EXHIBIT B'!C30</f>
        <v>194.35</v>
      </c>
      <c r="F20" s="872">
        <f t="shared" si="2"/>
        <v>68023</v>
      </c>
      <c r="G20" s="391"/>
      <c r="H20" s="391"/>
    </row>
    <row r="21" spans="1:10" ht="20.100000000000001" customHeight="1">
      <c r="A21" s="869" t="s">
        <v>220</v>
      </c>
      <c r="B21" s="869" t="s">
        <v>134</v>
      </c>
      <c r="C21" s="870" t="s">
        <v>241</v>
      </c>
      <c r="D21" s="877">
        <v>110</v>
      </c>
      <c r="E21" s="871">
        <f>+'EXHIBIT B'!C30</f>
        <v>194.35</v>
      </c>
      <c r="F21" s="872">
        <f t="shared" si="2"/>
        <v>21379</v>
      </c>
      <c r="G21" s="391"/>
      <c r="H21" s="391"/>
    </row>
    <row r="22" spans="1:10" ht="20.100000000000001" customHeight="1">
      <c r="A22" s="869" t="s">
        <v>220</v>
      </c>
      <c r="B22" s="869" t="s">
        <v>82</v>
      </c>
      <c r="C22" s="870" t="s">
        <v>242</v>
      </c>
      <c r="D22" s="877">
        <v>25</v>
      </c>
      <c r="E22" s="871">
        <f>+'EXHIBIT B'!C31</f>
        <v>199.8</v>
      </c>
      <c r="F22" s="872">
        <f t="shared" si="2"/>
        <v>4995</v>
      </c>
      <c r="G22" s="391"/>
      <c r="H22" s="391"/>
    </row>
    <row r="23" spans="1:10" ht="20.100000000000001" customHeight="1">
      <c r="A23" s="869" t="s">
        <v>220</v>
      </c>
      <c r="B23" s="869" t="s">
        <v>135</v>
      </c>
      <c r="C23" s="870" t="s">
        <v>243</v>
      </c>
      <c r="D23" s="877">
        <v>45</v>
      </c>
      <c r="E23" s="871">
        <f>+'EXHIBIT B'!C30</f>
        <v>194.35</v>
      </c>
      <c r="F23" s="872">
        <f t="shared" si="2"/>
        <v>8746</v>
      </c>
      <c r="G23" s="391"/>
      <c r="H23" s="391"/>
    </row>
    <row r="24" spans="1:10" ht="20.100000000000001" customHeight="1" thickBot="1">
      <c r="A24" s="745" t="s">
        <v>220</v>
      </c>
      <c r="B24" s="745" t="s">
        <v>136</v>
      </c>
      <c r="C24" s="746">
        <v>40360</v>
      </c>
      <c r="D24" s="1197">
        <v>0</v>
      </c>
      <c r="E24" s="747">
        <f>+'EXHIBIT B'!C30</f>
        <v>194.35</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530</v>
      </c>
      <c r="E26" s="875"/>
      <c r="F26" s="876">
        <f>SUM(F19:F24)</f>
        <v>103143</v>
      </c>
      <c r="G26" s="395"/>
      <c r="H26" s="395"/>
    </row>
    <row r="27" spans="1:10" ht="20.100000000000001" customHeight="1" thickBot="1">
      <c r="A27" s="396" t="s">
        <v>244</v>
      </c>
      <c r="B27" s="396"/>
      <c r="C27" s="396"/>
      <c r="D27" s="396"/>
      <c r="E27" s="396"/>
      <c r="F27" s="397"/>
      <c r="G27" s="683"/>
      <c r="H27" s="398">
        <f>H17+F26</f>
        <v>2553518</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30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2553518</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thickBot="1">
      <c r="A54" s="883" t="s">
        <v>806</v>
      </c>
      <c r="B54" s="1198">
        <v>275000</v>
      </c>
      <c r="C54" s="1200"/>
      <c r="D54" s="1201" t="s">
        <v>809</v>
      </c>
      <c r="E54" s="1200" t="s">
        <v>810</v>
      </c>
      <c r="F54" s="1201"/>
    </row>
    <row r="55" spans="1:10" ht="24.95" customHeight="1">
      <c r="A55" s="884" t="s">
        <v>807</v>
      </c>
      <c r="B55" s="877">
        <v>310000</v>
      </c>
      <c r="C55" s="1202"/>
      <c r="D55" s="1201" t="s">
        <v>809</v>
      </c>
      <c r="E55" s="1202" t="s">
        <v>811</v>
      </c>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585000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thickBot="1">
      <c r="A63" s="883" t="s">
        <v>808</v>
      </c>
      <c r="B63" s="1199">
        <v>20000</v>
      </c>
      <c r="C63" s="1200"/>
      <c r="D63" s="1201" t="s">
        <v>812</v>
      </c>
      <c r="E63" s="1200" t="s">
        <v>813</v>
      </c>
      <c r="F63" s="1201"/>
      <c r="I63" s="149"/>
    </row>
    <row r="64" spans="1:10" ht="24.95" customHeight="1">
      <c r="A64" s="884" t="s">
        <v>814</v>
      </c>
      <c r="B64" s="877">
        <v>50000</v>
      </c>
      <c r="C64" s="1202"/>
      <c r="D64" s="1203" t="s">
        <v>812</v>
      </c>
      <c r="E64" s="1200" t="s">
        <v>813</v>
      </c>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70000</v>
      </c>
      <c r="C69" s="1210"/>
      <c r="D69" s="1211"/>
      <c r="E69" s="1210"/>
      <c r="F69" s="1211"/>
    </row>
    <row r="70" spans="1:9" ht="24.95" customHeight="1" thickBot="1">
      <c r="A70" s="374" t="s">
        <v>270</v>
      </c>
      <c r="B70" s="375">
        <f>+B69+B60</f>
        <v>655000</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election activeCell="E22" sqref="E22"/>
    </sheetView>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Chipola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pageSetUpPr fitToPage="1"/>
  </sheetPr>
  <dimension ref="A1:L282"/>
  <sheetViews>
    <sheetView showGridLines="0" topLeftCell="A251" zoomScale="70" zoomScaleNormal="70" zoomScaleSheetLayoutView="70" zoomScalePageLayoutView="70" workbookViewId="0">
      <selection activeCell="G273" sqref="G273"/>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Chipola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753</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421316</v>
      </c>
      <c r="H12" s="219"/>
    </row>
    <row r="13" spans="1:8" ht="20.100000000000001" customHeight="1">
      <c r="A13" s="625" t="s">
        <v>205</v>
      </c>
      <c r="B13" s="226"/>
      <c r="C13" s="219" t="s">
        <v>133</v>
      </c>
      <c r="D13" s="226"/>
      <c r="E13" s="226"/>
      <c r="F13" s="232" t="s">
        <v>233</v>
      </c>
      <c r="G13" s="231">
        <f>+'EXHIBIT C'!H11+'EXHIBIT C(2)'!E14</f>
        <v>1276971</v>
      </c>
      <c r="H13" s="219"/>
    </row>
    <row r="14" spans="1:8" ht="20.100000000000001" customHeight="1">
      <c r="A14" s="625" t="s">
        <v>205</v>
      </c>
      <c r="B14" s="226"/>
      <c r="C14" s="226" t="s">
        <v>134</v>
      </c>
      <c r="D14" s="226"/>
      <c r="E14" s="226"/>
      <c r="F14" s="232" t="s">
        <v>234</v>
      </c>
      <c r="G14" s="649">
        <f>+'EXHIBIT C'!H12+'EXHIBIT C(2)'!E15</f>
        <v>441110</v>
      </c>
      <c r="H14" s="219"/>
    </row>
    <row r="15" spans="1:8" ht="20.100000000000001" customHeight="1">
      <c r="A15" s="625" t="s">
        <v>205</v>
      </c>
      <c r="B15" s="226"/>
      <c r="C15" s="233" t="s">
        <v>287</v>
      </c>
      <c r="D15" s="226"/>
      <c r="E15" s="226"/>
      <c r="F15" s="232" t="s">
        <v>235</v>
      </c>
      <c r="G15" s="649">
        <f>+'EXHIBIT C'!H13+'EXHIBIT C(2)'!E16</f>
        <v>303646</v>
      </c>
      <c r="H15" s="219"/>
    </row>
    <row r="16" spans="1:8" ht="20.100000000000001" customHeight="1">
      <c r="A16" s="625" t="s">
        <v>205</v>
      </c>
      <c r="B16" s="226"/>
      <c r="C16" s="233" t="s">
        <v>288</v>
      </c>
      <c r="D16" s="226"/>
      <c r="E16" s="226"/>
      <c r="F16" s="232" t="s">
        <v>236</v>
      </c>
      <c r="G16" s="650">
        <f>+'EXHIBIT C'!H14+'EXHIBIT C(2)'!E17</f>
        <v>7332</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2450375</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0</v>
      </c>
      <c r="H21" s="662"/>
    </row>
    <row r="22" spans="1:8" ht="20.100000000000001" customHeight="1">
      <c r="A22" s="626" t="s">
        <v>220</v>
      </c>
      <c r="B22" s="226"/>
      <c r="C22" s="219" t="s">
        <v>133</v>
      </c>
      <c r="D22" s="226"/>
      <c r="E22" s="226"/>
      <c r="F22" s="232" t="s">
        <v>240</v>
      </c>
      <c r="G22" s="237">
        <f>+'EXHIBIT C'!F20+'EXHIBIT C(2)'!E23</f>
        <v>68023</v>
      </c>
      <c r="H22" s="219"/>
    </row>
    <row r="23" spans="1:8" ht="20.100000000000001" customHeight="1">
      <c r="A23" s="626" t="s">
        <v>220</v>
      </c>
      <c r="B23" s="226"/>
      <c r="C23" s="226" t="s">
        <v>134</v>
      </c>
      <c r="D23" s="226"/>
      <c r="E23" s="226"/>
      <c r="F23" s="232" t="s">
        <v>241</v>
      </c>
      <c r="G23" s="242">
        <f>+'EXHIBIT C'!F21+'EXHIBIT C(2)'!E24</f>
        <v>21379</v>
      </c>
      <c r="H23" s="219"/>
    </row>
    <row r="24" spans="1:8" ht="20.100000000000001" customHeight="1">
      <c r="A24" s="626" t="s">
        <v>220</v>
      </c>
      <c r="B24" s="226"/>
      <c r="C24" s="233" t="s">
        <v>287</v>
      </c>
      <c r="D24" s="226"/>
      <c r="E24" s="226"/>
      <c r="F24" s="232" t="s">
        <v>242</v>
      </c>
      <c r="G24" s="242">
        <f>+'EXHIBIT C'!F22+'EXHIBIT C(2)'!E25</f>
        <v>4995</v>
      </c>
      <c r="H24" s="219"/>
    </row>
    <row r="25" spans="1:8" ht="20.100000000000001" customHeight="1">
      <c r="A25" s="626" t="s">
        <v>220</v>
      </c>
      <c r="B25" s="226"/>
      <c r="C25" s="233" t="s">
        <v>288</v>
      </c>
      <c r="D25" s="226"/>
      <c r="E25" s="226"/>
      <c r="F25" s="232" t="s">
        <v>243</v>
      </c>
      <c r="G25" s="242">
        <f>+'EXHIBIT C'!F23+'EXHIBIT C(2)'!E26</f>
        <v>8746</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103143</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2553518</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75000</v>
      </c>
      <c r="H47" s="662"/>
    </row>
    <row r="48" spans="1:8" ht="20.100000000000001" customHeight="1">
      <c r="A48" s="625" t="s">
        <v>302</v>
      </c>
      <c r="B48" s="219"/>
      <c r="C48" s="243"/>
      <c r="D48" s="243"/>
      <c r="E48" s="243"/>
      <c r="F48" s="244" t="s">
        <v>303</v>
      </c>
      <c r="G48" s="569">
        <v>13000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140000</v>
      </c>
      <c r="H50" s="219"/>
    </row>
    <row r="51" spans="1:8" ht="20.100000000000001" customHeight="1">
      <c r="A51" s="625" t="s">
        <v>308</v>
      </c>
      <c r="B51" s="226"/>
      <c r="C51" s="226"/>
      <c r="D51" s="226"/>
      <c r="E51" s="226"/>
      <c r="F51" s="230">
        <v>40450</v>
      </c>
      <c r="G51" s="569">
        <v>0</v>
      </c>
      <c r="H51" s="219"/>
    </row>
    <row r="52" spans="1:8" ht="20.100000000000001" customHeight="1">
      <c r="A52" s="625" t="s">
        <v>309</v>
      </c>
      <c r="B52" s="226"/>
      <c r="C52" s="226"/>
      <c r="D52" s="226"/>
      <c r="E52" s="226"/>
      <c r="F52" s="245" t="s">
        <v>310</v>
      </c>
      <c r="G52" s="569">
        <v>30000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0</v>
      </c>
      <c r="H58" s="219"/>
    </row>
    <row r="59" spans="1:8" ht="20.100000000000001" customHeight="1">
      <c r="A59" s="626" t="s">
        <v>323</v>
      </c>
      <c r="B59" s="229"/>
      <c r="C59" s="229"/>
      <c r="D59" s="229"/>
      <c r="E59" s="229"/>
      <c r="F59" s="245" t="s">
        <v>324</v>
      </c>
      <c r="G59" s="569">
        <f>76482-13000-30000-30000</f>
        <v>3482</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2815000</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400000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400000</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10140122.1391</v>
      </c>
      <c r="H75" s="219"/>
    </row>
    <row r="76" spans="1:8" ht="20.100000000000001" customHeight="1">
      <c r="A76" s="625" t="s">
        <v>797</v>
      </c>
      <c r="B76" s="226"/>
      <c r="C76" s="226"/>
      <c r="D76" s="226"/>
      <c r="E76" s="226"/>
      <c r="F76" s="235">
        <v>42130</v>
      </c>
      <c r="G76" s="652">
        <v>470264</v>
      </c>
      <c r="H76" s="219"/>
    </row>
    <row r="77" spans="1:8" ht="20.100000000000001" customHeight="1">
      <c r="A77" s="628" t="s">
        <v>341</v>
      </c>
      <c r="B77" s="629"/>
      <c r="C77" s="629"/>
      <c r="D77" s="629"/>
      <c r="E77" s="629"/>
      <c r="F77" s="248" t="s">
        <v>342</v>
      </c>
      <c r="G77" s="653">
        <v>183804</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211000</v>
      </c>
      <c r="H80" s="219"/>
    </row>
    <row r="81" spans="1:10" ht="20.100000000000001" customHeight="1">
      <c r="A81" s="625" t="s">
        <v>349</v>
      </c>
      <c r="B81" s="226"/>
      <c r="C81" s="226"/>
      <c r="D81" s="226"/>
      <c r="E81" s="226"/>
      <c r="F81" s="232" t="s">
        <v>350</v>
      </c>
      <c r="G81" s="651">
        <f>'CHECK SHEET'!D104</f>
        <v>2837892</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13843082.1391</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20000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20000</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5000</v>
      </c>
      <c r="H110" s="219"/>
    </row>
    <row r="111" spans="1:8" ht="20.100000000000001" customHeight="1">
      <c r="A111" s="625" t="s">
        <v>378</v>
      </c>
      <c r="B111" s="226"/>
      <c r="C111" s="226"/>
      <c r="D111" s="226"/>
      <c r="E111" s="226"/>
      <c r="F111" s="232" t="s">
        <v>379</v>
      </c>
      <c r="G111" s="570">
        <v>30000</v>
      </c>
      <c r="H111" s="219"/>
    </row>
    <row r="112" spans="1:8" ht="20.100000000000001" customHeight="1">
      <c r="A112" s="625" t="s">
        <v>380</v>
      </c>
      <c r="B112" s="226"/>
      <c r="C112" s="226"/>
      <c r="D112" s="226"/>
      <c r="E112" s="226"/>
      <c r="F112" s="232" t="s">
        <v>381</v>
      </c>
      <c r="G112" s="570">
        <v>20000</v>
      </c>
      <c r="H112" s="219"/>
    </row>
    <row r="113" spans="1:8" ht="20.100000000000001" customHeight="1">
      <c r="A113" s="625" t="s">
        <v>382</v>
      </c>
      <c r="B113" s="226"/>
      <c r="C113" s="226"/>
      <c r="D113" s="226"/>
      <c r="E113" s="226"/>
      <c r="F113" s="232" t="s">
        <v>383</v>
      </c>
      <c r="G113" s="1337">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55000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25000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0</v>
      </c>
      <c r="H125" s="219"/>
    </row>
    <row r="126" spans="1:8" ht="20.100000000000001" customHeight="1">
      <c r="A126" s="625" t="s">
        <v>395</v>
      </c>
      <c r="B126" s="226"/>
      <c r="C126" s="226"/>
      <c r="D126" s="226"/>
      <c r="E126" s="226"/>
      <c r="F126" s="232" t="s">
        <v>396</v>
      </c>
      <c r="G126" s="570">
        <v>36918</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61918</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70000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4" t="s">
        <v>733</v>
      </c>
      <c r="B138" s="226"/>
      <c r="C138" s="226"/>
      <c r="D138" s="226"/>
      <c r="E138" s="226"/>
      <c r="F138" s="1255" t="s">
        <v>732</v>
      </c>
      <c r="G138" s="570">
        <v>135000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205000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17400000.1391</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517596</v>
      </c>
      <c r="H148" s="219"/>
    </row>
    <row r="149" spans="1:8" ht="20.100000000000001" customHeight="1">
      <c r="A149" s="625" t="s">
        <v>417</v>
      </c>
      <c r="B149" s="219"/>
      <c r="C149" s="219"/>
      <c r="D149" s="219"/>
      <c r="E149" s="219"/>
      <c r="F149" s="232" t="s">
        <v>418</v>
      </c>
      <c r="G149" s="574">
        <v>638537</v>
      </c>
      <c r="H149" s="219"/>
    </row>
    <row r="150" spans="1:8" ht="20.100000000000001" customHeight="1">
      <c r="A150" s="625" t="s">
        <v>419</v>
      </c>
      <c r="B150" s="219"/>
      <c r="C150" s="219"/>
      <c r="D150" s="219"/>
      <c r="E150" s="219"/>
      <c r="F150" s="232" t="s">
        <v>420</v>
      </c>
      <c r="G150" s="574">
        <f>1148829+50000</f>
        <v>1198829</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f>2662673+171258</f>
        <v>2833931</v>
      </c>
      <c r="H153" s="219"/>
    </row>
    <row r="154" spans="1:8" ht="20.100000000000001" customHeight="1">
      <c r="A154" s="625" t="s">
        <v>427</v>
      </c>
      <c r="B154" s="226"/>
      <c r="C154" s="226"/>
      <c r="D154" s="226"/>
      <c r="E154" s="226"/>
      <c r="F154" s="232" t="s">
        <v>428</v>
      </c>
      <c r="G154" s="574">
        <v>250000</v>
      </c>
      <c r="H154" s="219"/>
    </row>
    <row r="155" spans="1:8" ht="20.100000000000001" customHeight="1">
      <c r="A155" s="625" t="s">
        <v>429</v>
      </c>
      <c r="B155" s="226"/>
      <c r="C155" s="226"/>
      <c r="D155" s="226"/>
      <c r="E155" s="226"/>
      <c r="F155" s="232" t="s">
        <v>430</v>
      </c>
      <c r="G155" s="574">
        <v>2000</v>
      </c>
      <c r="H155" s="219"/>
    </row>
    <row r="156" spans="1:8" ht="20.100000000000001" customHeight="1">
      <c r="A156" s="625" t="s">
        <v>431</v>
      </c>
      <c r="B156" s="226"/>
      <c r="C156" s="226"/>
      <c r="D156" s="226"/>
      <c r="E156" s="226"/>
      <c r="F156" s="232" t="s">
        <v>432</v>
      </c>
      <c r="G156" s="574">
        <v>75819</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1304480</v>
      </c>
      <c r="H163" s="219"/>
    </row>
    <row r="164" spans="1:8" ht="20.100000000000001" customHeight="1">
      <c r="A164" s="625" t="s">
        <v>446</v>
      </c>
      <c r="B164" s="226"/>
      <c r="C164" s="226"/>
      <c r="D164" s="226"/>
      <c r="E164" s="226"/>
      <c r="F164" s="232" t="s">
        <v>447</v>
      </c>
      <c r="G164" s="574">
        <v>6000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f>1558688+50000</f>
        <v>1608688</v>
      </c>
      <c r="H168" s="219"/>
    </row>
    <row r="169" spans="1:8" ht="20.100000000000001" customHeight="1">
      <c r="A169" s="625" t="s">
        <v>456</v>
      </c>
      <c r="B169" s="226"/>
      <c r="C169" s="226"/>
      <c r="D169" s="226"/>
      <c r="E169" s="226"/>
      <c r="F169" s="232" t="s">
        <v>457</v>
      </c>
      <c r="G169" s="574">
        <v>30000</v>
      </c>
      <c r="H169" s="219"/>
    </row>
    <row r="170" spans="1:8" ht="20.100000000000001" customHeight="1">
      <c r="A170" s="625" t="s">
        <v>458</v>
      </c>
      <c r="B170" s="226"/>
      <c r="C170" s="226"/>
      <c r="D170" s="226"/>
      <c r="E170" s="226"/>
      <c r="F170" s="232" t="s">
        <v>459</v>
      </c>
      <c r="G170" s="574">
        <v>81409</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780000</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0</v>
      </c>
      <c r="H178" s="219"/>
    </row>
    <row r="179" spans="1:8" ht="20.100000000000001" customHeight="1">
      <c r="A179" s="625" t="s">
        <v>473</v>
      </c>
      <c r="B179" s="226"/>
      <c r="C179" s="226"/>
      <c r="D179" s="226"/>
      <c r="E179" s="226"/>
      <c r="F179" s="232" t="s">
        <v>474</v>
      </c>
      <c r="G179" s="574">
        <v>240000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120000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10000</v>
      </c>
      <c r="H185" s="219"/>
    </row>
    <row r="186" spans="1:8" ht="20.100000000000001" customHeight="1">
      <c r="A186" s="625" t="s">
        <v>487</v>
      </c>
      <c r="B186" s="226"/>
      <c r="C186" s="226"/>
      <c r="D186" s="226"/>
      <c r="E186" s="226"/>
      <c r="F186" s="232" t="s">
        <v>488</v>
      </c>
      <c r="G186" s="574">
        <v>611085</v>
      </c>
      <c r="H186" s="219"/>
    </row>
    <row r="187" spans="1:8" ht="20.100000000000001" customHeight="1">
      <c r="A187" s="625" t="s">
        <v>489</v>
      </c>
      <c r="B187" s="226"/>
      <c r="C187" s="226"/>
      <c r="D187" s="226"/>
      <c r="E187" s="226"/>
      <c r="F187" s="232" t="s">
        <v>490</v>
      </c>
      <c r="G187" s="574">
        <v>1125341</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1236285</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12670000</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300000</v>
      </c>
      <c r="H200" s="219"/>
    </row>
    <row r="201" spans="1:8" ht="20.100000000000001" customHeight="1">
      <c r="A201" s="625" t="s">
        <v>508</v>
      </c>
      <c r="B201" s="226"/>
      <c r="C201" s="226"/>
      <c r="D201" s="226"/>
      <c r="E201" s="226"/>
      <c r="F201" s="232" t="s">
        <v>509</v>
      </c>
      <c r="G201" s="574">
        <v>30000</v>
      </c>
      <c r="H201" s="219"/>
    </row>
    <row r="202" spans="1:8" ht="20.100000000000001" customHeight="1">
      <c r="A202" s="625" t="s">
        <v>510</v>
      </c>
      <c r="B202" s="226"/>
      <c r="C202" s="226"/>
      <c r="D202" s="226"/>
      <c r="E202" s="226"/>
      <c r="F202" s="232" t="s">
        <v>511</v>
      </c>
      <c r="G202" s="574">
        <v>65000</v>
      </c>
      <c r="H202" s="219"/>
    </row>
    <row r="203" spans="1:8" ht="20.100000000000001" customHeight="1">
      <c r="A203" s="625" t="s">
        <v>512</v>
      </c>
      <c r="B203" s="226"/>
      <c r="C203" s="226"/>
      <c r="D203" s="226"/>
      <c r="E203" s="226"/>
      <c r="F203" s="232" t="s">
        <v>513</v>
      </c>
      <c r="G203" s="574">
        <v>15000</v>
      </c>
      <c r="H203" s="219"/>
    </row>
    <row r="204" spans="1:8" ht="20.100000000000001" customHeight="1">
      <c r="A204" s="625" t="s">
        <v>514</v>
      </c>
      <c r="B204" s="226"/>
      <c r="C204" s="226"/>
      <c r="D204" s="226"/>
      <c r="E204" s="226"/>
      <c r="F204" s="232" t="s">
        <v>515</v>
      </c>
      <c r="G204" s="574">
        <v>300000</v>
      </c>
      <c r="H204" s="219"/>
    </row>
    <row r="205" spans="1:8" ht="20.100000000000001" customHeight="1">
      <c r="A205" s="625" t="s">
        <v>516</v>
      </c>
      <c r="B205" s="226"/>
      <c r="C205" s="226"/>
      <c r="D205" s="226"/>
      <c r="E205" s="226"/>
      <c r="F205" s="232" t="s">
        <v>517</v>
      </c>
      <c r="G205" s="574">
        <v>20000</v>
      </c>
      <c r="H205" s="219"/>
    </row>
    <row r="206" spans="1:8" ht="20.100000000000001" customHeight="1">
      <c r="A206" s="625" t="s">
        <v>731</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645000</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20000</v>
      </c>
      <c r="H209" s="219"/>
    </row>
    <row r="210" spans="1:8" ht="20.100000000000001" customHeight="1">
      <c r="A210" s="625" t="s">
        <v>524</v>
      </c>
      <c r="B210" s="226"/>
      <c r="C210" s="226"/>
      <c r="D210" s="226"/>
      <c r="E210" s="226"/>
      <c r="F210" s="232" t="s">
        <v>525</v>
      </c>
      <c r="G210" s="574">
        <v>210000</v>
      </c>
      <c r="H210" s="219"/>
    </row>
    <row r="211" spans="1:8" ht="20.100000000000001" customHeight="1">
      <c r="A211" s="625" t="s">
        <v>526</v>
      </c>
      <c r="B211" s="226"/>
      <c r="C211" s="226"/>
      <c r="D211" s="226"/>
      <c r="E211" s="226"/>
      <c r="F211" s="232" t="s">
        <v>527</v>
      </c>
      <c r="G211" s="574">
        <v>855000</v>
      </c>
      <c r="H211" s="219"/>
    </row>
    <row r="212" spans="1:8" ht="20.100000000000001" customHeight="1">
      <c r="A212" s="625" t="s">
        <v>528</v>
      </c>
      <c r="B212" s="226"/>
      <c r="C212" s="226"/>
      <c r="D212" s="226"/>
      <c r="E212" s="226"/>
      <c r="F212" s="232" t="s">
        <v>529</v>
      </c>
      <c r="G212" s="574">
        <v>45000</v>
      </c>
      <c r="H212" s="219"/>
    </row>
    <row r="213" spans="1:8" ht="20.100000000000001" customHeight="1">
      <c r="A213" s="625" t="s">
        <v>530</v>
      </c>
      <c r="B213" s="226"/>
      <c r="C213" s="226"/>
      <c r="D213" s="226"/>
      <c r="E213" s="226"/>
      <c r="F213" s="232" t="s">
        <v>531</v>
      </c>
      <c r="G213" s="574">
        <v>45000</v>
      </c>
      <c r="H213" s="219"/>
    </row>
    <row r="214" spans="1:8" ht="20.100000000000001" customHeight="1">
      <c r="A214" s="625" t="s">
        <v>532</v>
      </c>
      <c r="B214" s="219"/>
      <c r="C214" s="219"/>
      <c r="D214" s="219"/>
      <c r="E214" s="219"/>
      <c r="F214" s="232" t="s">
        <v>533</v>
      </c>
      <c r="G214" s="574">
        <v>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590000</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75000</v>
      </c>
      <c r="H219" s="219"/>
    </row>
    <row r="220" spans="1:8" ht="20.100000000000001" customHeight="1">
      <c r="A220" s="625" t="s">
        <v>542</v>
      </c>
      <c r="B220" s="226"/>
      <c r="C220" s="226"/>
      <c r="D220" s="226"/>
      <c r="E220" s="226"/>
      <c r="F220" s="232" t="s">
        <v>543</v>
      </c>
      <c r="G220" s="574">
        <v>335000</v>
      </c>
      <c r="H220" s="219"/>
    </row>
    <row r="221" spans="1:8" ht="20.100000000000001" customHeight="1">
      <c r="A221" s="625" t="s">
        <v>544</v>
      </c>
      <c r="B221" s="219"/>
      <c r="C221" s="219"/>
      <c r="D221" s="219"/>
      <c r="E221" s="219"/>
      <c r="F221" s="253" t="s">
        <v>545</v>
      </c>
      <c r="G221" s="574">
        <v>70000</v>
      </c>
      <c r="H221" s="219"/>
    </row>
    <row r="222" spans="1:8" ht="20.100000000000001" customHeight="1">
      <c r="A222" s="625" t="s">
        <v>546</v>
      </c>
      <c r="B222" s="226"/>
      <c r="C222" s="226"/>
      <c r="D222" s="226"/>
      <c r="E222" s="226"/>
      <c r="F222" s="232" t="s">
        <v>547</v>
      </c>
      <c r="G222" s="574">
        <v>155000</v>
      </c>
      <c r="H222" s="219"/>
    </row>
    <row r="223" spans="1:8" ht="20.100000000000001" customHeight="1">
      <c r="A223" s="625" t="s">
        <v>548</v>
      </c>
      <c r="B223" s="226"/>
      <c r="C223" s="226"/>
      <c r="D223" s="226"/>
      <c r="E223" s="226"/>
      <c r="F223" s="232" t="s">
        <v>549</v>
      </c>
      <c r="G223" s="574">
        <v>130000</v>
      </c>
      <c r="H223" s="219"/>
    </row>
    <row r="224" spans="1:8" ht="20.100000000000001" customHeight="1">
      <c r="A224" s="626" t="s">
        <v>550</v>
      </c>
      <c r="B224" s="229"/>
      <c r="C224" s="229"/>
      <c r="D224" s="229"/>
      <c r="E224" s="229"/>
      <c r="F224" s="245" t="s">
        <v>551</v>
      </c>
      <c r="G224" s="574">
        <v>30000</v>
      </c>
      <c r="H224" s="219"/>
    </row>
    <row r="225" spans="1:9" ht="20.100000000000001" customHeight="1">
      <c r="A225" s="625" t="s">
        <v>552</v>
      </c>
      <c r="B225" s="226"/>
      <c r="C225" s="226"/>
      <c r="D225" s="226"/>
      <c r="E225" s="226"/>
      <c r="F225" s="250" t="s">
        <v>553</v>
      </c>
      <c r="G225" s="574">
        <v>20000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10000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275000</v>
      </c>
      <c r="H234" s="219"/>
    </row>
    <row r="235" spans="1:9" ht="20.100000000000001" customHeight="1">
      <c r="A235" s="639" t="s">
        <v>572</v>
      </c>
      <c r="B235" s="263"/>
      <c r="C235" s="263"/>
      <c r="D235" s="264"/>
      <c r="E235" s="263"/>
      <c r="F235" s="267">
        <v>69270</v>
      </c>
      <c r="G235" s="574">
        <v>310000</v>
      </c>
      <c r="H235" s="219"/>
    </row>
    <row r="236" spans="1:9" ht="20.100000000000001" customHeight="1">
      <c r="A236" s="625" t="s">
        <v>573</v>
      </c>
      <c r="B236" s="226"/>
      <c r="C236" s="226"/>
      <c r="D236" s="226"/>
      <c r="E236" s="226"/>
      <c r="F236" s="232" t="s">
        <v>574</v>
      </c>
      <c r="G236" s="574">
        <v>20000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4570000</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100000</v>
      </c>
      <c r="H245" s="219"/>
    </row>
    <row r="246" spans="1:10" ht="20.100000000000001" customHeight="1">
      <c r="A246" s="625" t="s">
        <v>584</v>
      </c>
      <c r="B246" s="226"/>
      <c r="C246" s="226"/>
      <c r="D246" s="226"/>
      <c r="E246" s="226"/>
      <c r="F246" s="232" t="s">
        <v>585</v>
      </c>
      <c r="G246" s="574">
        <v>200000</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762</v>
      </c>
      <c r="B248" s="1311"/>
      <c r="C248" s="1311"/>
      <c r="D248" s="1311"/>
      <c r="E248" s="1311"/>
      <c r="F248" s="1339">
        <v>73001</v>
      </c>
      <c r="G248" s="574">
        <v>0</v>
      </c>
      <c r="H248" s="662"/>
      <c r="I248" s="222"/>
    </row>
    <row r="249" spans="1:10" ht="20.100000000000001" customHeight="1">
      <c r="A249" s="1310" t="s">
        <v>763</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730</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300000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17540000</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4000181</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4000181</v>
      </c>
      <c r="H274" s="219"/>
    </row>
    <row r="275" spans="1:12" ht="20.100000000000001" customHeight="1">
      <c r="A275" s="627"/>
      <c r="B275" s="226"/>
      <c r="C275" s="226"/>
      <c r="D275" s="226"/>
      <c r="E275" s="226"/>
      <c r="F275" s="270"/>
      <c r="G275" s="269"/>
      <c r="H275" s="219"/>
    </row>
    <row r="276" spans="1:12" ht="20.100000000000001" customHeight="1" thickBot="1">
      <c r="A276" s="640" t="s">
        <v>764</v>
      </c>
      <c r="B276" s="219"/>
      <c r="C276" s="219"/>
      <c r="D276" s="219"/>
      <c r="E276" s="219"/>
      <c r="F276" s="253">
        <v>30800</v>
      </c>
      <c r="G276" s="575">
        <v>-9563358</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-5563177</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12"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dcmitype/"/>
    <ds:schemaRef ds:uri="http://schemas.openxmlformats.org/package/2006/metadata/core-properties"/>
    <ds:schemaRef ds:uri="http://schemas.microsoft.com/office/2006/documentManagement/types"/>
    <ds:schemaRef ds:uri="http://purl.org/dc/elements/1.1/"/>
    <ds:schemaRef ds:uri="http://purl.org/dc/terms/"/>
    <ds:schemaRef ds:uri="http://www.w3.org/XML/1998/namespace"/>
    <ds:schemaRef ds:uri="http://schemas.microsoft.com/office/2006/metadata/properties"/>
    <ds:schemaRef ds:uri="http://schemas.microsoft.com/office/infopath/2007/PartnerControls"/>
    <ds:schemaRef ds:uri="ee822479-6e51-4d14-b6b0-2c589e913e66"/>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Windows User</cp:lastModifiedBy>
  <cp:revision/>
  <cp:lastPrinted>2022-05-24T17:40:10Z</cp:lastPrinted>
  <dcterms:created xsi:type="dcterms:W3CDTF">2005-03-22T15:46:43Z</dcterms:created>
  <dcterms:modified xsi:type="dcterms:W3CDTF">2022-06-27T19:39:49Z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